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29" i="74" l="1"/>
  <c r="G14" i="74"/>
  <c r="D14" i="74"/>
  <c r="B14" i="74"/>
  <c r="F19" i="6"/>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R36" i="79"/>
  <c r="AR37" i="79" s="1"/>
  <c r="AR38" i="79" s="1"/>
  <c r="AR39" i="79" s="1"/>
  <c r="AR40" i="79" s="1"/>
  <c r="AR41" i="79" s="1"/>
  <c r="AR42" i="79" s="1"/>
  <c r="AR43" i="79" s="1"/>
  <c r="AR44" i="79" s="1"/>
  <c r="AR45" i="79" s="1"/>
  <c r="AR46" i="79" s="1"/>
  <c r="AR47" i="79" s="1"/>
  <c r="AR48" i="79" s="1"/>
  <c r="AR49" i="79" s="1"/>
  <c r="AR50" i="79" s="1"/>
  <c r="AR51" i="79" s="1"/>
  <c r="AR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R8" i="79" s="1"/>
  <c r="AR9" i="79" s="1"/>
  <c r="AR10" i="79" s="1"/>
  <c r="AR11" i="79" s="1"/>
  <c r="AR12" i="79" s="1"/>
  <c r="AR13" i="79" s="1"/>
  <c r="AR14" i="79" s="1"/>
  <c r="AR15" i="79" s="1"/>
  <c r="AR16" i="79" s="1"/>
  <c r="AR17" i="79" s="1"/>
  <c r="AR18" i="79" s="1"/>
  <c r="AR19" i="79" s="1"/>
  <c r="AR20" i="79" s="1"/>
  <c r="AR21" i="79" s="1"/>
  <c r="AR22" i="79" s="1"/>
  <c r="AR23" i="79" s="1"/>
  <c r="AR24" i="79" s="1"/>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U33" i="79" s="1"/>
  <c r="AI33" i="79" s="1"/>
  <c r="M33" i="79"/>
  <c r="P33" i="79" s="1"/>
  <c r="L33" i="79"/>
  <c r="S33" i="79" s="1"/>
  <c r="AG33" i="79" s="1"/>
  <c r="I33" i="79"/>
  <c r="AD33" i="79" s="1"/>
  <c r="AB34" i="79"/>
  <c r="AA34" i="79"/>
  <c r="Z34" i="79"/>
  <c r="U34" i="79"/>
  <c r="AI34" i="79" s="1"/>
  <c r="T34" i="79"/>
  <c r="S34" i="79"/>
  <c r="AG34" i="79" s="1"/>
  <c r="N34" i="79"/>
  <c r="M34" i="79"/>
  <c r="P34" i="79" s="1"/>
  <c r="L34" i="79"/>
  <c r="I34" i="79"/>
  <c r="AD34" i="79" s="1"/>
  <c r="AB35" i="79"/>
  <c r="AA35" i="79"/>
  <c r="Z35" i="79"/>
  <c r="U35" i="79"/>
  <c r="AI35" i="79" s="1"/>
  <c r="T35" i="79"/>
  <c r="S35" i="79"/>
  <c r="AG35" i="79" s="1"/>
  <c r="N35" i="79"/>
  <c r="M35" i="79"/>
  <c r="P35" i="79" s="1"/>
  <c r="L35" i="79"/>
  <c r="I35" i="79"/>
  <c r="AD35"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W34" i="79" l="1"/>
  <c r="AK34" i="79" s="1"/>
  <c r="AH34" i="79"/>
  <c r="W35" i="79"/>
  <c r="AK35" i="79" s="1"/>
  <c r="AH35" i="79"/>
  <c r="T33" i="79"/>
  <c r="D60" i="78"/>
  <c r="C60" i="78"/>
  <c r="B55" i="78"/>
  <c r="D55" i="78" s="1"/>
  <c r="D53" i="78"/>
  <c r="D52" i="78"/>
  <c r="D51" i="78" s="1"/>
  <c r="B51" i="78"/>
  <c r="B56" i="78" s="1"/>
  <c r="W33" i="79" l="1"/>
  <c r="AK33" i="79" s="1"/>
  <c r="AH33" i="79"/>
  <c r="C51" i="78"/>
  <c r="C56" i="78" s="1"/>
  <c r="C58" i="78" s="1"/>
  <c r="B62" i="78"/>
  <c r="B54" i="78"/>
  <c r="D54" i="78" s="1"/>
  <c r="D56" i="78" s="1"/>
  <c r="D58" i="78" l="1"/>
  <c r="D62" i="78" s="1"/>
  <c r="C62" i="78" s="1"/>
  <c r="G14" i="73" l="1"/>
  <c r="F14" i="73"/>
  <c r="E14" i="73"/>
  <c r="AB36" i="79" l="1"/>
  <c r="AA36" i="79"/>
  <c r="Z36" i="79"/>
  <c r="N36" i="79"/>
  <c r="M36" i="79"/>
  <c r="P36" i="79" s="1"/>
  <c r="L36" i="79"/>
  <c r="I36" i="79"/>
  <c r="AD36" i="79" s="1"/>
  <c r="AC8" i="79"/>
  <c r="AB8" i="79"/>
  <c r="AA8" i="79"/>
  <c r="AD8" i="79" s="1"/>
  <c r="Z8" i="79"/>
  <c r="Y8" i="79"/>
  <c r="O8" i="79"/>
  <c r="N8" i="79"/>
  <c r="M8" i="79"/>
  <c r="P8" i="79" s="1"/>
  <c r="L8" i="79"/>
  <c r="K8" i="79"/>
  <c r="I8" i="79"/>
  <c r="AC9" i="79"/>
  <c r="AB9" i="79"/>
  <c r="AA9" i="79"/>
  <c r="AD9" i="79" s="1"/>
  <c r="Z9" i="79"/>
  <c r="Y9" i="79"/>
  <c r="O9" i="79"/>
  <c r="N9" i="79"/>
  <c r="M9" i="79"/>
  <c r="P9" i="79" s="1"/>
  <c r="L9" i="79"/>
  <c r="K9" i="79"/>
  <c r="I9" i="79"/>
  <c r="AB37" i="79"/>
  <c r="AA37" i="79"/>
  <c r="Z37" i="79"/>
  <c r="N37" i="79"/>
  <c r="M37" i="79"/>
  <c r="P37" i="79" s="1"/>
  <c r="L37" i="79"/>
  <c r="I37" i="79"/>
  <c r="AD37" i="79" s="1"/>
  <c r="G15" i="73" l="1"/>
  <c r="F15" i="73"/>
  <c r="E15" i="73"/>
  <c r="G16" i="73"/>
  <c r="F16" i="73"/>
  <c r="E16" i="73"/>
  <c r="AB38" i="79" l="1"/>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AG5" i="79" s="1"/>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6" i="79"/>
  <c r="AK36" i="79" s="1"/>
  <c r="AH36" i="79"/>
  <c r="W6" i="79"/>
  <c r="AK6" i="79" s="1"/>
  <c r="AH6" i="79"/>
  <c r="W15" i="79"/>
  <c r="AK15" i="79" s="1"/>
  <c r="AH15" i="79"/>
  <c r="W13" i="79"/>
  <c r="AK13" i="79" s="1"/>
  <c r="AH13" i="79"/>
  <c r="W48" i="79"/>
  <c r="AK48" i="79" s="1"/>
  <c r="AH48" i="79"/>
  <c r="W49" i="79"/>
  <c r="AK49" i="79" s="1"/>
  <c r="AH49" i="79"/>
  <c r="W43" i="79"/>
  <c r="AK43" i="79" s="1"/>
  <c r="AH43" i="79"/>
  <c r="W38" i="79"/>
  <c r="AK38" i="79" s="1"/>
  <c r="AH38" i="79"/>
  <c r="W8" i="79"/>
  <c r="AK8" i="79" s="1"/>
  <c r="AH8" i="79"/>
  <c r="W23" i="79"/>
  <c r="AK23" i="79" s="1"/>
  <c r="AH23" i="79"/>
  <c r="W12" i="79"/>
  <c r="AK12" i="79" s="1"/>
  <c r="AH12" i="79"/>
  <c r="W21" i="79"/>
  <c r="AK21" i="79" s="1"/>
  <c r="AH21" i="79"/>
  <c r="W47" i="79"/>
  <c r="AK47" i="79" s="1"/>
  <c r="AH47" i="79"/>
  <c r="W45" i="79"/>
  <c r="AK45" i="79" s="1"/>
  <c r="AH45" i="79"/>
  <c r="W9" i="79"/>
  <c r="AK9" i="79" s="1"/>
  <c r="AH9" i="79"/>
  <c r="W5" i="79"/>
  <c r="AK5" i="79" s="1"/>
  <c r="AH5" i="79"/>
  <c r="W11" i="79"/>
  <c r="AK11" i="79" s="1"/>
  <c r="AH11" i="79"/>
  <c r="W17" i="79"/>
  <c r="AK17" i="79" s="1"/>
  <c r="AH17" i="79"/>
  <c r="W10" i="79"/>
  <c r="AK10" i="79" s="1"/>
  <c r="AH10" i="79"/>
  <c r="W18" i="79"/>
  <c r="AK18" i="79" s="1"/>
  <c r="AH18" i="79"/>
  <c r="W20" i="79"/>
  <c r="AK20" i="79" s="1"/>
  <c r="AH20" i="79"/>
  <c r="W37" i="79"/>
  <c r="AK37" i="79" s="1"/>
  <c r="AH37"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32" i="6"/>
  <c r="G1" i="68"/>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8" i="67"/>
  <c r="M6" i="67"/>
  <c r="F43" i="67"/>
  <c r="E2" i="69"/>
  <c r="F9" i="67"/>
  <c r="C20" i="9"/>
  <c r="M22" i="67"/>
  <c r="J15" i="67"/>
  <c r="F5" i="73"/>
  <c r="F3" i="73"/>
  <c r="F37" i="67"/>
  <c r="E12" i="76"/>
  <c r="F16" i="67"/>
  <c r="E8" i="76"/>
  <c r="F26" i="67"/>
  <c r="B7" i="76"/>
  <c r="M26" i="67"/>
  <c r="F20" i="31"/>
  <c r="M23" i="67"/>
  <c r="AO13" i="1"/>
  <c r="F38" i="67"/>
  <c r="F7" i="67"/>
  <c r="C76" i="67"/>
  <c r="D6" i="73"/>
  <c r="E11" i="76"/>
  <c r="D34" i="9"/>
  <c r="L48" i="67"/>
  <c r="B8" i="76"/>
  <c r="F4" i="73"/>
  <c r="M29" i="67"/>
  <c r="D19" i="9"/>
  <c r="B9" i="76"/>
  <c r="M8" i="67"/>
  <c r="E9" i="76"/>
  <c r="D35" i="9"/>
  <c r="B13" i="76"/>
  <c r="F40" i="67"/>
  <c r="B11" i="76"/>
  <c r="F7" i="73"/>
  <c r="C19" i="9"/>
  <c r="B12" i="76"/>
  <c r="F6" i="67"/>
  <c r="L47" i="67"/>
  <c r="E7" i="76"/>
  <c r="E10" i="76"/>
  <c r="F13" i="67"/>
  <c r="F6" i="73"/>
  <c r="M28" i="67"/>
  <c r="F42" i="67"/>
  <c r="D20" i="9"/>
  <c r="F36" i="67"/>
  <c r="M9" i="67"/>
  <c r="E13" i="76"/>
  <c r="E2" i="68"/>
  <c r="M24" i="67"/>
  <c r="B10" i="76"/>
  <c r="F29" i="6" l="1"/>
  <c r="G1" i="15"/>
  <c r="B6" i="1"/>
  <c r="E6" i="1" s="1"/>
  <c r="G1" i="69"/>
  <c r="K1" i="12"/>
  <c r="F9" i="1"/>
  <c r="G9" i="1" s="1"/>
  <c r="F10" i="1"/>
  <c r="G10" i="1" s="1"/>
  <c r="F8" i="1"/>
  <c r="G8" i="1" s="1"/>
  <c r="G16" i="1" s="1"/>
  <c r="F10" i="39"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J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B20" i="31"/>
  <c r="B21" i="31" s="1"/>
  <c r="I1" i="73"/>
  <c r="B39" i="1" s="1"/>
  <c r="F51" i="67"/>
  <c r="F65" i="67"/>
  <c r="J53" i="67"/>
  <c r="J57" i="67"/>
  <c r="J55" i="67" s="1"/>
  <c r="J58" i="67" s="1"/>
  <c r="Q50" i="67" s="1"/>
  <c r="L56" i="67"/>
  <c r="I54" i="67"/>
  <c r="F66" i="67"/>
  <c r="Q71" i="67"/>
  <c r="D103" i="9"/>
  <c r="C27" i="67"/>
  <c r="F71" i="67"/>
  <c r="G20" i="9"/>
  <c r="C103" i="9"/>
  <c r="N59" i="67"/>
  <c r="L59" i="67"/>
  <c r="L58" i="67"/>
  <c r="M59" i="67"/>
  <c r="B13" i="70"/>
  <c r="M7" i="67"/>
  <c r="J6" i="67" s="1"/>
  <c r="F50" i="67"/>
  <c r="F68" i="67"/>
  <c r="F64" i="67"/>
  <c r="C36" i="68"/>
  <c r="D9" i="69"/>
  <c r="C36" i="69"/>
  <c r="D9" i="68"/>
  <c r="M28" i="15"/>
  <c r="F37" i="15"/>
  <c r="F8" i="15"/>
  <c r="F6" i="15"/>
  <c r="M23" i="15"/>
  <c r="M8" i="15"/>
  <c r="F38" i="15"/>
  <c r="F43" i="15"/>
  <c r="F36" i="15"/>
  <c r="M29" i="15"/>
  <c r="L48" i="15"/>
  <c r="F13" i="15"/>
  <c r="M26" i="15"/>
  <c r="L47" i="15"/>
  <c r="F42" i="15"/>
  <c r="F26" i="15"/>
  <c r="J15" i="15"/>
  <c r="F16" i="15"/>
  <c r="F7" i="15"/>
  <c r="F40" i="15"/>
  <c r="C76" i="15"/>
  <c r="M9" i="15"/>
  <c r="M6" i="15"/>
  <c r="F9" i="15"/>
  <c r="M24" i="15"/>
  <c r="M22" i="15"/>
  <c r="D3" i="73"/>
  <c r="D7" i="73"/>
  <c r="D4" i="73"/>
  <c r="D5" i="73"/>
  <c r="C16" i="67"/>
  <c r="C16" i="15"/>
  <c r="Q71" i="15" l="1"/>
  <c r="F68" i="15"/>
  <c r="M7" i="15"/>
  <c r="J6" i="15" s="1"/>
  <c r="F50" i="15"/>
  <c r="C27" i="15"/>
  <c r="L59" i="15"/>
  <c r="N59" i="15"/>
  <c r="L58" i="15"/>
  <c r="Q73" i="15" s="1"/>
  <c r="M59" i="15"/>
  <c r="J57" i="15"/>
  <c r="J55" i="15" s="1"/>
  <c r="J58" i="15" s="1"/>
  <c r="Q50" i="15" s="1"/>
  <c r="I54" i="15"/>
  <c r="J53" i="15"/>
  <c r="L56" i="15" s="1"/>
  <c r="F64" i="15"/>
  <c r="F71" i="15"/>
  <c r="F66" i="15"/>
  <c r="C6" i="15"/>
  <c r="C32" i="15" s="1"/>
  <c r="F31" i="15"/>
  <c r="F51" i="15"/>
  <c r="F65" i="15"/>
  <c r="P6" i="1"/>
  <c r="C13" i="12" s="1"/>
  <c r="K16" i="1"/>
  <c r="N94" i="46"/>
  <c r="F26" i="43"/>
  <c r="D26" i="43" s="1"/>
  <c r="C25" i="43" s="1"/>
  <c r="E26" i="4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P28" i="43"/>
  <c r="B66" i="40" s="1"/>
  <c r="P25" i="43"/>
  <c r="C49" i="67"/>
  <c r="P29" i="43"/>
  <c r="P27" i="43"/>
  <c r="B70" i="39" s="1"/>
  <c r="J18" i="15"/>
  <c r="C32" i="67"/>
  <c r="C32" i="9"/>
  <c r="Q60" i="67"/>
  <c r="Q73" i="67"/>
  <c r="M11" i="67"/>
  <c r="J10" i="67" s="1"/>
  <c r="J5" i="67" s="1"/>
  <c r="F11" i="15"/>
  <c r="M11" i="15"/>
  <c r="J10" i="15" s="1"/>
  <c r="F11" i="67"/>
  <c r="J18" i="67"/>
  <c r="F1" i="67"/>
  <c r="Q52" i="67"/>
  <c r="Q61" i="67"/>
  <c r="Q74" i="67"/>
  <c r="Q74" i="15"/>
  <c r="Q61" i="15"/>
  <c r="AE11" i="1"/>
  <c r="AE6" i="1"/>
  <c r="AE9" i="1"/>
  <c r="F27" i="68"/>
  <c r="AE7" i="1"/>
  <c r="AE8" i="1"/>
  <c r="AE12" i="1"/>
  <c r="AE10" i="1"/>
  <c r="F41" i="67"/>
  <c r="G1" i="73"/>
  <c r="J5" i="15" l="1"/>
  <c r="J24" i="15" s="1"/>
  <c r="Q60" i="15"/>
  <c r="M17" i="15"/>
  <c r="C49" i="15"/>
  <c r="F59" i="15"/>
  <c r="Q52" i="15"/>
  <c r="F1" i="15"/>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25" i="12"/>
  <c r="F22" i="68"/>
  <c r="C35" i="9"/>
  <c r="M27" i="15"/>
  <c r="F41" i="15"/>
  <c r="M27" i="67"/>
  <c r="C48" i="15" l="1"/>
  <c r="C66" i="15"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26" i="11"/>
  <c r="D22" i="11" s="1"/>
  <c r="C34" i="9"/>
  <c r="C66" i="67"/>
  <c r="C60" i="67"/>
  <c r="D10" i="69"/>
  <c r="C34" i="69"/>
  <c r="D10" i="68"/>
  <c r="C17" i="67"/>
  <c r="C14" i="67"/>
  <c r="C17" i="15"/>
  <c r="C25" i="11" l="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1" i="1"/>
  <c r="AO10" i="1"/>
  <c r="AO7" i="1"/>
  <c r="AO12" i="1"/>
  <c r="AO8"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N61" i="9"/>
  <c r="N60" i="9"/>
  <c r="M48" i="9"/>
  <c r="M67" i="9"/>
  <c r="C105" i="9"/>
  <c r="I4" i="52"/>
  <c r="H4" i="52"/>
  <c r="C104" i="9"/>
  <c r="M68" i="9"/>
  <c r="B49" i="72"/>
  <c r="B30" i="72"/>
  <c r="N59" i="9"/>
  <c r="L67" i="9"/>
  <c r="L68" i="9"/>
  <c r="B53" i="72"/>
  <c r="B51" i="72"/>
  <c r="D5" i="52"/>
  <c r="C6" i="74"/>
  <c r="P57" i="9"/>
  <c r="N57" i="9"/>
  <c r="N58" i="9"/>
  <c r="D59" i="9"/>
  <c r="M55" i="9"/>
  <c r="M69" i="9"/>
  <c r="N69" i="9"/>
  <c r="G4" i="52"/>
  <c r="B52" i="72"/>
  <c r="D8" i="52"/>
  <c r="B20" i="72"/>
  <c r="E80" i="9"/>
  <c r="E81" i="9"/>
  <c r="D14" i="53"/>
  <c r="B32" i="72"/>
  <c r="L66" i="9"/>
  <c r="M66" i="9"/>
  <c r="C93" i="9"/>
  <c r="C86" i="9"/>
  <c r="F4" i="52"/>
  <c r="L65" i="9"/>
  <c r="M65" i="9"/>
  <c r="D15" i="53"/>
  <c r="B31" i="72"/>
  <c r="C78" i="9"/>
  <c r="C73" i="9"/>
  <c r="D55" i="9"/>
  <c r="M53" i="9"/>
  <c r="L64" i="9"/>
  <c r="M64" i="9"/>
  <c r="E97" i="9"/>
  <c r="D123" i="9"/>
  <c r="D9" i="52"/>
  <c r="C96" i="9"/>
  <c r="E96" i="9"/>
  <c r="D122" i="9"/>
  <c r="D13" i="53"/>
  <c r="H108" i="9"/>
  <c r="D5" i="53"/>
  <c r="D6" i="53"/>
  <c r="B22" i="72"/>
  <c r="C5" i="74"/>
  <c r="D119" i="9"/>
  <c r="C67" i="9"/>
  <c r="C68" i="9"/>
  <c r="D54" i="9"/>
  <c r="C80" i="9"/>
  <c r="C72" i="9"/>
  <c r="C79" i="9"/>
  <c r="C81" i="9"/>
  <c r="H102" i="9"/>
  <c r="D7" i="53"/>
  <c r="B21" i="72"/>
  <c r="H107" i="9"/>
  <c r="M49" i="9"/>
  <c r="L63" i="9"/>
  <c r="M63" i="9"/>
  <c r="G118" i="9"/>
  <c r="F118" i="9"/>
  <c r="F119" i="9"/>
  <c r="F5" i="52"/>
  <c r="H119" i="9"/>
  <c r="H5" i="52"/>
  <c r="E4" i="52"/>
  <c r="B48" i="72"/>
  <c r="C85" i="9"/>
  <c r="C95" i="9"/>
  <c r="C97" i="9"/>
  <c r="D58" i="9"/>
  <c r="D56" i="9"/>
  <c r="M54" i="9"/>
  <c r="E118" i="9"/>
  <c r="D118" i="9"/>
  <c r="D4" i="52"/>
  <c r="B47" i="72"/>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<sst xmlns="http://schemas.openxmlformats.org/spreadsheetml/2006/main" count="7820" uniqueCount="3416">
  <si>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</si>
  <si>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</si>
  <si>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</si>
  <si>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</si>
  <si>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</si>
  <si>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</si>
  <si>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</si>
  <si>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</si>
  <si>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</si>
  <si>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</si>
  <si>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</si>
  <si>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</si>
  <si>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</si>
  <si>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</si>
  <si>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</si>
  <si>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</si>
  <si>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</si>
  <si>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</si>
  <si>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</si>
  <si>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</si>
  <si>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</si>
  <si>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</si>
  <si>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</si>
  <si>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</si>
  <si>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</si>
  <si>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</si>
  <si>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</si>
  <si>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</si>
  <si>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</si>
  <si>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</si>
  <si>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</si>
  <si>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</si>
  <si>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</si>
  <si>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</si>
  <si>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</si>
  <si>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</si>
  <si>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</si>
  <si>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</si>
  <si>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</si>
  <si>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</si>
  <si>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</si>
  <si>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</si>
  <si>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</si>
  <si>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</si>
  <si>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</si>
  <si>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</si>
  <si>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</si>
  <si>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</si>
  <si>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</si>
  <si>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</si>
  <si>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</si>
  <si>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</si>
  <si>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</si>
  <si>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</si>
  <si>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</si>
  <si>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</si>
  <si>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</si>
  <si>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</si>
  <si>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</si>
  <si>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</si>
  <si>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</si>
  <si>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</si>
  <si>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</si>
  <si>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</si>
  <si>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</si>
  <si>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</si>
  <si>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</si>
  <si>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</si>
  <si>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</si>
  <si>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</si>
  <si>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</si>
  <si>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</si>
  <si>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</si>
  <si>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</si>
  <si>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</si>
  <si>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</si>
  <si>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</si>
  <si>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</si>
  <si>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</si>
  <si>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</si>
  <si>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</si>
  <si>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</si>
  <si>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</si>
  <si>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</si>
  <si>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</si>
  <si>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</si>
  <si>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</si>
  <si>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</si>
  <si>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</si>
  <si>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</si>
  <si>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</si>
  <si>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</si>
  <si>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</si>
  <si>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</si>
  <si>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</si>
  <si>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</si>
  <si>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</si>
  <si>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</si>
  <si>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</si>
  <si>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</si>
  <si>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</si>
  <si>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</si>
  <si>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</si>
  <si>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</si>
  <si>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</si>
  <si>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</si>
  <si>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</si>
  <si>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</si>
  <si>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</si>
  <si>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</si>
  <si>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</si>
  <si>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</si>
  <si>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</si>
  <si>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</si>
  <si>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</si>
  <si>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</si>
  <si>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</si>
  <si>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</si>
  <si>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</si>
  <si>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</si>
  <si>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</si>
  <si>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</si>
  <si>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</si>
  <si>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</si>
  <si>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</si>
  <si>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</si>
  <si>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</si>
  <si>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</si>
  <si>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</si>
  <si>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</si>
  <si>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</si>
  <si>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</si>
  <si>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</si>
  <si>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</si>
  <si>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</si>
  <si>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</si>
  <si>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</si>
  <si>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</si>
  <si>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</si>
  <si>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</si>
  <si>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</si>
  <si>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</si>
  <si>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</si>
  <si>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</si>
  <si>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</si>
  <si>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</si>
  <si>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</si>
  <si>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</si>
  <si>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</si>
  <si>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</si>
  <si>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</si>
  <si>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</si>
  <si>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</si>
  <si>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</si>
  <si>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</si>
  <si>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</si>
  <si>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</si>
  <si>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</si>
  <si>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</si>
  <si>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</si>
  <si>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</si>
  <si>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</si>
  <si>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</si>
  <si>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</si>
  <si>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</si>
  <si>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</si>
  <si>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</si>
  <si>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</si>
  <si>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</si>
  <si>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</si>
  <si>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</si>
  <si>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</si>
  <si>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</si>
  <si>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</si>
  <si>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</si>
  <si>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</si>
  <si>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</si>
  <si>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</si>
  <si>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</si>
  <si>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</si>
  <si>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</si>
  <si>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</si>
  <si>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</si>
  <si>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</si>
  <si>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</si>
  <si>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</si>
  <si>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</si>
  <si>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</si>
  <si>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</si>
  <si>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</si>
  <si>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</si>
  <si>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</si>
  <si>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</si>
  <si>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</si>
  <si>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</si>
  <si>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</si>
  <si>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</si>
  <si>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</si>
  <si>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</si>
  <si>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</si>
  <si>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</si>
  <si>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</si>
  <si>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</si>
  <si>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</si>
  <si>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</si>
  <si>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</si>
  <si>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</si>
  <si>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</si>
  <si>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</si>
  <si>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</si>
  <si>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</si>
  <si>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</si>
  <si>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</si>
  <si>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</si>
  <si>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</si>
  <si>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</si>
  <si>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</si>
  <si>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</si>
  <si>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</si>
  <si>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</si>
  <si>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</si>
  <si>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</si>
  <si>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</si>
  <si>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</si>
  <si>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</si>
  <si>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</si>
  <si>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</si>
  <si>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</si>
  <si>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</si>
  <si>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</si>
  <si>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</si>
  <si>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</si>
  <si>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</si>
  <si>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</si>
  <si>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</si>
  <si>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</si>
  <si>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</si>
  <si>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</si>
  <si>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</si>
  <si>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</si>
  <si>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</si>
  <si>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</si>
  <si>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</si>
  <si>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</si>
  <si>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</si>
  <si>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</si>
  <si>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</si>
  <si>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</si>
  <si>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</si>
  <si>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</si>
  <si>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</si>
  <si>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</si>
  <si>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</si>
  <si>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</si>
  <si>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</si>
  <si>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</si>
  <si>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</si>
  <si>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</si>
  <si>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</si>
  <si>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</si>
  <si>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</si>
  <si>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</si>
  <si>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</si>
  <si>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</si>
  <si>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</si>
  <si>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</si>
  <si>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</si>
  <si>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</si>
  <si>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</si>
  <si>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</si>
  <si>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</si>
  <si>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</si>
  <si>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</si>
  <si>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</si>
  <si>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</si>
  <si>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</si>
  <si>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</si>
  <si>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</si>
  <si>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</si>
  <si>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</si>
  <si>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</si>
  <si>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</si>
  <si>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</si>
  <si>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</si>
  <si>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</si>
  <si>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</si>
  <si>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</si>
  <si>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</si>
  <si>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</si>
  <si>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</si>
  <si>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</si>
  <si>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</si>
  <si>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</si>
  <si>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</si>
  <si>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</si>
  <si>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</si>
  <si>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</si>
  <si>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</si>
  <si>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</si>
  <si>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</si>
  <si>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</si>
  <si>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</si>
  <si>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</si>
  <si>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</si>
  <si>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</si>
  <si>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</si>
  <si>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</si>
  <si>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</si>
  <si>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</si>
  <si>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</si>
  <si>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</si>
  <si>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</si>
  <si>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</si>
  <si>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</si>
  <si>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</si>
  <si>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</si>
  <si>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</si>
  <si>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</si>
  <si>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</si>
  <si>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</si>
  <si>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</si>
  <si>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</si>
  <si>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</si>
  <si>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</si>
  <si>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</si>
  <si>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</si>
  <si>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</si>
  <si>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</si>
  <si>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</si>
  <si>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</si>
  <si>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</si>
  <si>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</si>
  <si>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</si>
  <si>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</si>
  <si>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</si>
  <si>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</si>
  <si>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</si>
  <si>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</si>
  <si>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</si>
  <si>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</si>
  <si>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</si>
  <si>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</si>
  <si>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</si>
  <si>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</si>
  <si>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</si>
  <si>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</si>
  <si>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</si>
  <si>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</si>
  <si>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</si>
  <si>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</si>
  <si>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</si>
  <si>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</si>
  <si>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</si>
  <si>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</si>
  <si>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</si>
  <si>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</si>
  <si>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</si>
  <si>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</si>
  <si>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</si>
  <si>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</si>
  <si>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</si>
  <si>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</si>
  <si>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</si>
  <si>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</si>
  <si>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</si>
  <si>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</si>
  <si>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</si>
  <si>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</si>
  <si>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</si>
  <si>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</si>
  <si>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</si>
  <si>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</si>
  <si>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</si>
  <si>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</si>
  <si>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</si>
  <si>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</si>
  <si>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</si>
  <si>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</si>
  <si>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</si>
  <si>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</si>
  <si>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</si>
  <si>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</si>
  <si>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</si>
  <si>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</si>
  <si>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</si>
  <si>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</si>
  <si>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</si>
  <si>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</si>
  <si>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</si>
  <si>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</si>
  <si>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</si>
  <si>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</si>
  <si>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</si>
  <si>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</si>
  <si>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</si>
  <si>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</si>
  <si>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</si>
  <si>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</si>
  <si>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</si>
  <si>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</si>
  <si>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</si>
  <si>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</si>
  <si>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</si>
  <si>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</si>
  <si>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</si>
  <si>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</si>
  <si>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</si>
  <si>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</si>
  <si>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</si>
  <si>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</si>
  <si>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</si>
  <si>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</si>
  <si>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</si>
  <si>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</si>
  <si>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</si>
  <si>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</si>
  <si>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</si>
  <si>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</si>
  <si>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</si>
  <si>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</si>
  <si>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</si>
  <si>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</si>
  <si>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</si>
  <si>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</si>
  <si>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</si>
  <si>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</si>
  <si>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</si>
  <si>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</si>
  <si>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</si>
  <si>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</si>
  <si>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</si>
  <si>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</si>
  <si>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</si>
  <si>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</si>
  <si>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</si>
  <si>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</si>
  <si>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</si>
  <si>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</si>
  <si>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</si>
  <si>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</si>
  <si>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</si>
  <si>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</si>
  <si>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</si>
  <si>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</si>
  <si>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</si>
  <si>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</si>
  <si>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</si>
  <si>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</si>
  <si>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</si>
  <si>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</si>
  <si>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</si>
  <si>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</si>
  <si>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</si>
  <si>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</si>
  <si>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</si>
  <si>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</si>
  <si>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</si>
  <si>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</si>
  <si>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</si>
  <si>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</si>
  <si>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</si>
  <si>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</si>
  <si>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</si>
  <si>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</si>
  <si>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</si>
  <si>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</si>
  <si>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</si>
  <si>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</si>
  <si>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</si>
  <si>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</si>
  <si>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</si>
  <si>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</si>
  <si>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</si>
  <si>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</si>
  <si>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</si>
  <si>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</si>
  <si>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</si>
  <si>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</si>
  <si>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</si>
  <si>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</si>
  <si>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</si>
  <si>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</si>
  <si>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</si>
  <si>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</si>
  <si>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</si>
  <si>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</si>
  <si>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</si>
  <si>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</si>
  <si>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</si>
  <si>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</si>
  <si>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</si>
  <si>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</si>
  <si>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</si>
  <si>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</si>
  <si>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</si>
  <si>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</si>
  <si>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</si>
  <si>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</si>
  <si>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</si>
  <si>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</si>
  <si>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</si>
  <si>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</si>
  <si>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</si>
  <si>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</si>
  <si>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</si>
  <si>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</si>
  <si>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</si>
  <si>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</si>
  <si>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</si>
  <si>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</si>
  <si>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</si>
  <si>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</si>
  <si>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</si>
  <si>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</si>
  <si>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</si>
  <si>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</si>
  <si>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</si>
  <si>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</si>
  <si>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</si>
  <si>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</si>
  <si>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</si>
  <si>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</si>
  <si>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</si>
  <si>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</si>
  <si>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</si>
  <si>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</si>
  <si>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</si>
  <si>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</si>
  <si>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</si>
  <si>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</si>
  <si>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</si>
  <si>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</si>
  <si>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</si>
  <si>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</si>
  <si>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</si>
  <si>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</si>
  <si>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</si>
  <si>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</si>
  <si>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</si>
  <si>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</si>
  <si>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</si>
  <si>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</si>
  <si>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</si>
  <si>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</si>
  <si>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</si>
  <si>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</si>
  <si>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</si>
  <si>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</si>
  <si>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</si>
  <si>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</si>
  <si>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</si>
  <si>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</si>
  <si>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</si>
  <si>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</si>
  <si>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</si>
  <si>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</si>
  <si>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</si>
  <si>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</si>
  <si>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</si>
  <si>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</si>
  <si>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</si>
  <si>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</si>
  <si>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</si>
  <si>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</si>
  <si>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</si>
  <si>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</si>
  <si>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</si>
  <si>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</si>
  <si>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</si>
  <si>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</si>
  <si>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</si>
  <si>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</si>
  <si>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</si>
  <si>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</si>
  <si>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</si>
  <si>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</si>
  <si>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</si>
  <si>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</si>
  <si>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</si>
  <si>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</si>
  <si>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</si>
  <si>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</si>
  <si>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</si>
  <si>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</si>
  <si>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</si>
  <si>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</si>
  <si>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</si>
  <si>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</si>
  <si>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</si>
  <si>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</si>
  <si>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</si>
  <si>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</si>
  <si>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</si>
  <si>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</si>
  <si>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</si>
  <si>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</si>
  <si>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</si>
  <si>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</si>
  <si>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</si>
  <si>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</si>
  <si>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</si>
  <si>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</si>
  <si>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</si>
  <si>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</si>
  <si>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</si>
  <si>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</si>
  <si>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</si>
  <si>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</si>
  <si>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</si>
  <si>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</si>
  <si>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</si>
  <si>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</si>
  <si>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</si>
  <si>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</si>
  <si>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</si>
  <si>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</si>
  <si>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</si>
  <si>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</si>
  <si>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</si>
  <si>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</si>
  <si>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</si>
  <si>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</si>
  <si>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</si>
  <si>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</si>
  <si>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</si>
  <si>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</si>
  <si>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</si>
  <si>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</si>
  <si>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</si>
  <si>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</si>
  <si>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</si>
  <si>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</si>
  <si>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</si>
  <si>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</si>
  <si>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</si>
  <si>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</si>
  <si>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</si>
  <si>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</si>
  <si>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</si>
  <si>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</si>
  <si>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</si>
  <si>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</si>
  <si>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</si>
  <si>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</si>
  <si>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</si>
  <si>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</si>
  <si>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</si>
  <si>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</si>
  <si>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</si>
  <si>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</si>
  <si>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</si>
  <si>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</si>
  <si>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</si>
  <si>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</si>
  <si>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</si>
  <si>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</si>
  <si>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</si>
  <si>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</si>
  <si>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</si>
  <si>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</si>
  <si>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</si>
  <si>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</si>
  <si>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</si>
  <si>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</si>
  <si>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</si>
  <si>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</si>
  <si>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</si>
  <si>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</si>
  <si>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</si>
  <si>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</si>
  <si>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</si>
  <si>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</si>
  <si>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</si>
  <si>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</si>
  <si>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</si>
  <si>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</si>
  <si>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</si>
  <si>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</si>
  <si>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</si>
  <si>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</si>
  <si>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</si>
  <si>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</si>
  <si>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</si>
  <si>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</si>
  <si>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</si>
  <si>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</si>
  <si>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</si>
  <si>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</si>
  <si>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</si>
  <si>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</si>
  <si>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</si>
  <si>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</si>
  <si>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</si>
  <si>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</si>
  <si>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</si>
  <si>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</si>
  <si>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</si>
  <si>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</si>
  <si>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</si>
  <si>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</si>
  <si>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</si>
  <si>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</si>
  <si>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</si>
  <si>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</si>
  <si>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</si>
  <si>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</si>
  <si>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</si>
  <si>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</si>
  <si>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</si>
  <si>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</si>
  <si>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</si>
  <si>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</si>
  <si>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</si>
  <si>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</si>
  <si>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</si>
  <si>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</si>
  <si>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</si>
  <si>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</si>
  <si>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</si>
  <si>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</si>
  <si>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</si>
  <si>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</si>
  <si>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</si>
  <si>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</si>
  <si>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</si>
  <si>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</si>
  <si>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</si>
  <si>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</si>
  <si>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</si>
  <si>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</si>
  <si>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</si>
  <si>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</si>
  <si>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</si>
  <si>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</si>
  <si>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</si>
  <si>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</si>
  <si>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</si>
  <si>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</si>
  <si>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</si>
  <si>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</si>
  <si>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</si>
  <si>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</si>
  <si>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</si>
  <si>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</si>
  <si>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</si>
  <si>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</si>
  <si>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</si>
  <si>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</si>
  <si>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</si>
  <si>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</si>
  <si>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</si>
  <si>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</si>
  <si>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</si>
  <si>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</si>
  <si>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</si>
  <si>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</si>
  <si>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</si>
  <si>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</si>
  <si>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</si>
  <si>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</si>
  <si>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</si>
  <si>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</si>
  <si>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</si>
  <si>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</si>
  <si>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</si>
  <si>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</si>
  <si>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</si>
  <si>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</si>
  <si>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</si>
  <si>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</si>
  <si>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</si>
  <si>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</si>
  <si>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</si>
  <si>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</si>
  <si>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</si>
  <si>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</si>
  <si>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</si>
  <si>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</si>
  <si>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</si>
  <si>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</si>
  <si>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</si>
  <si>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</si>
  <si>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</si>
  <si>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</si>
  <si>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</si>
  <si>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</si>
  <si>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</si>
  <si>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</si>
  <si>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</si>
  <si>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</si>
  <si>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</si>
  <si>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</si>
  <si>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</si>
  <si>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</si>
  <si>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</si>
  <si>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</si>
  <si>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</si>
  <si>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</si>
  <si>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</si>
  <si>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</si>
  <si>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</si>
  <si>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</si>
  <si>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</si>
  <si>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</si>
  <si>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</si>
  <si>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</si>
  <si>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</si>
  <si>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</si>
  <si>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</si>
  <si>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</si>
  <si>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</si>
  <si>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</si>
  <si>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</si>
  <si>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</si>
  <si>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</si>
  <si>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</si>
  <si>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</si>
  <si>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</si>
  <si>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</si>
  <si>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</si>
  <si>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</si>
  <si>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</si>
  <si>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</si>
  <si>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</si>
  <si>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</si>
  <si>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</si>
  <si>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</si>
  <si>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</si>
  <si>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</si>
  <si>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</si>
  <si>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</si>
  <si>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</si>
  <si>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</si>
  <si>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</si>
  <si>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</si>
  <si>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</si>
  <si>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</si>
  <si>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</si>
  <si>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</si>
  <si>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</si>
  <si>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</si>
  <si>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</si>
  <si>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</si>
  <si>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</si>
  <si>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</si>
  <si>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</si>
  <si>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</si>
  <si>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</si>
  <si>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</si>
  <si>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</si>
  <si>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</si>
  <si>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</si>
  <si>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</si>
  <si>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</si>
  <si>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</si>
  <si>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</si>
  <si>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</si>
  <si>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</si>
  <si>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</si>
  <si>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</si>
  <si>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</si>
  <si>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</si>
  <si>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</si>
  <si>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</si>
  <si>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</si>
  <si>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</si>
  <si>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</si>
  <si>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</si>
  <si>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</si>
  <si>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</si>
  <si>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</si>
  <si>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</si>
  <si>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</si>
  <si>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</si>
  <si>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</si>
  <si>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</si>
  <si>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</si>
  <si>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</si>
  <si>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</si>
  <si>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</si>
  <si>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</si>
  <si>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</si>
  <si>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</si>
  <si>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</si>
  <si>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</si>
  <si>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</si>
  <si>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</si>
  <si>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</si>
  <si>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</si>
  <si>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</si>
  <si>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</si>
  <si>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</si>
  <si>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</si>
  <si>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</si>
  <si>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</si>
  <si>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</si>
  <si>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</si>
  <si>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</si>
  <si>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</si>
  <si>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</si>
  <si>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</si>
  <si>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</si>
  <si>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</si>
  <si>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</si>
  <si>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</si>
  <si>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</si>
  <si>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</si>
  <si>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</si>
  <si>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</si>
  <si>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</si>
  <si>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</si>
  <si>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</si>
  <si>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</si>
  <si>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</si>
  <si>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</si>
  <si>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</si>
  <si>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</si>
  <si>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</si>
  <si>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</si>
  <si>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</si>
  <si>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</si>
  <si>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</si>
  <si>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</si>
  <si>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</si>
  <si>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</si>
  <si>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</si>
  <si>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</si>
  <si>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</si>
  <si>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</si>
  <si>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</si>
  <si>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</si>
  <si>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</si>
  <si>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</si>
  <si>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</si>
  <si>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</si>
  <si>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</si>
  <si>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</si>
  <si>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</si>
  <si>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</si>
  <si>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</si>
  <si>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</si>
  <si>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</si>
  <si>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</si>
  <si>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</si>
  <si>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</si>
  <si>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</si>
  <si>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</si>
  <si>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</si>
  <si>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</si>
  <si>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</si>
  <si>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</si>
  <si>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</si>
  <si>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</si>
  <si>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</si>
  <si>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</si>
  <si>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</si>
  <si>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</si>
  <si>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</si>
  <si>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</si>
  <si>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</si>
  <si>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</si>
  <si>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</si>
  <si>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</si>
  <si>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</si>
  <si>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</si>
  <si>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</si>
  <si>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</si>
  <si>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</si>
  <si>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</si>
  <si>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</si>
  <si>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</si>
  <si>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</si>
  <si>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</si>
  <si>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</si>
  <si>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</si>
  <si>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</si>
  <si>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</si>
  <si>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</si>
  <si>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</si>
  <si>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</si>
  <si>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</si>
  <si>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</si>
  <si>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</si>
  <si>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</si>
  <si>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</si>
  <si>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</si>
  <si>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</si>
  <si>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</si>
  <si>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</si>
  <si>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</si>
  <si>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</si>
  <si>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</si>
  <si>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</si>
  <si>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</si>
  <si>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</si>
  <si>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</si>
  <si>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</si>
  <si>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</si>
  <si>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</si>
  <si>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</si>
  <si>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</si>
  <si>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</si>
  <si>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</si>
  <si>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</si>
  <si>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</si>
  <si>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</si>
  <si>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</si>
  <si>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</si>
  <si>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</si>
  <si>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</si>
  <si>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</si>
  <si>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</si>
  <si>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</si>
  <si>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</si>
  <si>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</si>
  <si>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</si>
  <si>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</si>
  <si>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</si>
  <si>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</si>
  <si>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</si>
  <si>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</si>
  <si>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</si>
  <si>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</si>
  <si>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</si>
  <si>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</si>
  <si>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</si>
  <si>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</si>
  <si>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</si>
  <si>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</si>
  <si>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</si>
  <si>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</si>
  <si>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</si>
  <si>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</si>
  <si>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</si>
  <si>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</si>
  <si>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</si>
  <si>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</si>
  <si>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</si>
  <si>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</si>
  <si>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</si>
  <si>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</si>
  <si>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</si>
  <si>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</si>
  <si>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</si>
  <si>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</si>
  <si>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</si>
  <si>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</si>
  <si>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</si>
  <si>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</si>
  <si>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</si>
  <si>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</si>
  <si>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</si>
  <si>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</si>
  <si>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</si>
  <si>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</si>
  <si>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</si>
  <si>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</si>
  <si>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</si>
  <si>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</si>
  <si>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</si>
  <si>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</si>
  <si>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</si>
  <si>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</si>
  <si>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</si>
  <si>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</si>
  <si>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</si>
  <si>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</si>
  <si>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</si>
  <si>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</si>
  <si>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</si>
  <si>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</si>
  <si>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</si>
  <si>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</si>
  <si>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</si>
  <si>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</si>
  <si>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</si>
  <si>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</si>
  <si>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</si>
  <si>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</si>
  <si>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</si>
  <si>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</si>
  <si>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</si>
  <si>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</si>
  <si>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</si>
  <si>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</si>
  <si>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</si>
  <si>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</si>
  <si>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</si>
  <si>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</si>
  <si>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</si>
  <si>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</si>
  <si>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</si>
  <si>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</si>
  <si>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</si>
  <si>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</si>
  <si>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</si>
  <si>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</si>
  <si>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</si>
  <si>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</si>
  <si>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</si>
  <si>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</si>
  <si>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</si>
  <si>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</si>
  <si>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</si>
  <si>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</si>
  <si>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</si>
  <si>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</si>
  <si>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</si>
  <si>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</si>
  <si>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</si>
  <si>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</si>
  <si>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</si>
  <si>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</si>
  <si>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</si>
  <si>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</si>
  <si>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</si>
  <si>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</si>
  <si>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</si>
  <si>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</si>
  <si>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</si>
  <si>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</si>
  <si>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</si>
  <si>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</si>
  <si>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</si>
  <si>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</si>
  <si>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</si>
  <si>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</si>
  <si>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</si>
  <si>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</si>
  <si>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</si>
  <si>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</si>
  <si>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</si>
  <si>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</si>
  <si>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</si>
  <si>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</si>
  <si>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</si>
  <si>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</si>
  <si>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</si>
  <si>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</si>
  <si>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</si>
  <si>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</si>
  <si>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</si>
  <si>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</si>
  <si>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</si>
  <si>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</si>
  <si>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</si>
  <si>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</si>
  <si>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</si>
  <si>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</si>
  <si>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</si>
  <si>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</si>
  <si>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</si>
  <si>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</si>
  <si>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</si>
  <si>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</si>
  <si>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</si>
  <si>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</si>
  <si>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</si>
  <si>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</si>
  <si>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</si>
  <si>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</si>
  <si>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</si>
  <si>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</si>
  <si>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</si>
  <si>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</si>
  <si>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</si>
  <si>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</si>
  <si>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</si>
  <si>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</si>
  <si>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</si>
  <si>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</si>
  <si>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</si>
  <si>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</si>
  <si>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</si>
  <si>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</si>
  <si>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</si>
  <si>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</si>
  <si>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</si>
  <si>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</si>
  <si>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</si>
  <si>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</si>
  <si>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</si>
  <si>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</si>
  <si>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</si>
  <si>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</si>
  <si>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</si>
  <si>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</si>
  <si>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</si>
  <si>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</si>
  <si>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</si>
  <si>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</si>
  <si>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</si>
  <si>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</si>
  <si>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</si>
  <si>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</si>
  <si>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</si>
  <si>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</si>
  <si>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</si>
  <si>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</si>
  <si>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</si>
  <si>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</si>
  <si>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</si>
  <si>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</si>
  <si>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</si>
  <si>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</si>
  <si>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</si>
  <si>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</si>
  <si>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</si>
  <si>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</si>
  <si>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</si>
  <si>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</si>
  <si>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</si>
  <si>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</si>
  <si>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</si>
  <si>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</si>
  <si>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</si>
  <si>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</si>
  <si>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</si>
  <si>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</si>
  <si>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</si>
  <si>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</si>
  <si>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</si>
  <si>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</si>
  <si>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</si>
  <si>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</si>
  <si>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</si>
  <si>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</si>
  <si>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</si>
  <si>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</si>
  <si>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</si>
  <si>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</si>
  <si>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</si>
  <si>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</si>
  <si>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</si>
  <si>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</si>
  <si>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</si>
  <si>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</si>
  <si>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</si>
  <si>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</si>
  <si>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</si>
  <si>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</si>
  <si>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</si>
  <si>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</si>
  <si>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</si>
  <si>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</si>
  <si>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</si>
  <si>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</si>
  <si>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</si>
  <si>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</si>
  <si>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</si>
  <si>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</si>
  <si>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</si>
  <si>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</si>
  <si>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</si>
  <si>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</si>
  <si>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</si>
  <si>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</si>
  <si>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</si>
  <si>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</si>
  <si>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</si>
  <si>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</si>
  <si>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</si>
  <si>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</si>
  <si>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</si>
  <si>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</si>
  <si>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</si>
  <si>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</si>
  <si>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</si>
  <si>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</si>
  <si>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</si>
  <si>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</si>
  <si>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</si>
  <si>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</si>
  <si>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</si>
  <si>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</si>
  <si>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</si>
  <si>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</si>
  <si>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</si>
  <si>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</si>
  <si>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</si>
  <si>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</si>
  <si>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</si>
  <si>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</si>
  <si>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</si>
  <si>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</si>
  <si>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</si>
  <si>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</si>
  <si>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</si>
  <si>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</si>
  <si>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</si>
  <si>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</si>
  <si>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</si>
  <si>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</si>
  <si>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</si>
  <si>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</si>
  <si>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</si>
  <si>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</si>
  <si>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</si>
  <si>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</si>
  <si>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</si>
  <si>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</si>
  <si>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</si>
  <si>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</si>
  <si>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</si>
  <si>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</si>
  <si>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</si>
  <si>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</si>
  <si>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</si>
  <si>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</si>
  <si>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</si>
  <si>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</si>
  <si>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</si>
  <si>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</si>
  <si>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</si>
  <si>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</si>
  <si>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</si>
  <si>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</si>
  <si>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</si>
  <si>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</si>
  <si>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</si>
  <si>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</si>
  <si>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</si>
  <si>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</si>
  <si>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</si>
  <si>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</si>
  <si>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</si>
  <si>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</si>
  <si>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</si>
  <si>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</si>
  <si>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</si>
  <si>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</si>
  <si>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</si>
  <si>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</si>
  <si>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</si>
  <si>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</si>
  <si>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</si>
  <si>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</si>
  <si>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</si>
  <si>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</si>
  <si>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</si>
  <si>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</si>
  <si>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</si>
  <si>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</si>
  <si>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</si>
  <si>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</si>
  <si>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</si>
  <si>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</si>
  <si>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</si>
  <si>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</si>
  <si>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</si>
  <si>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</si>
  <si>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</si>
  <si>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</si>
  <si>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</si>
  <si>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</si>
  <si>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</si>
  <si>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</si>
  <si>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</si>
  <si>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</si>
  <si>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</si>
  <si>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</si>
  <si>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</si>
  <si>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</si>
  <si>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</si>
  <si>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</si>
  <si>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</si>
  <si>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</si>
  <si>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</si>
  <si>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</si>
  <si>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</si>
  <si>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</si>
  <si>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</si>
  <si>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</si>
  <si>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</si>
  <si>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</si>
  <si>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</si>
  <si>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</si>
  <si>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</si>
  <si>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</si>
  <si>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</si>
  <si>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</si>
  <si>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</si>
  <si>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</si>
  <si>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</si>
  <si>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</si>
  <si>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</si>
  <si>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</si>
  <si>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</si>
  <si>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</si>
  <si>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</si>
  <si>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</si>
  <si>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</si>
  <si>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</si>
  <si>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</si>
  <si>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</si>
  <si>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</si>
  <si>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</si>
  <si>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</si>
  <si>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</si>
  <si>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</si>
  <si>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</si>
  <si>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</si>
  <si>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</si>
  <si>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</si>
  <si>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</si>
  <si>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</si>
  <si>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</si>
  <si>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</si>
  <si>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</si>
  <si>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</si>
  <si>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</si>
  <si>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</si>
  <si>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</si>
  <si>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</si>
  <si>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</si>
  <si>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</si>
  <si>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</si>
  <si>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</si>
  <si>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</si>
  <si>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</si>
  <si>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</si>
  <si>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</si>
  <si>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</si>
  <si>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</si>
  <si>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</si>
  <si>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</si>
  <si>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</si>
  <si>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</si>
  <si>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</si>
  <si>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</si>
  <si>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</si>
  <si>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</si>
  <si>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</si>
  <si>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</si>
  <si>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</si>
  <si>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</si>
  <si>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</si>
  <si>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</si>
  <si>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</si>
  <si>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</si>
  <si>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</si>
  <si>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</si>
  <si>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</si>
  <si>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</si>
  <si>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</si>
  <si>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</si>
  <si>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</si>
  <si>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</si>
  <si>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</si>
  <si>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</si>
  <si>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</si>
  <si>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</si>
  <si>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</si>
  <si>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</si>
  <si>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</si>
  <si>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</si>
  <si>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</si>
  <si>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</si>
  <si>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</si>
  <si>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</si>
  <si>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</si>
  <si>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</si>
  <si>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</si>
  <si>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</si>
  <si>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</si>
  <si>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</si>
  <si>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</si>
  <si>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</si>
  <si>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</si>
  <si>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</si>
  <si>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</si>
  <si>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</si>
  <si>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</si>
  <si>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</si>
  <si>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</si>
  <si>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</si>
  <si>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</si>
  <si>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</si>
  <si>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</si>
  <si>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</si>
  <si>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</si>
  <si>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</si>
  <si>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</si>
  <si>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</si>
  <si>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</si>
  <si>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</si>
  <si>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</si>
  <si>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</si>
  <si>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</si>
  <si>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</si>
  <si>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</si>
  <si>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</si>
  <si>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</si>
  <si>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</si>
  <si>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</si>
  <si>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</si>
  <si>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</si>
  <si>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</si>
  <si>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</si>
  <si>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</si>
  <si>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</si>
  <si>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</si>
  <si>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</si>
  <si>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</si>
  <si>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</si>
  <si>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</si>
  <si>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</si>
  <si>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</si>
  <si>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</si>
  <si>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</si>
  <si>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</si>
  <si>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</si>
  <si>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</si>
  <si>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</si>
  <si>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</si>
  <si>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</si>
  <si>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</si>
  <si>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</si>
  <si>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</si>
  <si>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</si>
  <si>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</si>
  <si>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</si>
  <si>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</si>
  <si>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</si>
  <si>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</si>
  <si>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</si>
  <si>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</si>
  <si>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</si>
  <si>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</si>
  <si>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</si>
  <si>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</si>
  <si>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</si>
  <si>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</si>
  <si>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</si>
  <si>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</si>
  <si>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</si>
  <si>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</si>
  <si>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</si>
  <si>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</si>
  <si>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</si>
  <si>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</si>
  <si>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</si>
  <si>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</si>
  <si>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</si>
  <si>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</si>
  <si>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</si>
  <si>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</si>
  <si>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</si>
  <si>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</si>
  <si>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</si>
  <si>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</si>
  <si>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</si>
  <si>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</si>
  <si>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</si>
  <si>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</si>
  <si>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</si>
  <si>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</si>
  <si>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</si>
  <si>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</si>
  <si>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</si>
  <si>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</si>
  <si>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</si>
  <si>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</si>
  <si>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</si>
  <si>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</si>
  <si>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</si>
  <si>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</si>
  <si>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</si>
  <si>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</si>
  <si>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</si>
  <si>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</si>
  <si>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</si>
  <si>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</si>
  <si>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</si>
  <si>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</si>
  <si>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</si>
  <si>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</si>
  <si>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</si>
  <si>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</si>
  <si>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</si>
  <si>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</si>
  <si>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</si>
  <si>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</si>
  <si>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</si>
  <si>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</si>
  <si>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</si>
  <si>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</si>
  <si>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</si>
  <si>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</si>
  <si>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</si>
  <si>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</si>
  <si>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</si>
  <si>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</si>
  <si>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</si>
  <si>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</si>
  <si>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</si>
  <si>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</si>
  <si>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</si>
  <si>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</si>
  <si>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</si>
  <si>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</si>
  <si>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</si>
  <si>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</si>
  <si>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</si>
  <si>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</si>
  <si>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</si>
  <si>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</si>
  <si>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</si>
  <si>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</si>
  <si>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</si>
  <si>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</si>
  <si>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</si>
  <si>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</si>
  <si>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</si>
  <si>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</si>
  <si>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</si>
  <si>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</si>
  <si>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</si>
  <si>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</si>
  <si>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</si>
  <si>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</si>
  <si>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</si>
  <si>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</si>
  <si>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</si>
  <si>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</si>
  <si>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</si>
  <si>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</si>
  <si>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</si>
  <si>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</si>
  <si>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</si>
  <si>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</si>
  <si>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</si>
  <si>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</si>
  <si>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</si>
  <si>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</si>
  <si>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</si>
  <si>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</si>
  <si>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</si>
  <si>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</si>
  <si>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</si>
  <si>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</si>
  <si>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</si>
  <si>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</si>
  <si>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</si>
  <si>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</si>
  <si>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</si>
  <si>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</si>
  <si>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</si>
  <si>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</si>
  <si>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</si>
  <si>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</si>
  <si>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</si>
  <si>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</si>
  <si>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</si>
  <si>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</si>
  <si>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</si>
  <si>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</si>
  <si>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</si>
  <si>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</si>
  <si>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</si>
  <si>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</si>
  <si>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</si>
  <si>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</si>
  <si>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</si>
  <si>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</si>
  <si>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</si>
  <si>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</si>
  <si>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</si>
  <si>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</si>
  <si>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</si>
  <si>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</si>
  <si>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</si>
  <si>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</si>
  <si>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</si>
  <si>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</si>
  <si>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</si>
  <si>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</si>
  <si>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</si>
  <si>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</si>
  <si>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</si>
  <si>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</si>
  <si>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</si>
  <si>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</si>
  <si>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</si>
  <si>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</si>
  <si>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</si>
  <si>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</si>
  <si>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</si>
  <si>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</si>
  <si>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</si>
  <si>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</si>
  <si>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</si>
  <si>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</si>
  <si>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</si>
  <si>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</si>
  <si>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</si>
  <si>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</si>
  <si>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</si>
  <si>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</si>
  <si>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</si>
  <si>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</si>
  <si>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</si>
  <si>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</si>
  <si>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</si>
  <si>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</si>
  <si>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</si>
  <si>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</si>
  <si>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</si>
  <si>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</si>
  <si>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</si>
  <si>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</si>
  <si>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</si>
  <si>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</si>
  <si>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</si>
  <si>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</si>
  <si>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</si>
  <si>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</si>
  <si>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</si>
  <si>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</si>
  <si>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</si>
  <si>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</si>
  <si>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</si>
  <si>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</si>
  <si>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</si>
  <si>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</si>
  <si>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</si>
  <si>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</si>
  <si>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</si>
  <si>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</si>
  <si>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</si>
  <si>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</si>
  <si>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</si>
  <si>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</si>
  <si>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</si>
  <si>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</si>
  <si>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</si>
  <si>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</si>
  <si>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</si>
  <si>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</si>
  <si>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</si>
  <si>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</si>
  <si>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</si>
  <si>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</si>
  <si>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</si>
  <si>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</si>
  <si>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</si>
  <si>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</si>
  <si>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</si>
  <si>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</si>
  <si>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</si>
  <si>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</si>
  <si>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</si>
  <si>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</si>
  <si>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</si>
  <si>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</si>
  <si>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</si>
  <si>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</si>
  <si>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</si>
  <si>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</si>
  <si>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</si>
  <si>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</si>
  <si>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</si>
  <si>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</si>
  <si>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</si>
  <si>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</si>
  <si>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</si>
  <si>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</si>
  <si>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</si>
  <si>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</si>
  <si>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</si>
  <si>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</si>
  <si>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</si>
  <si>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</si>
  <si>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</si>
  <si>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</si>
  <si>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</si>
  <si>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</si>
  <si>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</si>
  <si>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</si>
  <si>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</si>
  <si>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</si>
  <si>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</si>
  <si>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</si>
  <si>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</si>
  <si>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</si>
  <si>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</si>
  <si>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</si>
  <si>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</si>
  <si>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</si>
  <si>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</si>
  <si>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</si>
  <si>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</si>
  <si>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</si>
  <si>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</si>
  <si>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</si>
  <si>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</si>
  <si>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</si>
  <si>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</si>
  <si>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</si>
  <si>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</si>
  <si>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</si>
  <si>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</si>
  <si>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</si>
  <si>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</si>
  <si>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</si>
  <si>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</si>
  <si>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</si>
  <si>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</si>
  <si>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</si>
  <si>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</si>
  <si>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</si>
  <si>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</si>
  <si>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</si>
  <si>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</si>
  <si>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</si>
  <si>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</si>
  <si>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</si>
  <si>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</si>
  <si>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</si>
  <si>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</si>
  <si>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</si>
  <si>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</si>
  <si>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</si>
  <si>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</si>
  <si>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</si>
  <si>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</si>
  <si>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</si>
  <si>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</si>
  <si>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</si>
  <si>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</si>
  <si>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</si>
  <si>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</si>
  <si>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</si>
  <si>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</si>
  <si>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</si>
  <si>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</si>
  <si>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</si>
  <si>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</si>
  <si>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</si>
  <si>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</si>
  <si>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</si>
  <si>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</si>
  <si>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</si>
  <si>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</si>
  <si>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</si>
  <si>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</si>
  <si>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</si>
  <si>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</si>
  <si>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</si>
  <si>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</si>
  <si>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</si>
  <si>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</si>
  <si>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</si>
  <si>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</si>
  <si>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</si>
  <si>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</si>
  <si>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</si>
  <si>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</si>
  <si>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</si>
  <si>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</si>
  <si>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</si>
  <si>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</si>
  <si>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</si>
  <si>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</si>
  <si>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</si>
  <si>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</si>
  <si>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</si>
  <si>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</si>
  <si>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</si>
  <si>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</si>
  <si>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</si>
  <si>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</si>
  <si>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</si>
  <si>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</si>
  <si>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</si>
  <si>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</si>
  <si>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</si>
  <si>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</si>
  <si>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</si>
  <si>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</si>
  <si>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</si>
  <si>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</si>
  <si>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</si>
  <si>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</si>
  <si>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</si>
  <si>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</si>
  <si>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</si>
  <si>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</si>
  <si>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</si>
  <si>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</si>
  <si>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</si>
  <si>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</si>
  <si>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</si>
  <si>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</si>
  <si>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</si>
  <si>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</si>
  <si>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</si>
  <si>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</si>
  <si>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</si>
  <si>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</si>
  <si>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</si>
  <si>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</si>
  <si>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</si>
  <si>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</si>
  <si>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</si>
  <si>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</si>
  <si>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</si>
  <si>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</si>
  <si>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</si>
  <si>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</si>
  <si>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</si>
  <si>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</si>
  <si>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</si>
  <si>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</si>
  <si>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</si>
  <si>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</si>
  <si>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</si>
  <si>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</si>
  <si>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</si>
  <si>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</si>
  <si>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</si>
  <si>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</si>
  <si>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</si>
  <si>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</si>
  <si>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</si>
  <si>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</si>
  <si>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</si>
  <si>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</si>
  <si>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</si>
  <si>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</si>
  <si>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</si>
  <si>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</si>
  <si>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</si>
  <si>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</si>
  <si>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</si>
  <si>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</si>
  <si>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</si>
  <si>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</si>
  <si>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</si>
  <si>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</si>
  <si>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</si>
  <si>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</si>
  <si>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</si>
  <si>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</si>
  <si>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</si>
  <si>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</si>
  <si>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</si>
  <si>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</si>
  <si>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</si>
  <si>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</si>
  <si>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</si>
  <si>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</si>
  <si>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</si>
  <si>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</si>
  <si>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</si>
  <si>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</si>
  <si>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</si>
  <si>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</si>
  <si>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</si>
  <si>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</si>
  <si>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</si>
  <si>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</si>
  <si>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</si>
  <si>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</si>
  <si>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</si>
  <si>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</si>
  <si>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</si>
  <si>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</si>
  <si>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</si>
  <si>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</si>
  <si>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</si>
  <si>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</si>
  <si>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</si>
  <si>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</si>
  <si>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</si>
  <si>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</si>
  <si>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</si>
  <si>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</si>
  <si>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</si>
  <si>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</si>
  <si>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</si>
  <si>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</si>
  <si>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</si>
  <si>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</si>
  <si>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</si>
  <si>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</si>
  <si>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</si>
  <si>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</si>
  <si>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</si>
  <si>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</si>
  <si>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</si>
  <si>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</si>
  <si>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</si>
  <si>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</si>
  <si>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</si>
  <si>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</si>
  <si>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</si>
  <si>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</si>
  <si>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</si>
  <si>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</si>
  <si>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</si>
  <si>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</si>
  <si>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</si>
  <si>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</si>
  <si>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</si>
  <si>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</si>
  <si>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</si>
  <si>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</si>
  <si>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</si>
  <si>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</si>
  <si>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</si>
  <si>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</si>
  <si>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</si>
  <si>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</si>
  <si>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</si>
  <si>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</si>
  <si>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</si>
  <si>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</si>
  <si>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</si>
  <si>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</si>
  <si>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</si>
  <si>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</si>
  <si>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</si>
  <si>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</si>
  <si>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</si>
  <si>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</si>
  <si>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</si>
  <si>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</si>
  <si>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</si>
  <si>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</si>
  <si>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</si>
  <si>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</si>
  <si>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</si>
  <si>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</si>
  <si>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</si>
  <si>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</si>
  <si>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</si>
  <si>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</si>
  <si>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</si>
  <si>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</si>
  <si>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</si>
  <si>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</si>
  <si>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</si>
  <si>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</si>
  <si>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</si>
  <si>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</si>
  <si>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</si>
  <si>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</si>
  <si>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</si>
  <si>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</si>
  <si>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</si>
  <si>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</si>
  <si>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</si>
  <si>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</si>
  <si>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</si>
  <si>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</si>
  <si>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</si>
  <si>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</si>
  <si>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</si>
  <si>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</si>
  <si>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</si>
  <si>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</si>
  <si>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</si>
  <si>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</si>
  <si>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</si>
  <si>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</si>
  <si>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</si>
  <si>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</si>
  <si>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</si>
  <si>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</si>
  <si>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</si>
  <si>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</si>
  <si>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</si>
  <si>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</si>
  <si>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</si>
  <si>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</si>
  <si>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</si>
  <si>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</si>
  <si>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</si>
  <si>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</si>
  <si>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</si>
  <si>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</si>
  <si>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</si>
  <si>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</si>
  <si>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</si>
  <si>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</si>
  <si>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</si>
  <si>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</si>
  <si>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</si>
  <si>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</si>
  <si>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</si>
  <si>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</si>
  <si>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</si>
  <si>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</si>
  <si>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</si>
  <si>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</si>
  <si>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</si>
  <si>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</si>
  <si>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</si>
  <si>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</si>
  <si>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</si>
  <si>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</si>
  <si>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</si>
  <si>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</si>
  <si>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</si>
  <si>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</si>
  <si>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</si>
  <si>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</si>
  <si>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</si>
  <si>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</si>
  <si>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</si>
  <si>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</si>
  <si>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</si>
  <si>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</si>
  <si>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</si>
  <si>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</si>
  <si>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</si>
  <si>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</si>
  <si>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</si>
  <si>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</si>
  <si>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</si>
  <si>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</si>
  <si>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</si>
  <si>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</si>
  <si>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</si>
  <si>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</si>
  <si>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</si>
  <si>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</si>
  <si>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</si>
  <si>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</si>
  <si>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</si>
  <si>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</si>
  <si>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</si>
  <si>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</si>
  <si>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</si>
  <si>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</si>
  <si>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</si>
  <si>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</si>
  <si>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</si>
  <si>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</si>
  <si>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</si>
  <si>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</si>
  <si>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</si>
  <si>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</si>
  <si>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</si>
  <si>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</si>
  <si>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</si>
  <si>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</si>
  <si>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</si>
  <si>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</si>
  <si>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</si>
  <si>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</si>
  <si>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</si>
  <si>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</si>
  <si>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</si>
  <si>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</si>
  <si>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</si>
  <si>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</si>
  <si>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</si>
  <si>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</si>
  <si>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</si>
  <si>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</si>
  <si>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</si>
  <si>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</si>
  <si>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</si>
  <si>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</si>
  <si>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</si>
  <si>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</si>
  <si>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</si>
  <si>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</si>
  <si>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</si>
  <si>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</si>
  <si>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</si>
  <si>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</si>
  <si>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</si>
  <si>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</si>
  <si>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</si>
  <si>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</si>
  <si>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</si>
  <si>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</si>
  <si>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</si>
  <si>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</si>
  <si>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</si>
  <si>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</si>
  <si>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</si>
  <si>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</si>
  <si>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</si>
  <si>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</si>
  <si>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</si>
  <si>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</si>
  <si>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</si>
  <si>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</si>
  <si>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</si>
  <si>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</si>
  <si>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</si>
  <si>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</si>
  <si>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</si>
  <si>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</si>
  <si>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</si>
  <si>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</si>
  <si>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</si>
  <si>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</si>
  <si>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</si>
  <si>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</si>
  <si>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</si>
  <si>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</si>
  <si>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</si>
  <si>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</si>
  <si>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</si>
  <si>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</si>
  <si>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</si>
  <si>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</si>
  <si>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</si>
  <si>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</si>
  <si>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</si>
  <si>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</si>
  <si>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</si>
  <si>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</si>
  <si>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</si>
  <si>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</si>
  <si>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</si>
  <si>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</si>
  <si>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</si>
  <si>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</si>
  <si>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</si>
  <si>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</si>
  <si>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</si>
  <si>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</si>
  <si>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</si>
  <si>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</si>
  <si>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</si>
  <si>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</si>
  <si>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</si>
  <si>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</si>
  <si>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</si>
  <si>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</si>
  <si>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</si>
  <si>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</si>
  <si>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</si>
  <si>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</si>
  <si>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</si>
  <si>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</si>
  <si>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</si>
  <si>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</si>
  <si>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</si>
  <si>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</si>
  <si>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</si>
  <si>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</si>
  <si>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</si>
  <si>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</si>
  <si>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</si>
  <si>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</si>
  <si>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</si>
  <si>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</si>
  <si>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</si>
  <si>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</si>
  <si>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</si>
  <si>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</si>
  <si>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</si>
  <si>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</si>
  <si>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</si>
  <si>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</si>
  <si>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</si>
  <si>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</si>
  <si>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</si>
  <si>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</si>
  <si>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</si>
  <si>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</si>
  <si>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</si>
  <si>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</si>
  <si>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</si>
  <si>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</si>
  <si>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</si>
  <si>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</si>
  <si>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</si>
  <si>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</si>
  <si>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</si>
  <si>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</si>
  <si>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</si>
  <si>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</si>
  <si>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</si>
  <si>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</si>
  <si>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</si>
  <si>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</si>
  <si>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</si>
  <si>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</si>
  <si>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</si>
  <si>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</si>
  <si>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</si>
  <si>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</si>
  <si>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</si>
  <si>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</si>
  <si>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</si>
  <si>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</si>
  <si>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</si>
  <si>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</si>
  <si>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</si>
  <si>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</si>
  <si>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</si>
  <si>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</si>
  <si>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</si>
  <si>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</si>
  <si>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</si>
  <si>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</si>
  <si>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</si>
  <si>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</si>
  <si>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</si>
  <si>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</si>
  <si>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</si>
  <si>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</si>
  <si>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</si>
  <si>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</si>
  <si>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</si>
  <si>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</si>
  <si>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</si>
  <si>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</si>
  <si>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</si>
  <si>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</si>
  <si>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</si>
  <si>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</si>
  <si>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</si>
  <si>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</si>
  <si>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</si>
  <si>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</si>
  <si>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</si>
  <si>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</si>
  <si>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</si>
  <si>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</si>
  <si>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</si>
  <si>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</si>
  <si>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</si>
  <si>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</si>
  <si>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</si>
  <si>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</si>
  <si>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</si>
  <si>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</si>
  <si>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</si>
  <si>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</si>
  <si>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</si>
  <si>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</si>
  <si>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</si>
  <si>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</si>
  <si>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</si>
  <si>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</si>
  <si>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</si>
  <si>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</si>
  <si>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</si>
  <si>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</si>
  <si>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</si>
  <si>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</si>
  <si>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</si>
  <si>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</si>
  <si>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</si>
  <si>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</si>
  <si>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</si>
  <si>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</si>
  <si>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</si>
  <si>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</si>
  <si>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</si>
  <si>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</si>
  <si>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</si>
  <si>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</si>
  <si>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</si>
  <si>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</si>
  <si>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</si>
  <si>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</si>
  <si>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</si>
  <si>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</si>
  <si>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</si>
  <si>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</si>
  <si>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</si>
  <si>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</si>
  <si>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</si>
  <si>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</si>
  <si>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</si>
  <si>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</si>
  <si>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</si>
  <si>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</si>
  <si>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</si>
  <si>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</si>
  <si>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</si>
  <si>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</si>
  <si>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</si>
  <si>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</si>
  <si>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</si>
  <si>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</si>
  <si>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</si>
  <si>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</si>
  <si>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</si>
  <si>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</si>
  <si>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</si>
  <si>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</si>
  <si>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</si>
  <si>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</si>
  <si>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</si>
  <si>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</si>
  <si>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</si>
  <si>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</si>
  <si>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</si>
  <si>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</si>
  <si>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</si>
  <si>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</si>
  <si>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</si>
  <si>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</si>
  <si>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</si>
  <si>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</si>
  <si>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</si>
  <si>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</si>
  <si>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</si>
  <si>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</si>
  <si>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</si>
  <si>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</si>
  <si>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</si>
  <si>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</si>
  <si>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</si>
  <si>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</si>
  <si>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</si>
  <si>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</si>
  <si>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</si>
  <si>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</si>
  <si>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</si>
  <si>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</si>
  <si>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</si>
  <si>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</si>
  <si>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</si>
  <si>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</si>
  <si>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</si>
  <si>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</si>
  <si>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</si>
  <si>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</si>
  <si>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</si>
  <si>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</si>
  <si>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</si>
  <si>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</si>
  <si>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</si>
  <si>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</si>
  <si>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</si>
  <si>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</si>
  <si>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</si>
  <si>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</si>
  <si>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</si>
  <si>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</si>
  <si>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</si>
  <si>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</si>
  <si>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</si>
  <si>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</si>
  <si>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</si>
  <si>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</si>
  <si>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</si>
  <si>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</si>
  <si>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</si>
  <si>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</si>
  <si>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</si>
  <si>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</si>
  <si>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</si>
  <si>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</si>
  <si>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</si>
  <si>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</si>
  <si>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</si>
  <si>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</si>
  <si>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</si>
  <si>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</si>
  <si>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</si>
  <si>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</si>
  <si>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</si>
  <si>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</si>
  <si>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</si>
  <si>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</si>
  <si>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</si>
  <si>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</si>
  <si>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</si>
  <si>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</si>
  <si>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</si>
  <si>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</si>
  <si>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</si>
  <si>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</si>
  <si>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</si>
  <si>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</si>
  <si>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</si>
  <si>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</si>
  <si>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</si>
  <si>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</si>
  <si>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</si>
  <si>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</si>
  <si>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</si>
  <si>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</si>
  <si>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</si>
  <si>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</si>
  <si>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</si>
  <si>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</si>
  <si>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</si>
  <si>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</si>
  <si>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</si>
  <si>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</si>
  <si>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</si>
  <si>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</si>
  <si>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</si>
  <si>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</si>
  <si>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</si>
  <si>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</si>
  <si>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</si>
  <si>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</si>
  <si>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</si>
  <si>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</si>
  <si>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</si>
  <si>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</si>
  <si>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</si>
  <si>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</si>
  <si>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</si>
  <si>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</si>
  <si>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</si>
  <si>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</si>
  <si>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</si>
  <si>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</si>
  <si>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</si>
  <si>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</si>
  <si>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</si>
  <si>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</si>
  <si>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</si>
  <si>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</si>
  <si>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</si>
  <si>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</si>
  <si>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</si>
  <si>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</si>
  <si>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</si>
  <si>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</si>
  <si>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</si>
  <si>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</si>
  <si>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</si>
  <si>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</si>
  <si>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</si>
  <si>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</si>
  <si>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</si>
  <si>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</si>
  <si>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</si>
  <si>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</si>
  <si>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</si>
  <si>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</si>
  <si>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</si>
  <si>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</si>
  <si>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</si>
  <si>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</si>
  <si>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</si>
  <si>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</si>
  <si>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</si>
  <si>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</si>
  <si>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</si>
  <si>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</si>
  <si>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</si>
  <si>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</si>
  <si>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</si>
  <si>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</si>
  <si>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</si>
  <si>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</si>
  <si>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</si>
  <si>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</si>
  <si>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</si>
  <si>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</si>
  <si>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</si>
  <si>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</si>
  <si>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</si>
  <si>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</si>
  <si>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</si>
  <si>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</si>
  <si>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</si>
  <si>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</si>
  <si>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</si>
  <si>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</si>
  <si>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</si>
  <si>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</si>
  <si>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</si>
  <si>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</si>
  <si>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</si>
  <si>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</si>
  <si>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</si>
  <si>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</si>
  <si>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</si>
  <si>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</si>
  <si>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</si>
  <si>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</si>
  <si>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</si>
  <si>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</si>
  <si>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</si>
  <si>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</si>
  <si>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</si>
  <si>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</si>
  <si>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</si>
  <si>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</si>
  <si>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</si>
  <si>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</si>
  <si>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</si>
  <si>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</si>
  <si>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</si>
  <si>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</si>
  <si>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</si>
  <si>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</si>
  <si>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</si>
  <si>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</si>
  <si>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</si>
  <si>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</si>
  <si>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</si>
  <si>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</si>
  <si>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</si>
  <si>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</si>
  <si>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</si>
  <si>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</si>
  <si>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</si>
  <si>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</si>
  <si>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</si>
  <si>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</si>
  <si>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</si>
  <si>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</si>
  <si>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</si>
  <si>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</si>
  <si>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</si>
  <si>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</si>
  <si>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</si>
  <si>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</si>
  <si>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</si>
  <si>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</si>
  <si>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</si>
  <si>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</si>
  <si>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</si>
  <si>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</si>
  <si>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</si>
  <si>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</si>
  <si>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</si>
  <si>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</si>
  <si>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</si>
  <si>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</si>
  <si>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</si>
  <si>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</si>
  <si>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</si>
  <si>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</si>
  <si>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</si>
  <si>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</si>
  <si>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</si>
  <si>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</si>
  <si>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</si>
  <si>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</si>
  <si>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</si>
  <si>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</si>
  <si>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</si>
  <si>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</si>
  <si>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</si>
  <si>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</si>
  <si>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</si>
  <si>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</si>
  <si>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</si>
  <si>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</si>
  <si>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</si>
  <si>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</si>
  <si>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</si>
  <si>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</si>
  <si>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</si>
  <si>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</si>
  <si>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</si>
  <si>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</si>
  <si>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</si>
  <si>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</si>
  <si>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</si>
  <si>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</si>
  <si>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</si>
  <si>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</si>
  <si>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</si>
  <si>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</si>
  <si>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</si>
  <si>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</si>
  <si>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</si>
  <si>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</si>
  <si>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</si>
  <si>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</si>
  <si>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</si>
  <si>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</si>
  <si>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</si>
  <si>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</si>
  <si>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</si>
  <si>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</si>
  <si>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</si>
  <si>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</si>
  <si>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</si>
  <si>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</si>
  <si>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</si>
  <si>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</si>
  <si>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</si>
  <si>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</si>
  <si>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</si>
  <si>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</si>
  <si>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</si>
  <si>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</si>
  <si>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</si>
  <si>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</si>
  <si>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</si>
  <si>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</si>
  <si>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</si>
  <si>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</si>
  <si>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</si>
  <si>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</si>
  <si>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</si>
  <si>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</si>
  <si>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</si>
  <si>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</si>
  <si>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</si>
  <si>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</si>
  <si>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</si>
  <si>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</si>
  <si>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</si>
  <si>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</si>
  <si>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</si>
  <si>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</si>
  <si>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</si>
  <si>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</si>
  <si>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</si>
  <si>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</si>
  <si>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</si>
  <si>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</si>
  <si>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</si>
  <si>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</si>
  <si>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</si>
  <si>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</si>
  <si>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</si>
  <si>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</si>
  <si>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</si>
  <si>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</si>
  <si>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</si>
  <si>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</si>
  <si>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</si>
  <si>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</si>
  <si>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</si>
  <si>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</si>
  <si>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</si>
  <si>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</si>
  <si>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</si>
  <si>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</si>
  <si>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</si>
  <si>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</si>
  <si>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</si>
  <si>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</si>
  <si>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</si>
  <si>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</si>
  <si>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</si>
  <si>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</si>
  <si>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</si>
  <si>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</si>
  <si>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</si>
  <si>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</si>
  <si>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</si>
  <si>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</si>
  <si>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</si>
  <si>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</si>
  <si>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</si>
  <si>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</si>
  <si>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</si>
  <si>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</si>
  <si>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</si>
  <si>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</si>
  <si>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</si>
  <si>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</si>
  <si>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</si>
  <si>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</si>
  <si>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</si>
  <si>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</si>
  <si>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</si>
  <si>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</si>
  <si>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</si>
  <si>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</si>
  <si>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</si>
  <si>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</si>
  <si>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</si>
  <si>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</si>
  <si>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</si>
  <si>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</si>
  <si>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</si>
  <si>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</si>
  <si>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</si>
  <si>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</si>
  <si>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</si>
  <si>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</si>
  <si>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</si>
  <si>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</si>
  <si>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</si>
  <si>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</si>
  <si>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</si>
  <si>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</si>
  <si>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</si>
  <si>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</si>
  <si>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</si>
  <si>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</si>
  <si>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</si>
  <si>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</si>
  <si>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</si>
  <si>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</si>
  <si>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</si>
  <si>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</si>
  <si>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</si>
  <si>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</si>
  <si>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</si>
  <si>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</si>
  <si>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</si>
  <si>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</si>
  <si>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</si>
  <si>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</si>
  <si>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</si>
  <si>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</si>
  <si>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</si>
  <si>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</si>
  <si>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</si>
  <si>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</si>
  <si>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</si>
  <si>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</si>
  <si>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</si>
  <si>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</si>
  <si>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</si>
  <si>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</si>
  <si>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</si>
  <si>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</si>
  <si>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</si>
  <si>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</si>
  <si>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</si>
  <si>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</si>
  <si>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</si>
  <si>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</si>
  <si>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</si>
  <si>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</si>
  <si>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</si>
  <si>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</si>
  <si>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</si>
  <si>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</si>
  <si>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</si>
  <si>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</si>
  <si>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</si>
  <si>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</si>
  <si>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</si>
  <si>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</si>
  <si>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</si>
  <si>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</si>
  <si>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</si>
  <si>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</si>
  <si>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</si>
  <si>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</si>
  <si>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</si>
  <si>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</si>
  <si>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</si>
  <si>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</si>
  <si>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</si>
  <si>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</si>
  <si>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</si>
  <si>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</si>
  <si>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</si>
  <si>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</si>
  <si>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</si>
  <si>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</si>
  <si>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</si>
  <si>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</si>
  <si>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</si>
  <si>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</si>
  <si>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</si>
  <si>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</si>
  <si>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</si>
  <si>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</si>
  <si>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</si>
  <si>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</si>
  <si>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</si>
  <si>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</si>
  <si>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</si>
  <si>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</si>
  <si>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</si>
  <si>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</si>
  <si>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</si>
  <si>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</si>
  <si>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</si>
  <si>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</si>
  <si>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</si>
  <si>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</si>
  <si>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</si>
  <si>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</si>
  <si>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</si>
  <si>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</si>
  <si>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</si>
  <si>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</si>
  <si>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</si>
  <si>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</si>
  <si>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</si>
  <si>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</si>
  <si>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</si>
  <si>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</si>
  <si>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</si>
  <si>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</si>
  <si>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</si>
  <si>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</si>
  <si>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</si>
  <si>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</si>
  <si>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</si>
  <si>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</si>
  <si>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</si>
  <si>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</si>
  <si>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</si>
  <si>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</si>
  <si>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</si>
  <si>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</si>
  <si>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</si>
  <si>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</si>
  <si>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</si>
  <si>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</si>
  <si>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</si>
  <si>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</si>
  <si>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</si>
  <si>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</si>
  <si>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</si>
  <si>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</si>
  <si>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</si>
  <si>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</si>
  <si>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</si>
  <si>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</si>
  <si>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</si>
  <si>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</si>
  <si>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</si>
  <si>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</si>
  <si>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</si>
  <si>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</si>
  <si>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</si>
  <si>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</si>
  <si>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</si>
  <si>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</si>
  <si>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</si>
  <si>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</si>
  <si>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</si>
  <si>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</si>
  <si>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</si>
  <si>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</si>
  <si>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</si>
  <si>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</si>
  <si>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</si>
  <si>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</si>
  <si>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</si>
  <si>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</si>
  <si>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</si>
  <si>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</si>
  <si>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</si>
  <si>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</si>
  <si>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</si>
  <si>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</si>
  <si>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</si>
  <si>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</si>
  <si>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</si>
  <si>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</si>
  <si>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</si>
  <si>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</si>
  <si>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</si>
  <si>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</si>
  <si>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</si>
  <si>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</si>
  <si>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</si>
  <si>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</si>
  <si>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</si>
  <si>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</si>
  <si>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</si>
  <si>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</si>
  <si>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</si>
  <si>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</si>
  <si>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</si>
  <si>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</si>
  <si>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</si>
  <si>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</si>
  <si>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</si>
  <si>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</si>
  <si>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</si>
  <si>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</si>
  <si>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</si>
  <si>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</si>
  <si>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</si>
  <si>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</si>
  <si>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</si>
  <si>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</si>
  <si>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</si>
  <si>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</si>
  <si>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</si>
  <si>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</si>
  <si>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</si>
  <si>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</si>
  <si>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</si>
  <si>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</si>
  <si>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</si>
  <si>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</si>
  <si>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</si>
  <si>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</si>
  <si>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</si>
  <si>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</si>
  <si>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</si>
  <si>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</si>
  <si>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</si>
  <si>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</si>
  <si>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</si>
  <si>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</si>
  <si>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</si>
  <si>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</si>
  <si>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</si>
  <si>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</si>
  <si>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</si>
  <si>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</si>
  <si>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</si>
  <si>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</si>
  <si>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</si>
  <si>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</si>
  <si>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</si>
  <si>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</si>
  <si>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</si>
  <si>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</si>
  <si>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</si>
  <si>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</si>
  <si>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</si>
  <si>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</si>
  <si>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</si>
  <si>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</si>
  <si>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</si>
  <si>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</si>
  <si>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</si>
  <si>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</si>
  <si>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</si>
  <si>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</si>
  <si>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</si>
  <si>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</si>
  <si>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</si>
  <si>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</si>
  <si>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</si>
  <si>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</si>
  <si>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</si>
  <si>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</si>
  <si>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</si>
  <si>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</si>
  <si>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</si>
  <si>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</si>
  <si>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</si>
  <si>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</si>
  <si>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</si>
  <si>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</si>
  <si>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</si>
  <si>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</si>
  <si>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</si>
  <si>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</si>
  <si>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</si>
  <si>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</si>
  <si>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</si>
  <si>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</si>
  <si>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</si>
  <si>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</si>
  <si>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</si>
  <si>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</si>
  <si>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</si>
  <si>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</si>
  <si>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</si>
  <si>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</si>
  <si>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</si>
  <si>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</si>
  <si>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</si>
  <si>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</si>
  <si>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</si>
  <si>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</si>
  <si>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</si>
  <si>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</si>
  <si>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</si>
  <si>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</si>
  <si>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</si>
  <si>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</si>
  <si>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</si>
  <si>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</si>
  <si>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</si>
  <si>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</si>
  <si>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</si>
  <si>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</si>
  <si>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</si>
  <si>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</si>
  <si>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</si>
  <si>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</si>
  <si>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</si>
  <si>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</si>
  <si>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</si>
  <si>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</si>
  <si>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</si>
  <si>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</si>
  <si>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</si>
  <si>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</si>
  <si>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</si>
  <si>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</si>
  <si>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</si>
  <si>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</si>
  <si>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</si>
  <si>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</si>
  <si>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</si>
  <si>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</si>
  <si>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</si>
  <si>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</si>
  <si>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</si>
  <si>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</si>
  <si>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</si>
  <si>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</si>
  <si>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</si>
  <si>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</si>
  <si>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</si>
  <si>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</si>
  <si>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</si>
  <si>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</si>
  <si>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</si>
  <si>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</si>
  <si>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</si>
  <si>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</si>
  <si>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</si>
  <si>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</si>
  <si>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</si>
  <si>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</si>
  <si>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</si>
  <si>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</si>
  <si>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</si>
  <si>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</si>
  <si>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</si>
  <si>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</si>
  <si>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</si>
  <si>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</si>
  <si>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</si>
  <si>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</si>
  <si>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</si>
  <si>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</si>
  <si>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</si>
  <si>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</si>
  <si>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</si>
  <si>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</si>
  <si>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</si>
  <si>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</si>
  <si>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</si>
  <si>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</si>
  <si>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</si>
  <si>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</si>
  <si>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</si>
  <si>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</si>
  <si>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</si>
  <si>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</si>
  <si>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</si>
  <si>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</si>
  <si>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</si>
  <si>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</si>
  <si>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</si>
  <si>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</si>
  <si>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</si>
  <si>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</si>
  <si>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</si>
  <si>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</si>
  <si>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</si>
  <si>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</si>
  <si>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</si>
  <si>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</si>
  <si>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</si>
  <si>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</si>
  <si>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</si>
  <si>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</si>
  <si>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</si>
  <si>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</si>
  <si>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</si>
  <si>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</si>
  <si>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</si>
  <si>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</si>
  <si>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</si>
  <si>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</si>
  <si>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</si>
  <si>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</si>
  <si>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</si>
  <si>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</si>
  <si>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</si>
  <si>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</si>
  <si>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</si>
  <si>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</si>
  <si>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</si>
  <si>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</si>
  <si>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</si>
  <si>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</si>
  <si>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</si>
  <si>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</si>
  <si>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</si>
  <si>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</si>
  <si>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</si>
  <si>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</si>
  <si>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</si>
  <si>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</si>
  <si>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</si>
  <si>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</si>
  <si>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</si>
  <si>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</si>
  <si>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</si>
  <si>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</si>
  <si>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</si>
  <si>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</si>
  <si>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</si>
  <si>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</si>
  <si>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</si>
  <si>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</si>
  <si>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</si>
  <si>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</si>
  <si>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</si>
  <si>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</si>
  <si>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</si>
  <si>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</si>
  <si>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</si>
  <si>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</si>
  <si>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</si>
  <si>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</si>
  <si>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</si>
  <si>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</si>
  <si>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</si>
  <si>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</si>
  <si>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</si>
  <si>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</si>
  <si>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</si>
  <si>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</si>
  <si>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</si>
  <si>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</si>
  <si>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</si>
  <si>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</si>
  <si>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</si>
  <si>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</si>
  <si>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</si>
  <si>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</si>
  <si>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</si>
  <si>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</si>
  <si>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</si>
  <si>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</si>
  <si>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</si>
  <si>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</si>
  <si>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</si>
  <si>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</si>
  <si>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</si>
  <si>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</si>
  <si>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</si>
  <si>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</si>
  <si>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</si>
  <si>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</si>
  <si>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</si>
  <si>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</si>
  <si>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</si>
  <si>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</si>
  <si>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</si>
  <si>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</si>
  <si>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</si>
  <si>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</si>
  <si>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</si>
  <si>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</si>
  <si>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</si>
  <si>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</si>
  <si>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</si>
  <si>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</si>
  <si>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</si>
  <si>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</si>
  <si>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</si>
  <si>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</si>
  <si>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</si>
  <si>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</si>
  <si>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</si>
  <si>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</si>
  <si>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</si>
  <si>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</si>
  <si>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</si>
  <si>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</si>
  <si>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</si>
  <si>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</si>
  <si>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</si>
  <si>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</si>
  <si>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</si>
  <si>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</si>
  <si>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</si>
  <si>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</si>
  <si>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</si>
  <si>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</si>
  <si>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</si>
  <si>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</si>
  <si>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</si>
  <si>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</si>
  <si>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</si>
  <si>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</si>
  <si>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</si>
  <si>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</si>
  <si>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</si>
  <si>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</si>
  <si>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</si>
  <si>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</si>
  <si>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</si>
  <si>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</si>
  <si>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</si>
  <si>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</si>
  <si>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</si>
  <si>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</si>
  <si>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</si>
  <si>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</si>
  <si>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</si>
  <si>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</si>
  <si>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</si>
  <si>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</si>
  <si>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</si>
  <si>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</si>
  <si>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</si>
  <si>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</si>
  <si>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</si>
  <si>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</si>
  <si>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</si>
  <si>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</si>
  <si>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</si>
  <si>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</si>
  <si>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</si>
  <si>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</si>
  <si>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</si>
  <si>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</si>
  <si>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</si>
  <si>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</si>
  <si>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</si>
  <si>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</si>
  <si>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</si>
  <si>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</si>
  <si>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</si>
  <si>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</si>
  <si>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</si>
  <si>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</si>
  <si>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</si>
  <si>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</si>
  <si>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</si>
  <si>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</si>
  <si>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</si>
  <si>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</si>
  <si>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</si>
  <si>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</si>
  <si>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</si>
  <si>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</si>
  <si>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</si>
  <si>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</si>
  <si>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</si>
  <si>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</si>
  <si>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</si>
  <si>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</si>
  <si>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</si>
  <si>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</si>
  <si>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</si>
  <si>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</si>
  <si>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</si>
  <si>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</si>
  <si>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</si>
  <si>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</si>
  <si>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</si>
  <si>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</si>
  <si>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</si>
  <si>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</si>
  <si>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</si>
  <si>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</si>
  <si>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</si>
  <si>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</si>
  <si>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</si>
  <si>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</si>
  <si>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</si>
  <si>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</si>
  <si>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</si>
  <si>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</si>
  <si>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</si>
  <si>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</si>
  <si>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</si>
  <si>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</si>
  <si>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</si>
  <si>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</si>
  <si>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</si>
  <si>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</si>
  <si>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</si>
  <si>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</si>
  <si>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</si>
  <si>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</si>
  <si>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</si>
  <si>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</si>
  <si>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</si>
  <si>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</si>
  <si>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</si>
  <si>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</si>
  <si>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</si>
  <si>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</si>
  <si>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</si>
  <si>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</si>
  <si>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</si>
  <si>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</si>
  <si>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</si>
  <si>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</si>
  <si>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</si>
  <si>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</si>
  <si>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</si>
  <si>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</si>
  <si>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</si>
  <si>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</si>
  <si>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</si>
  <si>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</si>
  <si>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</si>
  <si>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</si>
  <si>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</si>
  <si>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</si>
  <si>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</si>
  <si>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</si>
  <si>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</si>
  <si>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</si>
  <si>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</si>
  <si>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</si>
  <si>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</si>
  <si>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</si>
  <si>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</si>
  <si>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</si>
  <si>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</si>
  <si>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</si>
  <si>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</si>
  <si>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</si>
  <si>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</si>
  <si>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</si>
  <si>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</si>
  <si>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抵押</t>
  </si>
  <si>
    <t>房地产抵押价值</t>
  </si>
  <si>
    <t>地上</t>
  </si>
  <si>
    <t>商业</t>
    <phoneticPr fontId="7" type="noConversion"/>
  </si>
  <si>
    <t>是</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</si>
</sst>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DBNum2][$-804]General"/>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197" fontId="159" fillId="0" borderId="0" xfId="12" applyNumberFormat="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估价对象为房地产，为所有。根据《国有土地使用证》[]，估价对象（分摊）出让国有建设用地使用权面积为0平方米，建筑面积为237.74平方米。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估价对象为房地产,属开发建设的，该项目尚在开发建设中。根据《国有土地使用证》[]，估价对象（分摊）出让国有建设用地使用权面积为0平方米，规划建筑面积为237.74平方米。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2025年4月2日</v>
      </c>
    </row>
    <row r="13" spans="1:2" s="1203" customFormat="1">
      <c r="A13" s="1201" t="s">
        <v>529</v>
      </c>
      <c r="B13" s="1202" t="str">
        <f>'预评函-1'!A18</f>
        <v>本次估价的“房地产价值”是指在正常市场情况下，在价值时点2025年4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237.74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8" t="s">
        <v>2580</v>
      </c>
      <c r="J2" s="3508"/>
      <c r="K2" s="3508"/>
      <c r="L2" s="3508"/>
      <c r="M2" s="3508"/>
      <c r="N2" s="3508"/>
      <c r="O2" s="3508"/>
      <c r="P2" s="3508"/>
      <c r="Q2" s="3508"/>
      <c r="R2" s="3508"/>
    </row>
    <row r="3" spans="1:18">
      <c r="A3" s="3020" t="s">
        <v>2501</v>
      </c>
      <c r="B3" s="3021">
        <f>项目基本情况!D3</f>
        <v>45749</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1.71</v>
      </c>
      <c r="D5" s="3025">
        <f>IF(ISERROR(ROUND(POWER(1+E5,A5-C5)*(POWER(1+E5,C5)-1)/(POWER(1+E5,A5)-1),3)),0,ROUND(POWER(1+E5,A5-C5)*(POWER(1+E5,C5)-1)/(POWER(1+E5,A5)-1),4))</f>
        <v>8.1900000000000001E-2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11.72</v>
      </c>
      <c r="D6" s="3025">
        <f>IF(ISERROR(ROUND(POWER(1+E6,A6-C6)*(POWER(1+E6,C6)-1)/(POWER(1+E6,A6)-1),3)),0,ROUND(POWER(1+E6,A6-C6)*(POWER(1+E6,C6)-1)/(POWER(1+E6,A6)-1),4))</f>
        <v>0.4289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31.73</v>
      </c>
      <c r="D7" s="3025">
        <f>IF(ISERROR(ROUND(POWER(1+E7,A7-C7)*(POWER(1+E7,C7)-1)/(POWER(1+E7,A7)-1),3)),0,ROUND(POWER(1+E7,A7-C7)*(POWER(1+E7,C7)-1)/(POWER(1+E7,A7)-1),4))</f>
        <v>0.76080000000000003</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房地产抵押价值预评估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45749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3411</v>
      </c>
      <c r="C8" s="2390"/>
      <c r="D8" s="3512" t="s">
        <v>2177</v>
      </c>
      <c r="E8" s="2391" t="s">
        <v>3412</v>
      </c>
      <c r="F8" s="2392"/>
      <c r="G8" s="2663"/>
      <c r="H8" s="2663"/>
      <c r="I8" s="2663"/>
      <c r="J8" s="2439"/>
      <c r="K8" s="2614"/>
      <c r="L8" s="2613"/>
      <c r="M8" s="2613"/>
      <c r="N8" s="2439"/>
      <c r="O8" s="2450"/>
      <c r="P8" s="2439"/>
      <c r="Q8" s="2439"/>
      <c r="R8" s="2439"/>
    </row>
    <row r="9" spans="1:30" ht="13.5" thickBot="1">
      <c r="A9" s="2393" t="s">
        <v>2178</v>
      </c>
      <c r="B9" s="2394" t="s">
        <v>3412</v>
      </c>
      <c r="C9" s="2395"/>
      <c r="D9" s="3513"/>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9"/>
      <c r="C16" s="3520"/>
      <c r="D16" s="3521"/>
      <c r="E16" s="2413" t="s">
        <v>2194</v>
      </c>
      <c r="F16" s="3522"/>
      <c r="G16" s="3523"/>
      <c r="H16" s="3523"/>
      <c r="I16" s="3524"/>
      <c r="J16" s="2439"/>
      <c r="K16" s="2617"/>
      <c r="L16" s="2451"/>
      <c r="M16" s="2451"/>
      <c r="N16" s="2509"/>
      <c r="O16" s="2451"/>
      <c r="P16" s="2509"/>
      <c r="Q16" s="2439"/>
      <c r="R16" s="2439"/>
    </row>
    <row r="17" spans="1:28">
      <c r="A17" s="313" t="s">
        <v>2195</v>
      </c>
      <c r="B17" s="302" t="s">
        <v>2196</v>
      </c>
      <c r="C17" s="8">
        <f>'数据-汇总表'!E3</f>
        <v>237.74</v>
      </c>
      <c r="D17" s="2322" t="s">
        <v>2197</v>
      </c>
      <c r="E17" s="3525" t="s">
        <v>2198</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8" t="s">
        <v>2202</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5" t="s">
        <v>2206</v>
      </c>
      <c r="C20" s="3516"/>
      <c r="D20" s="3517" t="s">
        <v>2207</v>
      </c>
      <c r="E20" s="3518"/>
      <c r="F20" s="2647" t="s">
        <v>1056</v>
      </c>
      <c r="G20" s="2664"/>
      <c r="H20" s="2664"/>
      <c r="I20" s="2664"/>
      <c r="J20" s="2439"/>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3"/>
      <c r="B30" s="302" t="s">
        <v>2218</v>
      </c>
      <c r="C30" s="3534"/>
      <c r="D30" s="3535"/>
      <c r="E30" s="2664"/>
      <c r="F30" s="2664"/>
      <c r="G30" s="2664"/>
      <c r="H30" s="2664"/>
      <c r="I30" s="2664"/>
      <c r="J30" s="2439"/>
      <c r="K30" s="2616"/>
      <c r="L30" s="2613"/>
      <c r="M30" s="2613"/>
      <c r="N30" s="2439"/>
      <c r="O30" s="2450"/>
      <c r="P30" s="2439"/>
      <c r="Q30" s="2439"/>
      <c r="R30" s="2439"/>
      <c r="S30" s="2439"/>
      <c r="T30" s="2439"/>
      <c r="U30" s="2439"/>
      <c r="V30" s="2439"/>
    </row>
    <row r="31" spans="1:28">
      <c r="A31" s="353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1" t="s">
        <v>2228</v>
      </c>
      <c r="T34" s="2428" t="str">
        <f>NUMBERSTRING(7-K34,1)&amp;"通"</f>
        <v>七通</v>
      </c>
      <c r="U34" s="2439"/>
      <c r="V34" s="2439"/>
    </row>
    <row r="35" spans="1:30">
      <c r="A35" s="2429"/>
      <c r="B35" s="3538" t="s">
        <v>2229</v>
      </c>
      <c r="C35" s="3538"/>
      <c r="D35" s="3538"/>
      <c r="E35" s="353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237.74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237.74</v>
      </c>
      <c r="H5" s="13">
        <f t="shared" ref="H5:AT5" si="0">SUM(H13:H656)</f>
        <v>237.74</v>
      </c>
      <c r="I5" s="13">
        <f t="shared" si="0"/>
        <v>237.74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237.74</v>
      </c>
      <c r="BA5" s="15">
        <f t="shared" si="1"/>
        <v>237.74</v>
      </c>
      <c r="BB5" s="15">
        <f t="shared" si="1"/>
        <v>237.74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3415</v>
      </c>
      <c r="E13" s="13">
        <f>IF($C$3="是",ROUND($A$3*G13/$B$3,2),ROUND($A$3*(G13-AT13)/$B$3,2))</f>
        <v>0</v>
      </c>
      <c r="F13" s="29"/>
      <c r="G13" s="30">
        <f>H13+AC13+AT13</f>
        <v>237.74</v>
      </c>
      <c r="H13" s="17">
        <f>SUMIF(I$12:AB$12,"总值",I13:AB13)</f>
        <v>237.74</v>
      </c>
      <c r="I13" s="1626">
        <v>237.74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237.74</v>
      </c>
      <c r="BA13" s="13">
        <f>SUM(BB13:BK13)</f>
        <v>237.74</v>
      </c>
      <c r="BB13" s="13">
        <f>IF($D13="是",I13-J13,0)</f>
        <v>237.74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9"/>
      <c r="G2" s="2650"/>
      <c r="H2" s="2651"/>
      <c r="I2" s="2325" t="s">
        <v>1132</v>
      </c>
      <c r="J2" s="2659"/>
      <c r="K2" s="2659"/>
      <c r="L2" s="2659"/>
      <c r="M2" s="2659"/>
      <c r="N2" s="2661"/>
      <c r="O2" s="2659"/>
      <c r="P2" s="2659"/>
    </row>
    <row r="3" spans="1:16" ht="15.75" thickBot="1">
      <c r="A3" s="3549" t="s">
        <v>1105</v>
      </c>
      <c r="B3" s="3549"/>
      <c r="C3" s="3549"/>
      <c r="D3" s="43">
        <f>'数据-基础表'!AY6</f>
        <v>0</v>
      </c>
      <c r="E3" s="43">
        <f>'数据-基础表'!AZ5</f>
        <v>237.74</v>
      </c>
      <c r="F3" s="2659"/>
      <c r="G3" s="1145"/>
      <c r="H3" s="1026" t="s">
        <v>1106</v>
      </c>
      <c r="I3" s="855" t="e">
        <f>ROUND('数据-基础表'!B3/'数据-基础表'!A3,2)</f>
        <v>#DIV/0!</v>
      </c>
      <c r="J3" s="2659"/>
      <c r="K3" s="2659"/>
      <c r="L3" s="2659"/>
      <c r="M3" s="2659"/>
      <c r="N3" s="2661"/>
      <c r="O3" s="2659"/>
      <c r="P3" s="2659"/>
    </row>
    <row r="4" spans="1:16" ht="15">
      <c r="A4" s="3550"/>
      <c r="B4" s="3551"/>
      <c r="C4" s="355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3" t="s">
        <v>1110</v>
      </c>
      <c r="C5" s="355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3" t="s">
        <v>1111</v>
      </c>
      <c r="C6" s="3553"/>
      <c r="D6" s="45">
        <f>ROUND($D$3*E6/$E$3,2)</f>
        <v>0</v>
      </c>
      <c r="E6" s="46">
        <f>E3-E5</f>
        <v>237.74</v>
      </c>
      <c r="F6" s="2659"/>
      <c r="G6" s="2653" t="s">
        <v>1112</v>
      </c>
      <c r="H6" s="1146" t="s">
        <v>1113</v>
      </c>
      <c r="I6" s="2654" t="e">
        <f>ROUND(F31/D31,2)</f>
        <v>#DIV/0!</v>
      </c>
      <c r="J6" s="2659"/>
      <c r="K6" s="2659"/>
      <c r="L6" s="2659"/>
      <c r="M6" s="2659"/>
      <c r="N6" s="2659"/>
      <c r="O6" s="2659"/>
      <c r="P6" s="2659"/>
    </row>
    <row r="7" spans="1:16" ht="15.75" thickBot="1">
      <c r="A7" s="3545"/>
      <c r="B7" s="3546"/>
      <c r="C7" s="354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237.74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237.74</v>
      </c>
      <c r="F16" s="2659"/>
      <c r="G16" s="2660"/>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3414</v>
      </c>
      <c r="D19" s="45">
        <f>ROUND($D$3*E19/$E$3,2)</f>
        <v>0</v>
      </c>
      <c r="E19" s="53">
        <f t="shared" ref="E19:E26" si="1">SUM(F19:G19)</f>
        <v>237.74</v>
      </c>
      <c r="F19" s="2795">
        <f>'数据-基础表'!I13</f>
        <v>237.74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237.74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237.74</v>
      </c>
      <c r="F27" s="1140">
        <f>IF(SUM(F19:F26)=E8,SUM(F19:F26),"地上面积有误")</f>
        <v>237.74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237.74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237.74</v>
      </c>
      <c r="F31" s="677">
        <f>F27+F30</f>
        <v>237.74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45749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237.74</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237.74</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4" t="s">
        <v>2286</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tabSelected="1" view="pageBreakPreview" zoomScale="80" zoomScaleNormal="80" zoomScaleSheetLayoutView="80" workbookViewId="0">
      <selection activeCell="A29" sqref="A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237.74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45749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642</v>
      </c>
      <c r="C5" s="2512">
        <f ca="1">IF(B5=D14,结果表!H102,ROUND(B5*10000/$B$1,0))</f>
        <v>0</v>
      </c>
      <c r="D5" s="2512" t="e">
        <f>ROUND(B5*10000/$B$2,0)</f>
        <v>#DIV/0!</v>
      </c>
      <c r="E5" s="2686"/>
      <c r="F5" s="2687"/>
      <c r="G5" s="2687"/>
      <c r="H5" s="2688"/>
      <c r="I5" s="2688"/>
      <c r="J5" s="2688"/>
      <c r="K5" s="2688"/>
    </row>
    <row r="6" spans="1:11" ht="16.5">
      <c r="A6" s="2512" t="s">
        <v>656</v>
      </c>
      <c r="B6" s="2512">
        <f>SUM(G14:G23)</f>
        <v>642</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237.74</v>
      </c>
      <c r="C14" s="2518"/>
      <c r="D14" s="2518">
        <f>ROUND(27000*B14/10000,0)</f>
        <v>642</v>
      </c>
      <c r="E14" s="2518">
        <f>ROUND(D14*10000/B14,0)</f>
        <v>27004</v>
      </c>
      <c r="F14" s="2518" t="e">
        <f>ROUND(D14*10000/C14,0)</f>
        <v>#DIV/0!</v>
      </c>
      <c r="G14" s="2518">
        <f>D14</f>
        <v>642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row r="29" spans="1:11">
      <c r="A29" s="3806">
        <f>D14*10000</f>
        <v>6420000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3" t="str">
        <f>项目基本情况!S2</f>
        <v>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4" t="s">
        <v>1265</v>
      </c>
      <c r="B4" s="1755" t="s">
        <v>1266</v>
      </c>
      <c r="C4" s="1756"/>
      <c r="D4" s="1756"/>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1" t="s">
        <v>1268</v>
      </c>
      <c r="B5" s="3626">
        <v>25</v>
      </c>
      <c r="C5" s="3629"/>
      <c r="D5" s="3617"/>
      <c r="E5" s="131" t="s">
        <v>1269</v>
      </c>
      <c r="F5" s="1757"/>
      <c r="G5" s="1757"/>
      <c r="H5" s="1757"/>
      <c r="I5" s="1373"/>
    </row>
    <row r="6" spans="1:12" ht="12.75">
      <c r="A6" s="3571"/>
      <c r="B6" s="3626"/>
      <c r="C6" s="3631"/>
      <c r="D6" s="3617"/>
      <c r="E6" s="131" t="s">
        <v>1270</v>
      </c>
      <c r="F6" s="1757"/>
      <c r="G6" s="1757"/>
      <c r="H6" s="1757"/>
      <c r="I6" s="1373"/>
    </row>
    <row r="7" spans="1:12" ht="12.75">
      <c r="A7" s="3571"/>
      <c r="B7" s="3626"/>
      <c r="C7" s="3630"/>
      <c r="D7" s="3617"/>
      <c r="E7" s="131" t="s">
        <v>1271</v>
      </c>
      <c r="F7" s="1757"/>
      <c r="G7" s="1757"/>
      <c r="H7" s="1757"/>
      <c r="I7" s="1373"/>
    </row>
    <row r="8" spans="1:12" ht="12.75">
      <c r="A8" s="3571" t="s">
        <v>1272</v>
      </c>
      <c r="B8" s="3626">
        <v>15</v>
      </c>
      <c r="C8" s="3629"/>
      <c r="D8" s="3617"/>
      <c r="E8" s="131" t="s">
        <v>1273</v>
      </c>
      <c r="F8" s="1757"/>
      <c r="G8" s="1757"/>
      <c r="H8" s="1757"/>
      <c r="I8" s="1373"/>
    </row>
    <row r="9" spans="1:12" ht="12.75">
      <c r="A9" s="3571"/>
      <c r="B9" s="3626"/>
      <c r="C9" s="3630"/>
      <c r="D9" s="3617"/>
      <c r="E9" s="131" t="s">
        <v>1274</v>
      </c>
      <c r="F9" s="1757"/>
      <c r="G9" s="1757"/>
      <c r="H9" s="1757"/>
      <c r="I9" s="1373"/>
    </row>
    <row r="10" spans="1:12" ht="12.75">
      <c r="A10" s="3571" t="s">
        <v>1275</v>
      </c>
      <c r="B10" s="3626">
        <v>15</v>
      </c>
      <c r="C10" s="3629"/>
      <c r="D10" s="3617"/>
      <c r="E10" s="131" t="s">
        <v>1276</v>
      </c>
      <c r="F10" s="1757"/>
      <c r="G10" s="1757"/>
      <c r="H10" s="1757"/>
      <c r="I10" s="1373"/>
    </row>
    <row r="11" spans="1:12" ht="12.75">
      <c r="A11" s="3571"/>
      <c r="B11" s="3626"/>
      <c r="C11" s="3630"/>
      <c r="D11" s="3617"/>
      <c r="E11" s="131" t="s">
        <v>1277</v>
      </c>
      <c r="F11" s="1757"/>
      <c r="G11" s="1757"/>
      <c r="H11" s="1757"/>
      <c r="I11" s="1373"/>
    </row>
    <row r="12" spans="1:12" ht="12.75">
      <c r="A12" s="3571" t="s">
        <v>1278</v>
      </c>
      <c r="B12" s="3626">
        <v>15</v>
      </c>
      <c r="C12" s="3629"/>
      <c r="D12" s="3617"/>
      <c r="E12" s="131" t="s">
        <v>1279</v>
      </c>
      <c r="F12" s="1757"/>
      <c r="G12" s="1757"/>
      <c r="H12" s="1757"/>
      <c r="I12" s="1373"/>
    </row>
    <row r="13" spans="1:12" ht="12.75">
      <c r="A13" s="3571"/>
      <c r="B13" s="3626"/>
      <c r="C13" s="3630"/>
      <c r="D13" s="3617"/>
      <c r="E13" s="131" t="s">
        <v>1280</v>
      </c>
      <c r="F13" s="1757"/>
      <c r="G13" s="1757"/>
      <c r="H13" s="1757"/>
      <c r="I13" s="1373"/>
    </row>
    <row r="14" spans="1:12" ht="12.75">
      <c r="A14" s="3571" t="s">
        <v>1281</v>
      </c>
      <c r="B14" s="3626">
        <v>30</v>
      </c>
      <c r="C14" s="3629"/>
      <c r="D14" s="3617"/>
      <c r="E14" s="131" t="s">
        <v>1282</v>
      </c>
      <c r="F14" s="1757"/>
      <c r="G14" s="1757"/>
      <c r="H14" s="1757"/>
      <c r="I14" s="1373"/>
    </row>
    <row r="15" spans="1:12" ht="12.75">
      <c r="A15" s="3571"/>
      <c r="B15" s="3626"/>
      <c r="C15" s="3631"/>
      <c r="D15" s="3617"/>
      <c r="E15" s="131" t="s">
        <v>1283</v>
      </c>
      <c r="F15" s="1757"/>
      <c r="G15" s="1757"/>
      <c r="H15" s="1757"/>
      <c r="I15" s="1373"/>
    </row>
    <row r="16" spans="1:12" ht="12.75">
      <c r="A16" s="3571"/>
      <c r="B16" s="3626"/>
      <c r="C16" s="3630"/>
      <c r="D16" s="3617"/>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48" t="s">
        <v>2131</v>
      </c>
      <c r="F18" s="3649"/>
      <c r="G18" s="3649"/>
      <c r="H18" s="3649"/>
      <c r="I18" s="3649"/>
      <c r="K18" s="302" t="s">
        <v>1289</v>
      </c>
      <c r="L18" s="302">
        <f>IF(C1="",'数据-汇总表'!E3,SUMIF(项目类型,C1,'数据-汇总表'!E17:E26)+SUMIF(项目类型,C1,'数据-汇总表'!I17:I26))</f>
        <v>237.74</v>
      </c>
      <c r="M18" s="302">
        <f>IF(C1="",'数据-汇总表'!E3,SUMIF(项目类型,C1,'数据-汇总表'!E17:E26))</f>
        <v>237.74</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41" t="s">
        <v>1299</v>
      </c>
      <c r="B24" s="1762" t="s">
        <v>1291</v>
      </c>
      <c r="C24" s="136">
        <f>IF(B30=0,0,D30)</f>
        <v>0</v>
      </c>
      <c r="D24" s="1769"/>
      <c r="E24" s="129"/>
      <c r="F24" s="129"/>
      <c r="G24" s="129"/>
      <c r="H24" s="129"/>
      <c r="I24" s="129"/>
    </row>
    <row r="25" spans="1:36" ht="14.25">
      <c r="A25" s="364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8" t="s">
        <v>1312</v>
      </c>
      <c r="B36" s="1787" t="s">
        <v>1313</v>
      </c>
      <c r="C36" s="145"/>
      <c r="D36" s="1788"/>
      <c r="E36" s="1789"/>
      <c r="F36" s="1790"/>
      <c r="G36" s="129"/>
      <c r="H36" s="129"/>
      <c r="I36" s="129"/>
    </row>
    <row r="37" spans="1:15" ht="15.75" thickBot="1">
      <c r="A37" s="3619"/>
      <c r="B37" s="1674" t="s">
        <v>1314</v>
      </c>
      <c r="C37" s="147"/>
      <c r="D37" s="1139"/>
      <c r="E37" s="1139"/>
      <c r="F37" s="1790"/>
      <c r="G37" s="129"/>
      <c r="H37" s="129"/>
      <c r="I37" s="129"/>
    </row>
    <row r="38" spans="1:15" ht="15.75" thickBot="1">
      <c r="A38" s="362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8" t="s">
        <v>1326</v>
      </c>
      <c r="B45" s="3639"/>
      <c r="C45" s="3640"/>
      <c r="D45" s="155" t="e">
        <f ca="1">ROUND(H101*F45,0)</f>
        <v>#REF!</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6"/>
      <c r="I46" s="159"/>
      <c r="J46" s="2523">
        <v>1</v>
      </c>
      <c r="K46" s="3559" t="s">
        <v>1331</v>
      </c>
      <c r="L46" s="3559"/>
      <c r="M46" s="3560"/>
      <c r="N46" s="3560"/>
      <c r="O46" s="3560"/>
    </row>
    <row r="47" spans="1:15" ht="12" customHeight="1">
      <c r="A47" s="160" t="s">
        <v>1332</v>
      </c>
      <c r="B47" s="161"/>
      <c r="C47" s="162"/>
      <c r="D47" s="1087" t="s">
        <v>1333</v>
      </c>
      <c r="E47" s="302" t="s">
        <v>1334</v>
      </c>
      <c r="F47" s="163" t="s">
        <v>1335</v>
      </c>
      <c r="G47" s="2546" t="s">
        <v>1336</v>
      </c>
      <c r="H47" s="2547"/>
      <c r="I47" s="159"/>
      <c r="J47" s="2523">
        <v>2</v>
      </c>
      <c r="K47" s="3559" t="s">
        <v>1337</v>
      </c>
      <c r="L47" s="3559"/>
      <c r="M47" s="3561">
        <f>'数据-取费表'!B2</f>
        <v>45749</v>
      </c>
      <c r="N47" s="3561"/>
      <c r="O47" s="3561"/>
    </row>
    <row r="48" spans="1:15" ht="25.5">
      <c r="A48" s="3621" t="s">
        <v>1338</v>
      </c>
      <c r="B48" s="3622"/>
      <c r="C48" s="3622"/>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59" t="s">
        <v>1340</v>
      </c>
      <c r="L48" s="3559"/>
      <c r="M48" s="3562" t="e">
        <f ca="1">H101</f>
        <v>#REF!</v>
      </c>
      <c r="N48" s="3562"/>
      <c r="O48" s="3562"/>
    </row>
    <row r="49" spans="1:35" ht="25.5" customHeight="1">
      <c r="A49" s="2333" t="s">
        <v>1341</v>
      </c>
      <c r="B49" s="3607" t="s">
        <v>1342</v>
      </c>
      <c r="C49" s="3607"/>
      <c r="D49" s="1590">
        <v>0</v>
      </c>
      <c r="E49" s="324" t="s">
        <v>1343</v>
      </c>
      <c r="F49" s="2424" t="s">
        <v>28</v>
      </c>
      <c r="G49" s="3590"/>
      <c r="H49" s="2310" t="s">
        <v>2134</v>
      </c>
      <c r="I49" s="2311"/>
      <c r="J49" s="2523">
        <v>4</v>
      </c>
      <c r="K49" s="3559" t="str">
        <f>IF(项目基本情况!E8="房地产抵押价值","房地产抵押价值","抵押担保权已注销时的房地产抵押价值")</f>
        <v>房地产抵押价值</v>
      </c>
      <c r="L49" s="3559"/>
      <c r="M49" s="3562" t="str">
        <f ca="1">IF(项目基本情况!E8="房地产抵押价值",H107,H109)</f>
        <v>——</v>
      </c>
      <c r="N49" s="3562"/>
      <c r="O49" s="3562"/>
    </row>
    <row r="50" spans="1:35" ht="25.5" customHeight="1">
      <c r="A50" s="2551"/>
      <c r="B50" s="3607" t="s">
        <v>1344</v>
      </c>
      <c r="C50" s="3607"/>
      <c r="D50" s="2552"/>
      <c r="E50" s="332"/>
      <c r="F50" s="2424"/>
      <c r="G50" s="3591"/>
      <c r="H50" s="2312" t="s">
        <v>2135</v>
      </c>
      <c r="I50" s="2311"/>
      <c r="J50" s="3558" t="s">
        <v>1345</v>
      </c>
      <c r="K50" s="3558"/>
      <c r="L50" s="3558"/>
      <c r="M50" s="3558"/>
      <c r="N50" s="3558"/>
      <c r="O50" s="3558"/>
    </row>
    <row r="51" spans="1:35" ht="20.45" customHeight="1">
      <c r="A51" s="2553"/>
      <c r="B51" s="3607" t="s">
        <v>1346</v>
      </c>
      <c r="C51" s="3607"/>
      <c r="D51" s="1087"/>
      <c r="E51" s="327"/>
      <c r="F51" s="2424"/>
      <c r="G51" s="3592"/>
      <c r="H51" s="2312" t="s">
        <v>2136</v>
      </c>
      <c r="I51" s="2311"/>
      <c r="J51" s="2524" t="s">
        <v>1347</v>
      </c>
      <c r="K51" s="3559" t="s">
        <v>1348</v>
      </c>
      <c r="L51" s="3559"/>
      <c r="M51" s="2524" t="s">
        <v>1349</v>
      </c>
      <c r="N51" s="2524" t="s">
        <v>1350</v>
      </c>
      <c r="O51" s="2524" t="s">
        <v>1351</v>
      </c>
    </row>
    <row r="52" spans="1:35" ht="24" customHeight="1">
      <c r="A52" s="2335" t="s">
        <v>1352</v>
      </c>
      <c r="B52" s="3607" t="s">
        <v>1353</v>
      </c>
      <c r="C52" s="3607"/>
      <c r="D52" s="1087" t="e">
        <f ca="1">ROUND(D45*'数据-取费表'!B41/(1+'数据-取费表'!C42),0)</f>
        <v>#REF!</v>
      </c>
      <c r="E52" s="2334" t="s">
        <v>1354</v>
      </c>
      <c r="F52" s="2554">
        <f>'数据-取费表'!B41</f>
        <v>0</v>
      </c>
      <c r="G52" s="2555"/>
      <c r="H52" s="2544"/>
      <c r="I52" s="1807"/>
      <c r="J52" s="2523">
        <v>1</v>
      </c>
      <c r="K52" s="3584" t="s">
        <v>1355</v>
      </c>
      <c r="L52" s="3584"/>
      <c r="M52" s="2525" t="b">
        <f>D48</f>
        <v>0</v>
      </c>
      <c r="N52" s="2523" t="str">
        <f>E48</f>
        <v>销售额×税（费）率</v>
      </c>
      <c r="O52" s="2526">
        <f>F48</f>
        <v>0</v>
      </c>
    </row>
    <row r="53" spans="1:35" ht="12" customHeight="1">
      <c r="A53" s="2335" t="s">
        <v>1356</v>
      </c>
      <c r="B53" s="3608" t="s">
        <v>2291</v>
      </c>
      <c r="C53" s="3609"/>
      <c r="D53" s="1087" t="e">
        <f ca="1">ROUND(D45*'数据-取费表'!B41/(1+'数据-取费表'!C42),0)</f>
        <v>#REF!</v>
      </c>
      <c r="E53" s="2334" t="s">
        <v>1354</v>
      </c>
      <c r="F53" s="2554">
        <f>'数据-取费表'!B41</f>
        <v>0</v>
      </c>
      <c r="G53" s="2555"/>
      <c r="H53" s="2544"/>
      <c r="I53" s="1807"/>
      <c r="J53" s="2523">
        <v>2</v>
      </c>
      <c r="K53" s="3584" t="s">
        <v>1357</v>
      </c>
      <c r="L53" s="3584"/>
      <c r="M53" s="2525" t="e">
        <f t="shared" ref="M53:O54" ca="1" si="0">D55</f>
        <v>#REF!</v>
      </c>
      <c r="N53" s="2523" t="str">
        <f t="shared" si="0"/>
        <v>销售额×税（费）率</v>
      </c>
      <c r="O53" s="2526" t="str">
        <f t="shared" si="0"/>
        <v>免征</v>
      </c>
    </row>
    <row r="54" spans="1:35" ht="12" customHeight="1">
      <c r="A54" s="2335" t="s">
        <v>1358</v>
      </c>
      <c r="B54" s="3608" t="s">
        <v>2292</v>
      </c>
      <c r="C54" s="3609"/>
      <c r="D54" s="1087" t="e">
        <f ca="1">C68</f>
        <v>#REF!</v>
      </c>
      <c r="E54" s="327" t="s">
        <v>1359</v>
      </c>
      <c r="F54" s="2554">
        <f>'数据-取费表'!B41</f>
        <v>0</v>
      </c>
      <c r="G54" s="2555"/>
      <c r="H54" s="2556"/>
      <c r="I54" s="1807"/>
      <c r="J54" s="2523">
        <v>3</v>
      </c>
      <c r="K54" s="3584" t="s">
        <v>1360</v>
      </c>
      <c r="L54" s="3584"/>
      <c r="M54" s="2525" t="e">
        <f t="shared" ca="1" si="0"/>
        <v>#REF!</v>
      </c>
      <c r="N54" s="2523" t="str">
        <f t="shared" si="0"/>
        <v>增值额×税（费）率</v>
      </c>
      <c r="O54" s="2527" t="str">
        <f t="shared" si="0"/>
        <v>免征</v>
      </c>
    </row>
    <row r="55" spans="1:35" ht="24" customHeight="1">
      <c r="A55" s="3644" t="s">
        <v>1361</v>
      </c>
      <c r="B55" s="3622"/>
      <c r="C55" s="3622"/>
      <c r="D55" s="2324" t="e">
        <f ca="1">IF(H55="个人住宅",0,ROUND(D45*I55,0))</f>
        <v>#REF!</v>
      </c>
      <c r="E55" s="2334" t="s">
        <v>1362</v>
      </c>
      <c r="F55" s="2554" t="str">
        <f>IF(H55="正常",I55,"免征")</f>
        <v>免征</v>
      </c>
      <c r="G55" s="2555"/>
      <c r="H55" s="2550"/>
      <c r="I55" s="165">
        <f>'数据-取费表'!B49</f>
        <v>0</v>
      </c>
      <c r="J55" s="2523">
        <f>IF(H59="非个人房产","",4)</f>
        <v>4</v>
      </c>
      <c r="K55" s="3584" t="str">
        <f>IF(H59="非个人房产","——","个人所得税")</f>
        <v>个人所得税</v>
      </c>
      <c r="L55" s="3584"/>
      <c r="M55" s="2528" t="e">
        <f ca="1">D59</f>
        <v>#REF!</v>
      </c>
      <c r="N55" s="2040" t="str">
        <f>E59</f>
        <v>差额计税</v>
      </c>
      <c r="O55" s="2529">
        <f>F59</f>
        <v>0.01</v>
      </c>
    </row>
    <row r="56" spans="1:35" ht="24.75">
      <c r="A56" s="3644" t="s">
        <v>1363</v>
      </c>
      <c r="B56" s="3622"/>
      <c r="C56" s="3622"/>
      <c r="D56" s="2324" t="e">
        <f ca="1">IF(H56="个人住宅",D57,D58)</f>
        <v>#REF!</v>
      </c>
      <c r="E56" s="2334" t="s">
        <v>1364</v>
      </c>
      <c r="F56" s="2554" t="str">
        <f>IF(H56="正常",F58,"免征")</f>
        <v>免征</v>
      </c>
      <c r="G56" s="2557" t="s">
        <v>1365</v>
      </c>
      <c r="H56" s="2558"/>
      <c r="I56" s="1808"/>
      <c r="J56" s="2523" t="str">
        <f>IF(项目基本情况!K6="上海银行",IF(J55="",4,J55+1),"")</f>
        <v/>
      </c>
      <c r="K56" s="3565" t="str">
        <f>IF(项目基本情况!K6="上海银行","其他处置费用","")</f>
        <v/>
      </c>
      <c r="L56" s="3566"/>
      <c r="M56" s="2525" t="str">
        <f>IF(项目基本情况!K6="上海银行",M69,"")</f>
        <v/>
      </c>
      <c r="N56" s="3565" t="str">
        <f>IF(项目基本情况!K6="上海银行","包含处置中涉及的律师、诉讼、拍卖、评估等费用","")</f>
        <v/>
      </c>
      <c r="O56" s="3568"/>
    </row>
    <row r="57" spans="1:35" ht="12.75">
      <c r="A57" s="2335" t="s">
        <v>1341</v>
      </c>
      <c r="B57" s="3608" t="s">
        <v>1366</v>
      </c>
      <c r="C57" s="3609"/>
      <c r="D57" s="1590">
        <v>0</v>
      </c>
      <c r="E57" s="324" t="s">
        <v>1343</v>
      </c>
      <c r="F57" s="302"/>
      <c r="G57" s="2555"/>
      <c r="H57" s="2559"/>
      <c r="I57" s="1808"/>
      <c r="J57" s="3584">
        <f>IF(AND(J55="",J56=""),4,IF(项目基本情况!K6="上海银行",结果表!J56+1,结果表!J55+1))</f>
        <v>5</v>
      </c>
      <c r="K57" s="3584" t="s">
        <v>1367</v>
      </c>
      <c r="L57" s="2530" t="s">
        <v>1368</v>
      </c>
      <c r="M57" s="2531"/>
      <c r="N57" s="2532">
        <f ca="1">SUMIF(M52:M56,"&lt;9e307")</f>
        <v>0</v>
      </c>
      <c r="O57" s="2533"/>
      <c r="P57" s="2690" t="e">
        <f ca="1">N57/M49</f>
        <v>#VALUE!</v>
      </c>
    </row>
    <row r="58" spans="1:35" ht="24.75">
      <c r="A58" s="2335" t="s">
        <v>1352</v>
      </c>
      <c r="B58" s="3608" t="s">
        <v>1369</v>
      </c>
      <c r="C58" s="3607"/>
      <c r="D58" s="2324" t="e">
        <f ca="1">IF(H58="转让取得",C81,C97)</f>
        <v>#REF!</v>
      </c>
      <c r="E58" s="2334" t="s">
        <v>1364</v>
      </c>
      <c r="F58" s="302" t="s">
        <v>28</v>
      </c>
      <c r="G58" s="2555"/>
      <c r="H58" s="2558"/>
      <c r="I58" s="1808"/>
      <c r="J58" s="3584"/>
      <c r="K58" s="3584"/>
      <c r="L58" s="2530" t="s">
        <v>1370</v>
      </c>
      <c r="M58" s="2534"/>
      <c r="N58" s="2535" t="str">
        <f ca="1">NUMBERSTRING(INT(N57*10000),2)&amp;"元整"</f>
        <v>零元整</v>
      </c>
      <c r="O58" s="2536"/>
    </row>
    <row r="59" spans="1:35" ht="24.75" thickBot="1">
      <c r="A59" s="3588" t="s">
        <v>1371</v>
      </c>
      <c r="B59" s="3589"/>
      <c r="C59" s="358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6">
        <f>J57+1</f>
        <v>6</v>
      </c>
      <c r="K59" s="3584" t="s">
        <v>1372</v>
      </c>
      <c r="L59" s="2523" t="s">
        <v>1368</v>
      </c>
      <c r="M59" s="2537"/>
      <c r="N59" s="2538" t="e">
        <f ca="1">M49-N57</f>
        <v>#VALUE!</v>
      </c>
      <c r="O59" s="2539"/>
    </row>
    <row r="60" spans="1:35" ht="12" customHeight="1">
      <c r="A60" s="1809"/>
      <c r="B60" s="1747"/>
      <c r="C60" s="1747"/>
      <c r="D60" s="1747"/>
      <c r="E60" s="1578"/>
      <c r="F60" s="1808"/>
      <c r="G60" s="1808"/>
      <c r="H60" s="1810"/>
      <c r="I60" s="129"/>
      <c r="J60" s="3587"/>
      <c r="K60" s="3584"/>
      <c r="L60" s="2530" t="s">
        <v>1370</v>
      </c>
      <c r="M60" s="2534"/>
      <c r="N60" s="2535" t="e">
        <f ca="1">NUMBERSTRING(INT(N59*10000),2)&amp;"元整"</f>
        <v>#VALUE!</v>
      </c>
      <c r="O60" s="2536"/>
    </row>
    <row r="61" spans="1:35" ht="13.5" thickBot="1">
      <c r="A61" s="3643" t="s">
        <v>1373</v>
      </c>
      <c r="B61" s="3643"/>
      <c r="C61" s="3643"/>
      <c r="D61" s="3643"/>
      <c r="E61" s="3643"/>
      <c r="F61" s="1808"/>
      <c r="G61" s="1808"/>
      <c r="H61" s="1810"/>
      <c r="I61" s="129"/>
      <c r="J61" s="2523">
        <f>J59+1</f>
        <v>7</v>
      </c>
      <c r="K61" s="3584" t="s">
        <v>1374</v>
      </c>
      <c r="L61" s="3584"/>
      <c r="M61" s="2540"/>
      <c r="N61" s="2541" t="e">
        <f ca="1">ROUND(N59*10000/'数据-汇总表'!E3,0)</f>
        <v>#VALUE!</v>
      </c>
      <c r="O61" s="2542"/>
    </row>
    <row r="62" spans="1:35" ht="12.75">
      <c r="A62" s="3603" t="s">
        <v>1375</v>
      </c>
      <c r="B62" s="3604"/>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67"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67"/>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67"/>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67"/>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67"/>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67"/>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67"/>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1394</v>
      </c>
      <c r="B70" s="3612"/>
      <c r="C70" s="3612"/>
      <c r="D70" s="3612"/>
      <c r="E70" s="3612"/>
      <c r="F70" s="3612"/>
      <c r="G70" s="3612"/>
      <c r="H70" s="361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8" t="s">
        <v>1402</v>
      </c>
      <c r="F76" s="3607"/>
      <c r="G76" s="3607"/>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00" t="s">
        <v>1406</v>
      </c>
      <c r="F78" s="3601"/>
      <c r="G78" s="3601"/>
      <c r="H78" s="360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9" t="s">
        <v>2129</v>
      </c>
      <c r="H90" s="357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0" t="s">
        <v>1419</v>
      </c>
      <c r="F91" s="3601"/>
      <c r="G91" s="360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0" t="s">
        <v>1422</v>
      </c>
      <c r="F92" s="3601"/>
      <c r="G92" s="3601"/>
      <c r="H92" s="360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00" t="s">
        <v>1406</v>
      </c>
      <c r="F93" s="3601"/>
      <c r="G93" s="3601"/>
      <c r="H93" s="360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5" t="s">
        <v>1426</v>
      </c>
      <c r="F94" s="3646"/>
      <c r="G94" s="3646"/>
      <c r="H94" s="364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5">
        <f>C4</f>
        <v>0</v>
      </c>
      <c r="D101" s="2586">
        <f>D4</f>
        <v>0</v>
      </c>
      <c r="E101" s="3563" t="s">
        <v>1431</v>
      </c>
      <c r="F101" s="3564"/>
      <c r="G101" s="1827" t="s">
        <v>1432</v>
      </c>
      <c r="H101" s="2595" t="e">
        <f ca="1">H118</f>
        <v>#REF!</v>
      </c>
      <c r="I101" s="129"/>
    </row>
    <row r="102" spans="1:35" ht="18.75" customHeight="1">
      <c r="A102" s="3595" t="s">
        <v>1433</v>
      </c>
      <c r="B102" s="2584" t="s">
        <v>1432</v>
      </c>
      <c r="C102" s="2585" t="e">
        <f ca="1">IF(D32="楼面单价",ROUND(C19,0),C19)</f>
        <v>#REF!</v>
      </c>
      <c r="D102" s="2586" t="e">
        <f ca="1">IF(D32="楼面单价",ROUND(D19,0),D19)</f>
        <v>#REF!</v>
      </c>
      <c r="E102" s="3563"/>
      <c r="F102" s="3564"/>
      <c r="G102" s="1827" t="s">
        <v>1434</v>
      </c>
      <c r="H102" s="2555" t="e">
        <f ca="1">I118</f>
        <v>#REF!</v>
      </c>
      <c r="I102" s="129"/>
    </row>
    <row r="103" spans="1:35" ht="42.75" customHeight="1">
      <c r="A103" s="3595"/>
      <c r="B103" s="2584" t="s">
        <v>1434</v>
      </c>
      <c r="C103" s="2587" t="e">
        <f ca="1">C20</f>
        <v>#REF!</v>
      </c>
      <c r="D103" s="2588" t="e">
        <f ca="1">D20</f>
        <v>#REF!</v>
      </c>
      <c r="E103" s="3556" t="s">
        <v>1435</v>
      </c>
      <c r="F103" s="3557"/>
      <c r="G103" s="1828" t="s">
        <v>1436</v>
      </c>
      <c r="H103" s="2595">
        <f>IF(D36="正常操作",H104+H105+H106,H105+H106)</f>
        <v>0</v>
      </c>
      <c r="I103" s="129"/>
    </row>
    <row r="104" spans="1:35" ht="18.75" customHeight="1">
      <c r="A104" s="359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6" t="str">
        <f>IF(项目基本情况!E8="已注销","——","3.房地产抵押价值")</f>
        <v>3.房地产抵押价值</v>
      </c>
      <c r="F107" s="3564"/>
      <c r="G107" s="1827" t="s">
        <v>1432</v>
      </c>
      <c r="H107" s="2595" t="e">
        <f ca="1">IF(E107="——","——",H101-H103)</f>
        <v>#REF!</v>
      </c>
      <c r="I107" s="129"/>
    </row>
    <row r="108" spans="1:35" ht="18.75" customHeight="1">
      <c r="A108" s="129"/>
      <c r="B108" s="129"/>
      <c r="C108" s="129"/>
      <c r="D108" s="129"/>
      <c r="E108" s="3596"/>
      <c r="F108" s="3564"/>
      <c r="G108" s="1827" t="s">
        <v>1434</v>
      </c>
      <c r="H108" s="2555">
        <f ca="1">IF(H107=H101,H102,ROUND(H107*10000/'数据-汇总表'!E3,0))</f>
        <v>0</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7" t="s">
        <v>1432</v>
      </c>
      <c r="H109" s="2598" t="str">
        <f>IF(E109="——","——",H101-H105-H106)</f>
        <v>——</v>
      </c>
      <c r="I109" s="129"/>
    </row>
    <row r="110" spans="1:35" ht="18.75" customHeight="1">
      <c r="A110" s="129"/>
      <c r="B110" s="129"/>
      <c r="C110" s="129"/>
      <c r="D110" s="129"/>
      <c r="E110" s="3596"/>
      <c r="F110" s="3564"/>
      <c r="G110" s="1827" t="s">
        <v>1434</v>
      </c>
      <c r="H110" s="2555"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598"/>
      <c r="F112" s="3599"/>
      <c r="G112" s="1830" t="s">
        <v>1434</v>
      </c>
      <c r="H112" s="2599"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9" t="s">
        <v>1449</v>
      </c>
      <c r="E117" s="2329" t="s">
        <v>1450</v>
      </c>
      <c r="F117" s="2329" t="s">
        <v>1449</v>
      </c>
      <c r="G117" s="2329" t="s">
        <v>1451</v>
      </c>
      <c r="H117" s="2329" t="s">
        <v>1449</v>
      </c>
      <c r="I117" s="2329" t="s">
        <v>1451</v>
      </c>
    </row>
    <row r="118" spans="1:27" ht="24.75" customHeight="1">
      <c r="A118" s="2600" t="str">
        <f>项目基本情况!S2</f>
        <v>房地产</v>
      </c>
      <c r="B118" s="2329">
        <f>M18</f>
        <v>237.74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1" t="s">
        <v>1452</v>
      </c>
      <c r="B119" s="3571"/>
      <c r="C119" s="3571"/>
      <c r="D119" s="3577" t="e">
        <f ca="1">NUMBERSTRING(INT(D118*10000),2)&amp;"元整"</f>
        <v>#REF!</v>
      </c>
      <c r="E119" s="3578"/>
      <c r="F119" s="3577" t="e">
        <f ca="1">NUMBERSTRING(INT(F118*10000),2)&amp;"元整"</f>
        <v>#REF!</v>
      </c>
      <c r="G119" s="3578"/>
      <c r="H119" s="3577" t="e">
        <f ca="1">NUMBERSTRING(INT(H118*10000),2)&amp;"元整"</f>
        <v>#REF!</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7" t="s">
        <v>1452</v>
      </c>
      <c r="B121" s="3579"/>
      <c r="C121" s="3578"/>
      <c r="D121" s="3577" t="str">
        <f>IF(D120=0,"零元整",NUMBERSTRING(INT(D120*10000),2)&amp;"元整")</f>
        <v>零元整</v>
      </c>
      <c r="E121" s="3579"/>
      <c r="F121" s="3579"/>
      <c r="G121" s="3579"/>
      <c r="H121" s="3579"/>
      <c r="I121" s="3578"/>
      <c r="AA121" s="725"/>
    </row>
    <row r="122" spans="1:27" ht="18.75" customHeight="1">
      <c r="A122" s="3583" t="str">
        <f>IF(项目基本情况!B9="房地产市场价值","",MID(E107,3,LEN(E107)-2))</f>
        <v>房地产抵押价值</v>
      </c>
      <c r="B122" s="3583"/>
      <c r="C122" s="3583"/>
      <c r="D122" s="3572" t="e">
        <f ca="1">H107</f>
        <v>#REF!</v>
      </c>
      <c r="E122" s="3573"/>
      <c r="F122" s="3573"/>
      <c r="G122" s="3573"/>
      <c r="H122" s="3573"/>
      <c r="I122" s="3574"/>
      <c r="AA122" s="725"/>
    </row>
    <row r="123" spans="1:27" ht="18.75" customHeight="1">
      <c r="A123" s="3571" t="s">
        <v>1452</v>
      </c>
      <c r="B123" s="3571"/>
      <c r="C123" s="3571"/>
      <c r="D123" s="3577" t="e">
        <f ca="1">NUMBERSTRING(INT(D122*10000),2)&amp;"元整"</f>
        <v>#REF!</v>
      </c>
      <c r="E123" s="3579"/>
      <c r="F123" s="3579"/>
      <c r="G123" s="3579"/>
      <c r="H123" s="3579"/>
      <c r="I123" s="3578"/>
      <c r="AA123" s="725"/>
    </row>
    <row r="124" spans="1:27" ht="18.75" customHeight="1">
      <c r="A124" s="3583" t="str">
        <f>IF(项目基本情况!B9="房地产市场价值","",MID(E109,3,LEN(E109)-2))</f>
        <v/>
      </c>
      <c r="B124" s="3583"/>
      <c r="C124" s="3583"/>
      <c r="D124" s="3572" t="str">
        <f>H109</f>
        <v>——</v>
      </c>
      <c r="E124" s="3573"/>
      <c r="F124" s="3573"/>
      <c r="G124" s="3573"/>
      <c r="H124" s="3573"/>
      <c r="I124" s="3574"/>
      <c r="AA124" s="725"/>
    </row>
    <row r="125" spans="1:27" ht="18.75" customHeight="1">
      <c r="A125" s="3571" t="s">
        <v>1452</v>
      </c>
      <c r="B125" s="3571"/>
      <c r="C125" s="3571"/>
      <c r="D125" s="3577" t="e">
        <f>NUMBERSTRING(INT(D124*10000),2)&amp;"元整"</f>
        <v>#VALUE!</v>
      </c>
      <c r="E125" s="3579"/>
      <c r="F125" s="3579"/>
      <c r="G125" s="3579"/>
      <c r="H125" s="3579"/>
      <c r="I125" s="3578"/>
      <c r="AA125" s="725"/>
    </row>
    <row r="126" spans="1:27" ht="18.75" customHeight="1">
      <c r="A126" s="3583" t="str">
        <f>IF(项目基本情况!B9="房地产市场价值","",MID(E111,3,LEN(E111)-2))</f>
        <v/>
      </c>
      <c r="B126" s="3583"/>
      <c r="C126" s="3583"/>
      <c r="D126" s="3572" t="str">
        <f>H111</f>
        <v>——</v>
      </c>
      <c r="E126" s="3573"/>
      <c r="F126" s="3573"/>
      <c r="G126" s="3573"/>
      <c r="H126" s="3573"/>
      <c r="I126" s="3574"/>
      <c r="AA126" s="725"/>
    </row>
    <row r="127" spans="1:27" ht="18.75" customHeight="1">
      <c r="A127" s="3571" t="s">
        <v>1452</v>
      </c>
      <c r="B127" s="3571"/>
      <c r="C127" s="3571"/>
      <c r="D127" s="3577" t="e">
        <f>NUMBERSTRING(INT(D126*10000),2)&amp;"元整"</f>
        <v>#VALUE!</v>
      </c>
      <c r="E127" s="3579"/>
      <c r="F127" s="3579"/>
      <c r="G127" s="3579"/>
      <c r="H127" s="3579"/>
      <c r="I127" s="3578"/>
      <c r="AA127" s="725"/>
    </row>
    <row r="128" spans="1:27" ht="21.75" customHeight="1">
      <c r="A128" s="3580" t="s">
        <v>1453</v>
      </c>
      <c r="B128" s="3580"/>
      <c r="C128" s="3580"/>
      <c r="D128" s="3580"/>
      <c r="E128" s="3580"/>
      <c r="F128" s="3580"/>
      <c r="G128" s="3580"/>
      <c r="H128" s="3580"/>
      <c r="I128" s="358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237.74</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237.74</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237.74</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0" t="s">
        <v>1544</v>
      </c>
    </row>
    <row r="43" spans="1:7" ht="13.5" customHeight="1">
      <c r="A43" s="780" t="s">
        <v>347</v>
      </c>
      <c r="B43" s="215" t="s">
        <v>1545</v>
      </c>
      <c r="C43" s="238" t="e">
        <f ca="1">ROUND(IF('数据-取费表'!B22&lt;=1,C39*F22*'数据-取费表'!B21/2,C39*(POWER((1+F22),'数据-取费表'!B21/2)-1)),0)</f>
        <v>#VALUE!</v>
      </c>
      <c r="D43" s="238"/>
      <c r="E43" s="238"/>
      <c r="F43" s="239"/>
      <c r="G43" s="3651"/>
    </row>
    <row r="44" spans="1:7" ht="13.5" customHeight="1">
      <c r="A44" s="780" t="s">
        <v>348</v>
      </c>
      <c r="B44" s="215" t="s">
        <v>1546</v>
      </c>
      <c r="C44" s="238" t="e">
        <f ca="1">ROUND(IF('数据-取费表'!B22&lt;=1,C40*F22*'数据-取费表'!B21/2,C40*(POWER((1+F22),'数据-取费表'!B21/2)-1)),4)</f>
        <v>#VALUE!</v>
      </c>
      <c r="D44" s="238"/>
      <c r="E44" s="238"/>
      <c r="F44" s="239"/>
      <c r="G44" s="3652"/>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237.74</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237.74</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237.74</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0" t="s">
        <v>1591</v>
      </c>
    </row>
    <row r="43" spans="1:7" ht="13.5" customHeight="1">
      <c r="A43" s="780" t="s">
        <v>347</v>
      </c>
      <c r="B43" s="215" t="s">
        <v>1545</v>
      </c>
      <c r="C43" s="238" t="e">
        <f ca="1">ROUND(IF('数据-取费表'!B22&lt;=1,C39*F22*'数据-取费表'!B20/2,C39*(POWER((1+F22),'数据-取费表'!B20/2)-1)),0)</f>
        <v>#VALUE!</v>
      </c>
      <c r="D43" s="238"/>
      <c r="E43" s="238"/>
      <c r="F43" s="239"/>
      <c r="G43" s="3651"/>
    </row>
    <row r="44" spans="1:7" ht="13.5" customHeight="1">
      <c r="A44" s="780" t="s">
        <v>348</v>
      </c>
      <c r="B44" s="215" t="s">
        <v>1546</v>
      </c>
      <c r="C44" s="238" t="e">
        <f ca="1">ROUND(IF('数据-取费表'!B22&lt;=1,C40*F22*'数据-取费表'!B20/2,C40*(POWER((1+F22),'数据-取费表'!B20/2)-1)),4)</f>
        <v>#VALUE!</v>
      </c>
      <c r="D44" s="238"/>
      <c r="E44" s="238"/>
      <c r="F44" s="239"/>
      <c r="G44" s="3652"/>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237.74</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237.74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237.74</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0</v>
      </c>
      <c r="D6" s="155" t="s">
        <v>2109</v>
      </c>
      <c r="E6" s="302" t="s">
        <v>696</v>
      </c>
      <c r="F6" s="303">
        <f ca="1">INDIRECT("'数据-取费表'!u"&amp;$G$1)</f>
        <v>0</v>
      </c>
      <c r="G6" s="1384"/>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0</v>
      </c>
      <c r="D6" s="155" t="s">
        <v>2106</v>
      </c>
      <c r="E6" s="302" t="s">
        <v>696</v>
      </c>
      <c r="F6" s="303">
        <f ca="1">INDIRECT("'数据-取费表'!u"&amp;$G$1)</f>
        <v>0</v>
      </c>
      <c r="G6" s="1384"/>
      <c r="H6" s="1069" t="s">
        <v>398</v>
      </c>
      <c r="I6" s="3655" t="s">
        <v>694</v>
      </c>
      <c r="J6" s="301">
        <f ca="1">ROUND(M6*M8*M7*(1-M9),0)</f>
        <v>0</v>
      </c>
      <c r="K6" s="1376"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#VALUE!</v>
      </c>
      <c r="D45" s="3432"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58" t="s">
        <v>2317</v>
      </c>
      <c r="K2" s="3659"/>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0" t="s">
        <v>2327</v>
      </c>
      <c r="K3" s="3661"/>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0" t="s">
        <v>2329</v>
      </c>
      <c r="K4" s="3661"/>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62" t="s">
        <v>2333</v>
      </c>
      <c r="B6" s="3663"/>
      <c r="C6" s="3664"/>
      <c r="D6" s="2870"/>
      <c r="E6" s="2871"/>
      <c r="F6" s="2872"/>
      <c r="G6" s="2873"/>
      <c r="H6" s="2848"/>
      <c r="I6" s="2849"/>
      <c r="J6" s="3665">
        <v>1</v>
      </c>
      <c r="K6" s="366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5"/>
      <c r="K7" s="3667"/>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9" t="s">
        <v>2347</v>
      </c>
      <c r="C8" s="3670"/>
      <c r="D8" s="2889" t="s">
        <v>2348</v>
      </c>
      <c r="E8" s="2890" t="s">
        <v>2349</v>
      </c>
      <c r="F8" s="2891" t="s">
        <v>2350</v>
      </c>
      <c r="G8" s="2892"/>
      <c r="H8" s="2848"/>
      <c r="I8" s="2849"/>
      <c r="J8" s="3665"/>
      <c r="K8" s="3667"/>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9" t="s">
        <v>2353</v>
      </c>
      <c r="C9" s="3670"/>
      <c r="D9" s="2889">
        <f>ROUND(D6*E9,0)</f>
        <v>0</v>
      </c>
      <c r="E9" s="2893"/>
      <c r="F9" s="2894" t="s">
        <v>2354</v>
      </c>
      <c r="G9" s="2873"/>
      <c r="H9" s="2848"/>
      <c r="I9" s="2849"/>
      <c r="J9" s="3665"/>
      <c r="K9" s="3667"/>
      <c r="L9" s="2883" t="s">
        <v>2355</v>
      </c>
      <c r="M9" s="2884"/>
      <c r="N9" s="2860"/>
      <c r="O9" s="2885"/>
      <c r="P9" s="2885"/>
      <c r="Q9" s="2886">
        <v>365</v>
      </c>
      <c r="R9" s="2887">
        <f t="shared" si="0"/>
        <v>0</v>
      </c>
      <c r="S9" s="2841"/>
      <c r="T9" s="2841"/>
      <c r="U9" s="2841"/>
      <c r="V9" s="2849"/>
    </row>
    <row r="10" spans="1:22" s="2853" customFormat="1" ht="13.15" customHeight="1">
      <c r="A10" s="2888">
        <v>2</v>
      </c>
      <c r="B10" s="3669" t="s">
        <v>2356</v>
      </c>
      <c r="C10" s="3670"/>
      <c r="D10" s="2889">
        <f>ROUND(D6*E10,0)</f>
        <v>0</v>
      </c>
      <c r="E10" s="2893"/>
      <c r="F10" s="2894" t="s">
        <v>2357</v>
      </c>
      <c r="G10" s="2873"/>
      <c r="H10" s="2848"/>
      <c r="I10" s="2849"/>
      <c r="J10" s="3665"/>
      <c r="K10" s="3667"/>
      <c r="L10" s="2883" t="s">
        <v>2358</v>
      </c>
      <c r="M10" s="2884"/>
      <c r="N10" s="2860"/>
      <c r="O10" s="2885"/>
      <c r="P10" s="2885"/>
      <c r="Q10" s="2886">
        <v>365</v>
      </c>
      <c r="R10" s="2887">
        <f t="shared" si="0"/>
        <v>0</v>
      </c>
      <c r="S10" s="2841"/>
      <c r="T10" s="2841"/>
      <c r="U10" s="2841"/>
      <c r="V10" s="2849"/>
    </row>
    <row r="11" spans="1:22" s="2853" customFormat="1" ht="13.15" customHeight="1">
      <c r="A11" s="2888">
        <v>3</v>
      </c>
      <c r="B11" s="3669" t="s">
        <v>2359</v>
      </c>
      <c r="C11" s="3670"/>
      <c r="D11" s="2889">
        <f>D12+D14+D15+D16</f>
        <v>0</v>
      </c>
      <c r="E11" s="2895" t="e">
        <f>D11/D6</f>
        <v>#DIV/0!</v>
      </c>
      <c r="F11" s="2891"/>
      <c r="G11" s="2892"/>
      <c r="H11" s="2848"/>
      <c r="I11" s="2849"/>
      <c r="J11" s="3665"/>
      <c r="K11" s="3667"/>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1" t="s">
        <v>2362</v>
      </c>
      <c r="C12" s="3672"/>
      <c r="D12" s="2897">
        <f>ROUND(D13*1.2%*(1-30%),0)</f>
        <v>0</v>
      </c>
      <c r="E12" s="2898">
        <v>1.2E-2</v>
      </c>
      <c r="F12" s="2891" t="s">
        <v>2363</v>
      </c>
      <c r="G12" s="2892"/>
      <c r="H12" s="2848"/>
      <c r="I12" s="2849"/>
      <c r="J12" s="3665"/>
      <c r="K12" s="3667"/>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5"/>
      <c r="K13" s="3667"/>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1" t="s">
        <v>2368</v>
      </c>
      <c r="C14" s="3672"/>
      <c r="D14" s="2897">
        <f>ROUND(E14*B5/10000,0)</f>
        <v>0</v>
      </c>
      <c r="E14" s="2886"/>
      <c r="F14" s="2891" t="s">
        <v>2369</v>
      </c>
      <c r="G14" s="2892"/>
      <c r="H14" s="2848"/>
      <c r="I14" s="2849"/>
      <c r="J14" s="3665"/>
      <c r="K14" s="366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1" t="s">
        <v>2372</v>
      </c>
      <c r="C15" s="3672"/>
      <c r="D15" s="2897">
        <f>ROUND(D6*E15,0)</f>
        <v>0</v>
      </c>
      <c r="E15" s="2898">
        <v>5.5E-2</v>
      </c>
      <c r="F15" s="2891" t="s">
        <v>2373</v>
      </c>
      <c r="G15" s="2873"/>
      <c r="H15" s="2848"/>
      <c r="I15" s="2849"/>
      <c r="J15" s="3665">
        <v>2</v>
      </c>
      <c r="K15" s="366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1" t="s">
        <v>2381</v>
      </c>
      <c r="C16" s="3672"/>
      <c r="D16" s="2908">
        <f>D6*E16</f>
        <v>0</v>
      </c>
      <c r="E16" s="2909"/>
      <c r="F16" s="2894" t="s">
        <v>2382</v>
      </c>
      <c r="G16" s="2873"/>
      <c r="H16" s="2848"/>
      <c r="I16" s="2849"/>
      <c r="J16" s="3665"/>
      <c r="K16" s="3667"/>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3" t="s">
        <v>2384</v>
      </c>
      <c r="C17" s="3674"/>
      <c r="D17" s="2911">
        <f>ROUND(D6*E17,0)</f>
        <v>0</v>
      </c>
      <c r="E17" s="2912"/>
      <c r="F17" s="2913" t="s">
        <v>2385</v>
      </c>
      <c r="G17" s="2873"/>
      <c r="H17" s="2848"/>
      <c r="I17" s="2849"/>
      <c r="J17" s="3665"/>
      <c r="K17" s="3667"/>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5"/>
      <c r="K18" s="3667"/>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5"/>
      <c r="K19" s="366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5">
        <v>3</v>
      </c>
      <c r="K20" s="366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5"/>
      <c r="K21" s="3667"/>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5"/>
      <c r="K22" s="3667"/>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5"/>
      <c r="K23" s="3667"/>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5"/>
      <c r="K24" s="366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8" t="s">
        <v>2317</v>
      </c>
      <c r="K32" s="3659"/>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0" t="s">
        <v>2327</v>
      </c>
      <c r="K33" s="3661"/>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0" t="s">
        <v>2329</v>
      </c>
      <c r="K34" s="366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5">
        <v>1</v>
      </c>
      <c r="K36" s="3666"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5"/>
      <c r="K37" s="3667"/>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5"/>
      <c r="K38" s="3667"/>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5"/>
      <c r="K39" s="3667"/>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5"/>
      <c r="K40" s="3668"/>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7" t="s">
        <v>1654</v>
      </c>
      <c r="C5" s="3678"/>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237.74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5"/>
      <c r="M4" s="2716"/>
      <c r="N4" s="2716"/>
      <c r="O4" s="2716"/>
      <c r="P4" s="3701" t="s">
        <v>1672</v>
      </c>
      <c r="Q4" s="3702"/>
      <c r="R4" s="3684" t="s">
        <v>1668</v>
      </c>
      <c r="S4" s="3685"/>
      <c r="T4" s="3684" t="s">
        <v>1669</v>
      </c>
      <c r="U4" s="3685"/>
      <c r="V4" s="3709" t="s">
        <v>1670</v>
      </c>
      <c r="W4" s="3709"/>
      <c r="X4" s="1355"/>
      <c r="Y4" s="3684" t="s">
        <v>1672</v>
      </c>
      <c r="Z4" s="3685"/>
      <c r="AA4" s="3679" t="s">
        <v>1668</v>
      </c>
      <c r="AB4" s="3679" t="s">
        <v>1669</v>
      </c>
      <c r="AC4" s="3679" t="s">
        <v>1670</v>
      </c>
    </row>
    <row r="5" spans="1:29" ht="15">
      <c r="A5" s="358"/>
      <c r="B5" s="359"/>
      <c r="C5" s="3690" t="s">
        <v>1673</v>
      </c>
      <c r="D5" s="3691"/>
      <c r="E5" s="3688" t="s">
        <v>1674</v>
      </c>
      <c r="F5" s="3689"/>
      <c r="G5" s="3690" t="s">
        <v>1675</v>
      </c>
      <c r="H5" s="3691"/>
      <c r="I5" s="3690" t="s">
        <v>1676</v>
      </c>
      <c r="J5" s="3691"/>
      <c r="K5" s="1890"/>
      <c r="L5" s="2715"/>
      <c r="M5" s="2716"/>
      <c r="N5" s="2716"/>
      <c r="O5" s="2716"/>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1890" t="s">
        <v>1678</v>
      </c>
      <c r="L6" s="2715"/>
      <c r="M6" s="2716"/>
      <c r="N6" s="2716"/>
      <c r="O6" s="2716"/>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45749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2" t="s">
        <v>1680</v>
      </c>
      <c r="Q7" s="3710"/>
      <c r="R7" s="701" t="s">
        <v>20</v>
      </c>
      <c r="S7" s="702">
        <f t="shared" ref="S7:S15" si="0">F7</f>
        <v>0</v>
      </c>
      <c r="T7" s="701" t="s">
        <v>20</v>
      </c>
      <c r="U7" s="702">
        <f t="shared" ref="U7:U15" si="1">H7</f>
        <v>0</v>
      </c>
      <c r="V7" s="701" t="s">
        <v>20</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2" t="s">
        <v>1683</v>
      </c>
      <c r="Q8" s="3683"/>
      <c r="R8" s="701" t="s">
        <v>20</v>
      </c>
      <c r="S8" s="702">
        <f t="shared" si="0"/>
        <v>100</v>
      </c>
      <c r="T8" s="701" t="s">
        <v>20</v>
      </c>
      <c r="U8" s="702">
        <f t="shared" si="1"/>
        <v>100</v>
      </c>
      <c r="V8" s="701" t="s">
        <v>20</v>
      </c>
      <c r="W8" s="702">
        <f t="shared" si="2"/>
        <v>100</v>
      </c>
      <c r="X8" s="703"/>
      <c r="Y8" s="3682" t="s">
        <v>1683</v>
      </c>
      <c r="Z8" s="368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6"/>
      <c r="Q11" s="1343" t="str">
        <f t="shared" si="6"/>
        <v>容积率</v>
      </c>
      <c r="R11" s="701" t="s">
        <v>18</v>
      </c>
      <c r="S11" s="702" t="e">
        <f t="shared" si="0"/>
        <v>#N/A</v>
      </c>
      <c r="T11" s="701" t="s">
        <v>18</v>
      </c>
      <c r="U11" s="702" t="e">
        <f t="shared" si="1"/>
        <v>#N/A</v>
      </c>
      <c r="V11" s="701" t="s">
        <v>18</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6"/>
      <c r="Q12" s="1343">
        <f t="shared" si="6"/>
        <v>111</v>
      </c>
      <c r="R12" s="701" t="s">
        <v>18</v>
      </c>
      <c r="S12" s="702">
        <f t="shared" si="0"/>
        <v>100</v>
      </c>
      <c r="T12" s="701" t="s">
        <v>18</v>
      </c>
      <c r="U12" s="702">
        <f t="shared" si="1"/>
        <v>100</v>
      </c>
      <c r="V12" s="701" t="s">
        <v>18</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6"/>
      <c r="Q13" s="1343">
        <f t="shared" si="6"/>
        <v>111</v>
      </c>
      <c r="R13" s="701" t="s">
        <v>18</v>
      </c>
      <c r="S13" s="702">
        <f t="shared" si="0"/>
        <v>100</v>
      </c>
      <c r="T13" s="701" t="s">
        <v>18</v>
      </c>
      <c r="U13" s="702">
        <f t="shared" si="1"/>
        <v>100</v>
      </c>
      <c r="V13" s="701" t="s">
        <v>18</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6"/>
      <c r="Q14" s="1343">
        <f t="shared" si="6"/>
        <v>111</v>
      </c>
      <c r="R14" s="701" t="s">
        <v>18</v>
      </c>
      <c r="S14" s="702">
        <f t="shared" si="0"/>
        <v>100</v>
      </c>
      <c r="T14" s="701" t="s">
        <v>18</v>
      </c>
      <c r="U14" s="702">
        <f t="shared" si="1"/>
        <v>100</v>
      </c>
      <c r="V14" s="701" t="s">
        <v>18</v>
      </c>
      <c r="W14" s="702">
        <f t="shared" si="2"/>
        <v>100</v>
      </c>
      <c r="X14" s="703"/>
      <c r="Y14" s="362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3" t="s">
        <v>1691</v>
      </c>
      <c r="Q15" s="1352" t="str">
        <f t="shared" si="6"/>
        <v>居住社区成熟度</v>
      </c>
      <c r="R15" s="705" t="s">
        <v>18</v>
      </c>
      <c r="S15" s="706">
        <f t="shared" si="0"/>
        <v>100</v>
      </c>
      <c r="T15" s="705" t="s">
        <v>18</v>
      </c>
      <c r="U15" s="706">
        <f t="shared" si="1"/>
        <v>100</v>
      </c>
      <c r="V15" s="705" t="s">
        <v>18</v>
      </c>
      <c r="W15" s="706">
        <f t="shared" si="2"/>
        <v>100</v>
      </c>
      <c r="X15" s="1355"/>
      <c r="Y15" s="371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4"/>
      <c r="Q16" s="1352"/>
      <c r="R16" s="705"/>
      <c r="S16" s="706"/>
      <c r="T16" s="705"/>
      <c r="U16" s="706"/>
      <c r="V16" s="705"/>
      <c r="W16" s="706"/>
      <c r="X16" s="1355"/>
      <c r="Y16" s="371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4"/>
      <c r="Q17" s="1352" t="str">
        <f>B17</f>
        <v>交通便捷度</v>
      </c>
      <c r="R17" s="705" t="s">
        <v>18</v>
      </c>
      <c r="S17" s="706">
        <f>F17</f>
        <v>100</v>
      </c>
      <c r="T17" s="705" t="s">
        <v>18</v>
      </c>
      <c r="U17" s="706">
        <f>H17</f>
        <v>100</v>
      </c>
      <c r="V17" s="705" t="s">
        <v>18</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4"/>
      <c r="Q18" s="1352"/>
      <c r="R18" s="705"/>
      <c r="S18" s="706"/>
      <c r="T18" s="705"/>
      <c r="U18" s="706"/>
      <c r="V18" s="705"/>
      <c r="W18" s="706"/>
      <c r="X18" s="1355"/>
      <c r="Y18" s="371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4"/>
      <c r="Q19" s="1352" t="str">
        <f>B19</f>
        <v>公共配套设施</v>
      </c>
      <c r="R19" s="705" t="s">
        <v>18</v>
      </c>
      <c r="S19" s="706">
        <f>F19</f>
        <v>100</v>
      </c>
      <c r="T19" s="705" t="s">
        <v>18</v>
      </c>
      <c r="U19" s="706">
        <f>H19</f>
        <v>100</v>
      </c>
      <c r="V19" s="705" t="s">
        <v>18</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4"/>
      <c r="Q20" s="1352"/>
      <c r="R20" s="705"/>
      <c r="S20" s="706"/>
      <c r="T20" s="705"/>
      <c r="U20" s="706"/>
      <c r="V20" s="705"/>
      <c r="W20" s="706"/>
      <c r="X20" s="1355"/>
      <c r="Y20" s="371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4"/>
      <c r="Q22" s="1352"/>
      <c r="R22" s="705"/>
      <c r="S22" s="706"/>
      <c r="T22" s="705"/>
      <c r="U22" s="706"/>
      <c r="V22" s="705"/>
      <c r="W22" s="706"/>
      <c r="X22" s="1355"/>
      <c r="Y22" s="371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4"/>
      <c r="Q23" s="1352" t="str">
        <f>B23</f>
        <v>自然及人文环境</v>
      </c>
      <c r="R23" s="705" t="s">
        <v>18</v>
      </c>
      <c r="S23" s="706">
        <f>F23</f>
        <v>100</v>
      </c>
      <c r="T23" s="705" t="s">
        <v>18</v>
      </c>
      <c r="U23" s="706">
        <f>H23</f>
        <v>100</v>
      </c>
      <c r="V23" s="705" t="s">
        <v>18</v>
      </c>
      <c r="W23" s="706">
        <f>J23</f>
        <v>100</v>
      </c>
      <c r="X23" s="1355"/>
      <c r="Y23" s="371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4"/>
      <c r="Q24" s="1352"/>
      <c r="R24" s="705"/>
      <c r="S24" s="706"/>
      <c r="T24" s="705"/>
      <c r="U24" s="706"/>
      <c r="V24" s="705"/>
      <c r="W24" s="706"/>
      <c r="X24" s="1355"/>
      <c r="Y24" s="371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4"/>
      <c r="Q26" s="1352" t="str">
        <f t="shared" si="11"/>
        <v>朝向</v>
      </c>
      <c r="R26" s="705" t="s">
        <v>18</v>
      </c>
      <c r="S26" s="706">
        <f t="shared" si="12"/>
        <v>100</v>
      </c>
      <c r="T26" s="705" t="s">
        <v>18</v>
      </c>
      <c r="U26" s="706">
        <f t="shared" si="13"/>
        <v>100</v>
      </c>
      <c r="V26" s="705" t="s">
        <v>18</v>
      </c>
      <c r="W26" s="706">
        <f t="shared" si="14"/>
        <v>100</v>
      </c>
      <c r="X26" s="1355"/>
      <c r="Y26" s="371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4"/>
      <c r="Q27" s="1343">
        <f t="shared" si="11"/>
        <v>111</v>
      </c>
      <c r="R27" s="701" t="s">
        <v>18</v>
      </c>
      <c r="S27" s="702">
        <f t="shared" si="12"/>
        <v>100</v>
      </c>
      <c r="T27" s="701" t="s">
        <v>18</v>
      </c>
      <c r="U27" s="702">
        <f t="shared" si="13"/>
        <v>100</v>
      </c>
      <c r="V27" s="701" t="s">
        <v>18</v>
      </c>
      <c r="W27" s="702">
        <f t="shared" si="14"/>
        <v>100</v>
      </c>
      <c r="X27" s="703"/>
      <c r="Y27" s="371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4"/>
      <c r="Q28" s="1352">
        <f t="shared" si="11"/>
        <v>111</v>
      </c>
      <c r="R28" s="705" t="s">
        <v>18</v>
      </c>
      <c r="S28" s="706">
        <f t="shared" si="12"/>
        <v>100</v>
      </c>
      <c r="T28" s="705" t="s">
        <v>18</v>
      </c>
      <c r="U28" s="706">
        <f t="shared" si="13"/>
        <v>100</v>
      </c>
      <c r="V28" s="705" t="s">
        <v>18</v>
      </c>
      <c r="W28" s="706">
        <f t="shared" si="14"/>
        <v>100</v>
      </c>
      <c r="X28" s="1355"/>
      <c r="Y28" s="371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4"/>
      <c r="Q29" s="1352">
        <f t="shared" si="11"/>
        <v>111</v>
      </c>
      <c r="R29" s="705" t="s">
        <v>18</v>
      </c>
      <c r="S29" s="706">
        <f t="shared" si="12"/>
        <v>100</v>
      </c>
      <c r="T29" s="705" t="s">
        <v>18</v>
      </c>
      <c r="U29" s="706">
        <f t="shared" si="13"/>
        <v>100</v>
      </c>
      <c r="V29" s="705" t="s">
        <v>18</v>
      </c>
      <c r="W29" s="706">
        <f t="shared" si="14"/>
        <v>100</v>
      </c>
      <c r="X29" s="1355"/>
      <c r="Y29" s="371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4"/>
      <c r="Q30" s="1352">
        <f t="shared" si="11"/>
        <v>111</v>
      </c>
      <c r="R30" s="705" t="s">
        <v>18</v>
      </c>
      <c r="S30" s="706">
        <f t="shared" si="12"/>
        <v>100</v>
      </c>
      <c r="T30" s="705" t="s">
        <v>18</v>
      </c>
      <c r="U30" s="706">
        <f t="shared" si="13"/>
        <v>100</v>
      </c>
      <c r="V30" s="705" t="s">
        <v>18</v>
      </c>
      <c r="W30" s="706">
        <f t="shared" si="14"/>
        <v>100</v>
      </c>
      <c r="X30" s="1355"/>
      <c r="Y30" s="371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4"/>
      <c r="Q31" s="1352">
        <f t="shared" si="11"/>
        <v>111</v>
      </c>
      <c r="R31" s="705" t="s">
        <v>18</v>
      </c>
      <c r="S31" s="706">
        <f t="shared" si="12"/>
        <v>100</v>
      </c>
      <c r="T31" s="705" t="s">
        <v>18</v>
      </c>
      <c r="U31" s="706">
        <f t="shared" si="13"/>
        <v>100</v>
      </c>
      <c r="V31" s="705" t="s">
        <v>18</v>
      </c>
      <c r="W31" s="706">
        <f t="shared" si="14"/>
        <v>100</v>
      </c>
      <c r="X31" s="1355"/>
      <c r="Y31" s="371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8" t="s">
        <v>1696</v>
      </c>
      <c r="Q32" s="1352" t="str">
        <f t="shared" si="11"/>
        <v>建筑类型</v>
      </c>
      <c r="R32" s="705" t="s">
        <v>18</v>
      </c>
      <c r="S32" s="706">
        <f t="shared" si="12"/>
        <v>100</v>
      </c>
      <c r="T32" s="705" t="s">
        <v>18</v>
      </c>
      <c r="U32" s="706">
        <f t="shared" si="13"/>
        <v>100</v>
      </c>
      <c r="V32" s="705" t="s">
        <v>18</v>
      </c>
      <c r="W32" s="706">
        <f t="shared" si="14"/>
        <v>100</v>
      </c>
      <c r="X32" s="1355"/>
      <c r="Y32" s="372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9"/>
      <c r="Q33" s="707" t="str">
        <f t="shared" si="11"/>
        <v>项目建筑规模</v>
      </c>
      <c r="R33" s="708" t="s">
        <v>18</v>
      </c>
      <c r="S33" s="709" t="e">
        <f t="shared" si="12"/>
        <v>#N/A</v>
      </c>
      <c r="T33" s="708" t="s">
        <v>18</v>
      </c>
      <c r="U33" s="709" t="e">
        <f t="shared" si="13"/>
        <v>#N/A</v>
      </c>
      <c r="V33" s="708" t="s">
        <v>18</v>
      </c>
      <c r="W33" s="709" t="e">
        <f t="shared" si="14"/>
        <v>#N/A</v>
      </c>
      <c r="X33" s="710"/>
      <c r="Y33" s="372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9"/>
      <c r="Q34" s="1352" t="str">
        <f t="shared" si="11"/>
        <v>建筑结构</v>
      </c>
      <c r="R34" s="705" t="s">
        <v>18</v>
      </c>
      <c r="S34" s="706">
        <f t="shared" si="12"/>
        <v>100</v>
      </c>
      <c r="T34" s="705" t="s">
        <v>18</v>
      </c>
      <c r="U34" s="706">
        <f t="shared" si="13"/>
        <v>100</v>
      </c>
      <c r="V34" s="705" t="s">
        <v>18</v>
      </c>
      <c r="W34" s="706">
        <f t="shared" si="14"/>
        <v>100</v>
      </c>
      <c r="X34" s="1355"/>
      <c r="Y34" s="372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9"/>
      <c r="Q35" s="1352" t="str">
        <f t="shared" si="11"/>
        <v>建筑品质</v>
      </c>
      <c r="R35" s="705" t="s">
        <v>18</v>
      </c>
      <c r="S35" s="706">
        <f t="shared" si="12"/>
        <v>100</v>
      </c>
      <c r="T35" s="705" t="s">
        <v>18</v>
      </c>
      <c r="U35" s="706">
        <f t="shared" si="13"/>
        <v>100</v>
      </c>
      <c r="V35" s="705" t="s">
        <v>18</v>
      </c>
      <c r="W35" s="706">
        <f t="shared" si="14"/>
        <v>100</v>
      </c>
      <c r="X35" s="1355"/>
      <c r="Y35" s="372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9"/>
      <c r="Q36" s="1352" t="str">
        <f t="shared" si="11"/>
        <v>公共部分装修</v>
      </c>
      <c r="R36" s="705" t="s">
        <v>18</v>
      </c>
      <c r="S36" s="706">
        <f t="shared" si="12"/>
        <v>100</v>
      </c>
      <c r="T36" s="705" t="s">
        <v>18</v>
      </c>
      <c r="U36" s="706">
        <f t="shared" si="13"/>
        <v>100</v>
      </c>
      <c r="V36" s="705" t="s">
        <v>18</v>
      </c>
      <c r="W36" s="706">
        <f t="shared" si="14"/>
        <v>100</v>
      </c>
      <c r="X36" s="1355"/>
      <c r="Y36" s="372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9"/>
      <c r="Q37" s="1343" t="str">
        <f t="shared" si="11"/>
        <v>成新度</v>
      </c>
      <c r="R37" s="701" t="s">
        <v>18</v>
      </c>
      <c r="S37" s="702" t="e">
        <f t="shared" si="12"/>
        <v>#N/A</v>
      </c>
      <c r="T37" s="701" t="s">
        <v>18</v>
      </c>
      <c r="U37" s="702" t="e">
        <f t="shared" si="13"/>
        <v>#N/A</v>
      </c>
      <c r="V37" s="701" t="s">
        <v>18</v>
      </c>
      <c r="W37" s="702" t="e">
        <f t="shared" si="14"/>
        <v>#N/A</v>
      </c>
      <c r="X37" s="703"/>
      <c r="Y37" s="372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9" t="s">
        <v>1696</v>
      </c>
      <c r="Q38" s="1352" t="str">
        <f t="shared" si="11"/>
        <v>物业管理</v>
      </c>
      <c r="R38" s="705" t="s">
        <v>18</v>
      </c>
      <c r="S38" s="706">
        <f t="shared" si="12"/>
        <v>100</v>
      </c>
      <c r="T38" s="705" t="s">
        <v>18</v>
      </c>
      <c r="U38" s="706">
        <f t="shared" si="13"/>
        <v>100</v>
      </c>
      <c r="V38" s="705" t="s">
        <v>18</v>
      </c>
      <c r="W38" s="706">
        <f t="shared" si="14"/>
        <v>100</v>
      </c>
      <c r="X38" s="1355"/>
      <c r="Y38" s="372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9"/>
      <c r="Q39" s="1352" t="str">
        <f t="shared" si="11"/>
        <v>市政基础设施</v>
      </c>
      <c r="R39" s="705" t="s">
        <v>18</v>
      </c>
      <c r="S39" s="706">
        <f t="shared" si="12"/>
        <v>100</v>
      </c>
      <c r="T39" s="705" t="s">
        <v>18</v>
      </c>
      <c r="U39" s="706">
        <f t="shared" si="13"/>
        <v>100</v>
      </c>
      <c r="V39" s="705" t="s">
        <v>18</v>
      </c>
      <c r="W39" s="706">
        <f t="shared" si="14"/>
        <v>100</v>
      </c>
      <c r="X39" s="1355"/>
      <c r="Y39" s="372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9"/>
      <c r="Q40" s="1352" t="str">
        <f t="shared" si="11"/>
        <v>房型</v>
      </c>
      <c r="R40" s="705" t="s">
        <v>18</v>
      </c>
      <c r="S40" s="706">
        <f t="shared" si="12"/>
        <v>100</v>
      </c>
      <c r="T40" s="705" t="s">
        <v>18</v>
      </c>
      <c r="U40" s="706">
        <f t="shared" si="13"/>
        <v>100</v>
      </c>
      <c r="V40" s="705" t="s">
        <v>18</v>
      </c>
      <c r="W40" s="706">
        <f t="shared" si="14"/>
        <v>100</v>
      </c>
      <c r="X40" s="1355"/>
      <c r="Y40" s="372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9"/>
      <c r="Q41" s="707" t="str">
        <f t="shared" si="11"/>
        <v>单套/主力户型建筑面积</v>
      </c>
      <c r="R41" s="708" t="s">
        <v>18</v>
      </c>
      <c r="S41" s="709">
        <f t="shared" si="12"/>
        <v>100</v>
      </c>
      <c r="T41" s="708" t="s">
        <v>18</v>
      </c>
      <c r="U41" s="709">
        <f t="shared" si="13"/>
        <v>100</v>
      </c>
      <c r="V41" s="708" t="s">
        <v>18</v>
      </c>
      <c r="W41" s="709">
        <f t="shared" si="14"/>
        <v>100</v>
      </c>
      <c r="X41" s="710"/>
      <c r="Y41" s="372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9"/>
      <c r="Q42" s="1352" t="str">
        <f t="shared" si="11"/>
        <v>内部装修</v>
      </c>
      <c r="R42" s="705" t="s">
        <v>18</v>
      </c>
      <c r="S42" s="706">
        <f t="shared" si="12"/>
        <v>100</v>
      </c>
      <c r="T42" s="705" t="s">
        <v>18</v>
      </c>
      <c r="U42" s="706">
        <f t="shared" si="13"/>
        <v>100</v>
      </c>
      <c r="V42" s="705" t="s">
        <v>18</v>
      </c>
      <c r="W42" s="706">
        <f t="shared" si="14"/>
        <v>100</v>
      </c>
      <c r="X42" s="1355"/>
      <c r="Y42" s="372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9"/>
      <c r="Q43" s="1352" t="str">
        <f t="shared" si="11"/>
        <v>内部装修维护情况</v>
      </c>
      <c r="R43" s="705" t="s">
        <v>18</v>
      </c>
      <c r="S43" s="706">
        <f t="shared" si="12"/>
        <v>100</v>
      </c>
      <c r="T43" s="705" t="s">
        <v>18</v>
      </c>
      <c r="U43" s="706">
        <f t="shared" si="13"/>
        <v>100</v>
      </c>
      <c r="V43" s="705" t="s">
        <v>18</v>
      </c>
      <c r="W43" s="706">
        <f t="shared" si="14"/>
        <v>100</v>
      </c>
      <c r="X43" s="1355"/>
      <c r="Y43" s="372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9"/>
      <c r="Q44" s="1343">
        <f t="shared" si="11"/>
        <v>111</v>
      </c>
      <c r="R44" s="701" t="s">
        <v>18</v>
      </c>
      <c r="S44" s="702">
        <f t="shared" si="12"/>
        <v>100</v>
      </c>
      <c r="T44" s="701" t="s">
        <v>18</v>
      </c>
      <c r="U44" s="702">
        <f t="shared" si="13"/>
        <v>100</v>
      </c>
      <c r="V44" s="701" t="s">
        <v>18</v>
      </c>
      <c r="W44" s="702">
        <f t="shared" si="14"/>
        <v>100</v>
      </c>
      <c r="X44" s="703"/>
      <c r="Y44" s="372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9"/>
      <c r="Q45" s="1352">
        <f t="shared" si="11"/>
        <v>111</v>
      </c>
      <c r="R45" s="705" t="s">
        <v>18</v>
      </c>
      <c r="S45" s="706">
        <f t="shared" si="12"/>
        <v>100</v>
      </c>
      <c r="T45" s="705" t="s">
        <v>18</v>
      </c>
      <c r="U45" s="706">
        <f t="shared" si="13"/>
        <v>100</v>
      </c>
      <c r="V45" s="705" t="s">
        <v>18</v>
      </c>
      <c r="W45" s="706">
        <f t="shared" si="14"/>
        <v>100</v>
      </c>
      <c r="X45" s="1355"/>
      <c r="Y45" s="372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0"/>
      <c r="Q46" s="1352">
        <f t="shared" si="11"/>
        <v>111</v>
      </c>
      <c r="R46" s="705" t="s">
        <v>17</v>
      </c>
      <c r="S46" s="706">
        <f t="shared" si="12"/>
        <v>100</v>
      </c>
      <c r="T46" s="705" t="s">
        <v>17</v>
      </c>
      <c r="U46" s="706">
        <f t="shared" si="13"/>
        <v>100</v>
      </c>
      <c r="V46" s="705" t="s">
        <v>17</v>
      </c>
      <c r="W46" s="706">
        <f t="shared" si="14"/>
        <v>100</v>
      </c>
      <c r="X46" s="1355"/>
      <c r="Y46" s="372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4" t="str">
        <f>A47</f>
        <v>成交单价（元/平方米）</v>
      </c>
      <c r="Q47" s="3714"/>
      <c r="R47" s="3715">
        <f>E47</f>
        <v>0</v>
      </c>
      <c r="S47" s="3715"/>
      <c r="T47" s="3715">
        <f>G47</f>
        <v>0</v>
      </c>
      <c r="U47" s="3715"/>
      <c r="V47" s="3715">
        <f>I47</f>
        <v>0</v>
      </c>
      <c r="W47" s="371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237.74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709" t="s">
        <v>1772</v>
      </c>
      <c r="AC4" s="3679" t="s">
        <v>1773</v>
      </c>
    </row>
    <row r="5" spans="1:29"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709"/>
      <c r="AC5" s="3680"/>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05"/>
      <c r="Q6" s="3706"/>
      <c r="R6" s="3686"/>
      <c r="S6" s="3687"/>
      <c r="T6" s="3707"/>
      <c r="U6" s="3708"/>
      <c r="V6" s="3709"/>
      <c r="W6" s="3709"/>
      <c r="X6" s="1355"/>
      <c r="Y6" s="3707"/>
      <c r="Z6" s="3708"/>
      <c r="AA6" s="3681"/>
      <c r="AB6" s="3709"/>
      <c r="AC6" s="3681"/>
    </row>
    <row r="7" spans="1:29" s="108" customFormat="1" ht="15.75" thickBot="1">
      <c r="A7" s="362" t="s">
        <v>1679</v>
      </c>
      <c r="B7" s="363"/>
      <c r="C7" s="364">
        <f>'数据-取费表'!B2</f>
        <v>45749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6"/>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3" t="s">
        <v>1691</v>
      </c>
      <c r="Q15" s="1352" t="str">
        <f t="shared" si="6"/>
        <v>商业繁华度</v>
      </c>
      <c r="R15" s="705" t="s">
        <v>14</v>
      </c>
      <c r="S15" s="706">
        <f t="shared" si="0"/>
        <v>100</v>
      </c>
      <c r="T15" s="705" t="s">
        <v>14</v>
      </c>
      <c r="U15" s="706">
        <f t="shared" si="1"/>
        <v>100</v>
      </c>
      <c r="V15" s="705" t="s">
        <v>14</v>
      </c>
      <c r="W15" s="706">
        <f t="shared" si="2"/>
        <v>100</v>
      </c>
      <c r="X15" s="1355"/>
      <c r="Y15" s="371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4"/>
      <c r="Q16" s="1352"/>
      <c r="R16" s="705"/>
      <c r="S16" s="706"/>
      <c r="T16" s="705"/>
      <c r="U16" s="706"/>
      <c r="V16" s="705"/>
      <c r="W16" s="706"/>
      <c r="X16" s="1355"/>
      <c r="Y16" s="371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4"/>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4"/>
      <c r="Q18" s="1352"/>
      <c r="R18" s="705"/>
      <c r="S18" s="706"/>
      <c r="T18" s="705"/>
      <c r="U18" s="706"/>
      <c r="V18" s="705"/>
      <c r="W18" s="706"/>
      <c r="X18" s="1355"/>
      <c r="Y18" s="371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4"/>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4"/>
      <c r="Q20" s="1352"/>
      <c r="R20" s="705"/>
      <c r="S20" s="706"/>
      <c r="T20" s="705"/>
      <c r="U20" s="706"/>
      <c r="V20" s="705"/>
      <c r="W20" s="706"/>
      <c r="X20" s="1355"/>
      <c r="Y20" s="371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4"/>
      <c r="Q22" s="1352"/>
      <c r="R22" s="705"/>
      <c r="S22" s="706"/>
      <c r="T22" s="705"/>
      <c r="U22" s="706"/>
      <c r="V22" s="705"/>
      <c r="W22" s="706"/>
      <c r="X22" s="1355"/>
      <c r="Y22" s="371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4"/>
      <c r="Q23" s="1352" t="str">
        <f>B23</f>
        <v>自然及人文环境</v>
      </c>
      <c r="R23" s="705" t="s">
        <v>14</v>
      </c>
      <c r="S23" s="706">
        <f>F23</f>
        <v>100</v>
      </c>
      <c r="T23" s="705" t="s">
        <v>14</v>
      </c>
      <c r="U23" s="706">
        <f>H23</f>
        <v>100</v>
      </c>
      <c r="V23" s="705" t="s">
        <v>14</v>
      </c>
      <c r="W23" s="706">
        <f>J23</f>
        <v>100</v>
      </c>
      <c r="X23" s="1355"/>
      <c r="Y23" s="371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4"/>
      <c r="Q24" s="1352"/>
      <c r="R24" s="705"/>
      <c r="S24" s="706"/>
      <c r="T24" s="705"/>
      <c r="U24" s="706"/>
      <c r="V24" s="705"/>
      <c r="W24" s="706"/>
      <c r="X24" s="1355"/>
      <c r="Y24" s="371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4"/>
      <c r="Q25" s="1352" t="str">
        <f t="shared" ref="Q25:Q46" si="11">B25</f>
        <v>临街状况</v>
      </c>
      <c r="R25" s="705" t="s">
        <v>14</v>
      </c>
      <c r="S25" s="706">
        <f>F25</f>
        <v>100</v>
      </c>
      <c r="T25" s="705" t="s">
        <v>14</v>
      </c>
      <c r="U25" s="706">
        <f>H25</f>
        <v>100</v>
      </c>
      <c r="V25" s="705" t="s">
        <v>14</v>
      </c>
      <c r="W25" s="706">
        <f>J25</f>
        <v>100</v>
      </c>
      <c r="X25" s="1355"/>
      <c r="Y25" s="371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4"/>
      <c r="Q26" s="1352" t="str">
        <f t="shared" si="11"/>
        <v>平面位置/可视性</v>
      </c>
      <c r="R26" s="705" t="s">
        <v>14</v>
      </c>
      <c r="S26" s="706">
        <f>F26</f>
        <v>100</v>
      </c>
      <c r="T26" s="705" t="s">
        <v>14</v>
      </c>
      <c r="U26" s="706">
        <f>H26</f>
        <v>100</v>
      </c>
      <c r="V26" s="705" t="s">
        <v>14</v>
      </c>
      <c r="W26" s="706">
        <f>J26</f>
        <v>100</v>
      </c>
      <c r="X26" s="1355"/>
      <c r="Y26" s="371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4"/>
      <c r="Q27" s="1343" t="str">
        <f t="shared" si="11"/>
        <v>人流量</v>
      </c>
      <c r="R27" s="701" t="s">
        <v>14</v>
      </c>
      <c r="S27" s="702">
        <f>F27</f>
        <v>100</v>
      </c>
      <c r="T27" s="701" t="s">
        <v>14</v>
      </c>
      <c r="U27" s="702">
        <f>H27</f>
        <v>100</v>
      </c>
      <c r="V27" s="701" t="s">
        <v>14</v>
      </c>
      <c r="W27" s="702">
        <f>J27</f>
        <v>100</v>
      </c>
      <c r="X27" s="703"/>
      <c r="Y27" s="371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4"/>
      <c r="Q29" s="1352">
        <f t="shared" si="11"/>
        <v>111</v>
      </c>
      <c r="R29" s="705" t="s">
        <v>14</v>
      </c>
      <c r="S29" s="706">
        <f t="shared" si="12"/>
        <v>100</v>
      </c>
      <c r="T29" s="705" t="s">
        <v>14</v>
      </c>
      <c r="U29" s="706">
        <f t="shared" si="13"/>
        <v>100</v>
      </c>
      <c r="V29" s="705" t="s">
        <v>14</v>
      </c>
      <c r="W29" s="706">
        <f t="shared" si="14"/>
        <v>100</v>
      </c>
      <c r="X29" s="1355"/>
      <c r="Y29" s="371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4"/>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4"/>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8" t="s">
        <v>1696</v>
      </c>
      <c r="Q32" s="1352" t="str">
        <f t="shared" si="11"/>
        <v>商业类型</v>
      </c>
      <c r="R32" s="705" t="s">
        <v>14</v>
      </c>
      <c r="S32" s="706">
        <f t="shared" si="12"/>
        <v>100</v>
      </c>
      <c r="T32" s="705" t="s">
        <v>14</v>
      </c>
      <c r="U32" s="706">
        <f t="shared" si="13"/>
        <v>100</v>
      </c>
      <c r="V32" s="705" t="s">
        <v>14</v>
      </c>
      <c r="W32" s="706">
        <f t="shared" si="14"/>
        <v>100</v>
      </c>
      <c r="X32" s="1355"/>
      <c r="Y32" s="372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9"/>
      <c r="Q33" s="707" t="str">
        <f t="shared" si="11"/>
        <v>项目建筑规模</v>
      </c>
      <c r="R33" s="708" t="s">
        <v>14</v>
      </c>
      <c r="S33" s="709" t="e">
        <f t="shared" si="12"/>
        <v>#N/A</v>
      </c>
      <c r="T33" s="708" t="s">
        <v>14</v>
      </c>
      <c r="U33" s="709" t="e">
        <f t="shared" si="13"/>
        <v>#N/A</v>
      </c>
      <c r="V33" s="708" t="s">
        <v>14</v>
      </c>
      <c r="W33" s="709" t="e">
        <f t="shared" si="14"/>
        <v>#N/A</v>
      </c>
      <c r="X33" s="710"/>
      <c r="Y33" s="372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9"/>
      <c r="Q34" s="1352" t="str">
        <f t="shared" si="11"/>
        <v>建筑结构</v>
      </c>
      <c r="R34" s="705" t="s">
        <v>14</v>
      </c>
      <c r="S34" s="706">
        <f t="shared" si="12"/>
        <v>100</v>
      </c>
      <c r="T34" s="705" t="s">
        <v>14</v>
      </c>
      <c r="U34" s="706">
        <f t="shared" si="13"/>
        <v>100</v>
      </c>
      <c r="V34" s="705" t="s">
        <v>14</v>
      </c>
      <c r="W34" s="706">
        <f t="shared" si="14"/>
        <v>100</v>
      </c>
      <c r="X34" s="1355"/>
      <c r="Y34" s="372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9"/>
      <c r="Q35" s="1352" t="str">
        <f t="shared" si="11"/>
        <v>公共部分装修</v>
      </c>
      <c r="R35" s="705" t="s">
        <v>14</v>
      </c>
      <c r="S35" s="706">
        <f t="shared" si="12"/>
        <v>100</v>
      </c>
      <c r="T35" s="705" t="s">
        <v>14</v>
      </c>
      <c r="U35" s="706">
        <f t="shared" si="13"/>
        <v>100</v>
      </c>
      <c r="V35" s="705" t="s">
        <v>14</v>
      </c>
      <c r="W35" s="706">
        <f t="shared" si="14"/>
        <v>100</v>
      </c>
      <c r="X35" s="1355"/>
      <c r="Y35" s="372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9"/>
      <c r="Q36" s="1352" t="str">
        <f t="shared" si="11"/>
        <v>成新度</v>
      </c>
      <c r="R36" s="705" t="s">
        <v>14</v>
      </c>
      <c r="S36" s="706" t="e">
        <f t="shared" si="12"/>
        <v>#N/A</v>
      </c>
      <c r="T36" s="705" t="s">
        <v>14</v>
      </c>
      <c r="U36" s="706" t="e">
        <f t="shared" si="13"/>
        <v>#N/A</v>
      </c>
      <c r="V36" s="705" t="s">
        <v>14</v>
      </c>
      <c r="W36" s="706" t="e">
        <f t="shared" si="14"/>
        <v>#N/A</v>
      </c>
      <c r="X36" s="1355"/>
      <c r="Y36" s="372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9"/>
      <c r="Q37" s="1343" t="str">
        <f t="shared" si="11"/>
        <v>市政基础设施</v>
      </c>
      <c r="R37" s="701" t="s">
        <v>14</v>
      </c>
      <c r="S37" s="702">
        <f t="shared" si="12"/>
        <v>100</v>
      </c>
      <c r="T37" s="701" t="s">
        <v>14</v>
      </c>
      <c r="U37" s="702">
        <f t="shared" si="13"/>
        <v>100</v>
      </c>
      <c r="V37" s="701" t="s">
        <v>14</v>
      </c>
      <c r="W37" s="702">
        <f t="shared" si="14"/>
        <v>100</v>
      </c>
      <c r="X37" s="703"/>
      <c r="Y37" s="372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9" t="s">
        <v>1696</v>
      </c>
      <c r="Q38" s="1352" t="str">
        <f t="shared" si="11"/>
        <v>业态</v>
      </c>
      <c r="R38" s="705" t="s">
        <v>14</v>
      </c>
      <c r="S38" s="706">
        <f t="shared" si="12"/>
        <v>100</v>
      </c>
      <c r="T38" s="705" t="s">
        <v>14</v>
      </c>
      <c r="U38" s="706">
        <f t="shared" si="13"/>
        <v>100</v>
      </c>
      <c r="V38" s="705" t="s">
        <v>14</v>
      </c>
      <c r="W38" s="706">
        <f t="shared" si="14"/>
        <v>100</v>
      </c>
      <c r="X38" s="1355"/>
      <c r="Y38" s="372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9"/>
      <c r="Q39" s="1352" t="str">
        <f t="shared" si="11"/>
        <v>层高</v>
      </c>
      <c r="R39" s="705" t="s">
        <v>14</v>
      </c>
      <c r="S39" s="706">
        <f t="shared" si="12"/>
        <v>100</v>
      </c>
      <c r="T39" s="705" t="s">
        <v>14</v>
      </c>
      <c r="U39" s="706">
        <f t="shared" si="13"/>
        <v>100</v>
      </c>
      <c r="V39" s="705" t="s">
        <v>14</v>
      </c>
      <c r="W39" s="706">
        <f t="shared" si="14"/>
        <v>100</v>
      </c>
      <c r="X39" s="1355"/>
      <c r="Y39" s="372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9"/>
      <c r="Q40" s="1352" t="str">
        <f t="shared" si="11"/>
        <v>单套建筑面积</v>
      </c>
      <c r="R40" s="705" t="s">
        <v>14</v>
      </c>
      <c r="S40" s="706">
        <f t="shared" si="12"/>
        <v>100</v>
      </c>
      <c r="T40" s="705" t="s">
        <v>14</v>
      </c>
      <c r="U40" s="706">
        <f t="shared" si="13"/>
        <v>100</v>
      </c>
      <c r="V40" s="705" t="s">
        <v>14</v>
      </c>
      <c r="W40" s="706">
        <f t="shared" si="14"/>
        <v>100</v>
      </c>
      <c r="X40" s="1355"/>
      <c r="Y40" s="372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9"/>
      <c r="Q41" s="707" t="str">
        <f t="shared" si="11"/>
        <v>进深比</v>
      </c>
      <c r="R41" s="708" t="s">
        <v>14</v>
      </c>
      <c r="S41" s="709">
        <f t="shared" si="12"/>
        <v>100</v>
      </c>
      <c r="T41" s="708" t="s">
        <v>14</v>
      </c>
      <c r="U41" s="709">
        <f t="shared" si="13"/>
        <v>100</v>
      </c>
      <c r="V41" s="708" t="s">
        <v>14</v>
      </c>
      <c r="W41" s="709">
        <f t="shared" si="14"/>
        <v>100</v>
      </c>
      <c r="X41" s="710"/>
      <c r="Y41" s="372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9"/>
      <c r="Q42" s="1352" t="str">
        <f t="shared" si="11"/>
        <v>内部装修</v>
      </c>
      <c r="R42" s="705" t="s">
        <v>14</v>
      </c>
      <c r="S42" s="706">
        <f t="shared" si="12"/>
        <v>100</v>
      </c>
      <c r="T42" s="705" t="s">
        <v>14</v>
      </c>
      <c r="U42" s="706">
        <f t="shared" si="13"/>
        <v>100</v>
      </c>
      <c r="V42" s="705" t="s">
        <v>14</v>
      </c>
      <c r="W42" s="706">
        <f t="shared" si="14"/>
        <v>100</v>
      </c>
      <c r="X42" s="1355"/>
      <c r="Y42" s="372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9"/>
      <c r="Q43" s="1352" t="str">
        <f t="shared" si="11"/>
        <v>内部装修维护情况</v>
      </c>
      <c r="R43" s="705" t="s">
        <v>14</v>
      </c>
      <c r="S43" s="706">
        <f t="shared" si="12"/>
        <v>100</v>
      </c>
      <c r="T43" s="705" t="s">
        <v>14</v>
      </c>
      <c r="U43" s="706">
        <f t="shared" si="13"/>
        <v>100</v>
      </c>
      <c r="V43" s="705" t="s">
        <v>14</v>
      </c>
      <c r="W43" s="706">
        <f t="shared" si="14"/>
        <v>100</v>
      </c>
      <c r="X43" s="1355"/>
      <c r="Y43" s="372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9"/>
      <c r="Q44" s="1343">
        <f t="shared" si="11"/>
        <v>111</v>
      </c>
      <c r="R44" s="701" t="s">
        <v>14</v>
      </c>
      <c r="S44" s="702">
        <f t="shared" si="12"/>
        <v>100</v>
      </c>
      <c r="T44" s="701" t="s">
        <v>14</v>
      </c>
      <c r="U44" s="702">
        <f t="shared" si="13"/>
        <v>100</v>
      </c>
      <c r="V44" s="701" t="s">
        <v>14</v>
      </c>
      <c r="W44" s="702">
        <f t="shared" si="14"/>
        <v>100</v>
      </c>
      <c r="X44" s="703"/>
      <c r="Y44" s="372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9"/>
      <c r="Q45" s="1352">
        <f t="shared" si="11"/>
        <v>111</v>
      </c>
      <c r="R45" s="705" t="s">
        <v>14</v>
      </c>
      <c r="S45" s="706">
        <f t="shared" si="12"/>
        <v>100</v>
      </c>
      <c r="T45" s="705" t="s">
        <v>14</v>
      </c>
      <c r="U45" s="706">
        <f t="shared" si="13"/>
        <v>100</v>
      </c>
      <c r="V45" s="705" t="s">
        <v>14</v>
      </c>
      <c r="W45" s="706">
        <f t="shared" si="14"/>
        <v>100</v>
      </c>
      <c r="X45" s="1355"/>
      <c r="Y45" s="372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4" t="str">
        <f>A47</f>
        <v>成交单价（元/平方米）</v>
      </c>
      <c r="Q47" s="3714"/>
      <c r="R47" s="3709">
        <f>E47</f>
        <v>0</v>
      </c>
      <c r="S47" s="3709"/>
      <c r="T47" s="3709">
        <f>G47</f>
        <v>0</v>
      </c>
      <c r="U47" s="3709"/>
      <c r="V47" s="3709">
        <f>I47</f>
        <v>0</v>
      </c>
      <c r="W47" s="370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237.74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31" t="s">
        <v>1775</v>
      </c>
      <c r="Q4" s="3732"/>
      <c r="R4" s="3726" t="s">
        <v>1771</v>
      </c>
      <c r="S4" s="3727"/>
      <c r="T4" s="3726" t="s">
        <v>1772</v>
      </c>
      <c r="U4" s="3727"/>
      <c r="V4" s="3735" t="s">
        <v>1773</v>
      </c>
      <c r="W4" s="3735"/>
      <c r="X4" s="1958"/>
      <c r="Y4" s="3726" t="s">
        <v>1775</v>
      </c>
      <c r="Z4" s="3727"/>
      <c r="AA4" s="3725" t="s">
        <v>1771</v>
      </c>
      <c r="AB4" s="3725" t="s">
        <v>1772</v>
      </c>
      <c r="AC4" s="3728" t="s">
        <v>1773</v>
      </c>
    </row>
    <row r="5" spans="1:29" ht="15">
      <c r="A5" s="358"/>
      <c r="B5" s="359"/>
      <c r="C5" s="3690" t="s">
        <v>1673</v>
      </c>
      <c r="D5" s="3691"/>
      <c r="E5" s="3688" t="s">
        <v>1674</v>
      </c>
      <c r="F5" s="3689"/>
      <c r="G5" s="3690" t="s">
        <v>1675</v>
      </c>
      <c r="H5" s="3691"/>
      <c r="I5" s="3690" t="s">
        <v>1676</v>
      </c>
      <c r="J5" s="3691"/>
      <c r="K5" s="559"/>
      <c r="L5" s="2715"/>
      <c r="M5" s="2716"/>
      <c r="N5" s="2716"/>
      <c r="O5" s="2716"/>
      <c r="P5" s="3733"/>
      <c r="Q5" s="3704"/>
      <c r="R5" s="3686"/>
      <c r="S5" s="3687"/>
      <c r="T5" s="3686"/>
      <c r="U5" s="3687"/>
      <c r="V5" s="3709"/>
      <c r="W5" s="3709"/>
      <c r="X5" s="1355"/>
      <c r="Y5" s="3686"/>
      <c r="Z5" s="3687"/>
      <c r="AA5" s="3680"/>
      <c r="AB5" s="3680"/>
      <c r="AC5" s="3729"/>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34"/>
      <c r="Q6" s="3706"/>
      <c r="R6" s="3686"/>
      <c r="S6" s="3687"/>
      <c r="T6" s="3707"/>
      <c r="U6" s="3708"/>
      <c r="V6" s="3709"/>
      <c r="W6" s="3709"/>
      <c r="X6" s="1355"/>
      <c r="Y6" s="3707"/>
      <c r="Z6" s="3708"/>
      <c r="AA6" s="3681"/>
      <c r="AB6" s="3681"/>
      <c r="AC6" s="3730"/>
    </row>
    <row r="7" spans="1:29" s="108" customFormat="1" ht="15.75" thickBot="1">
      <c r="A7" s="362" t="s">
        <v>1679</v>
      </c>
      <c r="B7" s="363"/>
      <c r="C7" s="364">
        <f>'数据-取费表'!B2</f>
        <v>45749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6"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6" t="s">
        <v>1683</v>
      </c>
      <c r="Q8" s="3683"/>
      <c r="R8" s="701" t="s">
        <v>14</v>
      </c>
      <c r="S8" s="702">
        <f t="shared" si="0"/>
        <v>100</v>
      </c>
      <c r="T8" s="701" t="s">
        <v>14</v>
      </c>
      <c r="U8" s="702">
        <f t="shared" si="1"/>
        <v>100</v>
      </c>
      <c r="V8" s="701" t="s">
        <v>14</v>
      </c>
      <c r="W8" s="702">
        <f t="shared" si="2"/>
        <v>100</v>
      </c>
      <c r="X8" s="703"/>
      <c r="Y8" s="3682" t="s">
        <v>1683</v>
      </c>
      <c r="Z8" s="368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6"/>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3" t="s">
        <v>1691</v>
      </c>
      <c r="Q15" s="1352" t="str">
        <f t="shared" si="6"/>
        <v>办公集聚程度</v>
      </c>
      <c r="R15" s="705" t="s">
        <v>14</v>
      </c>
      <c r="S15" s="706">
        <f t="shared" si="0"/>
        <v>100</v>
      </c>
      <c r="T15" s="705" t="s">
        <v>14</v>
      </c>
      <c r="U15" s="706">
        <f t="shared" si="1"/>
        <v>100</v>
      </c>
      <c r="V15" s="705" t="s">
        <v>14</v>
      </c>
      <c r="W15" s="706">
        <f t="shared" si="2"/>
        <v>100</v>
      </c>
      <c r="X15" s="1355"/>
      <c r="Y15" s="371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4"/>
      <c r="Q16" s="1352"/>
      <c r="R16" s="705"/>
      <c r="S16" s="706"/>
      <c r="T16" s="705"/>
      <c r="U16" s="706"/>
      <c r="V16" s="705"/>
      <c r="W16" s="706"/>
      <c r="X16" s="1355"/>
      <c r="Y16" s="371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4"/>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4"/>
      <c r="Q18" s="1352"/>
      <c r="R18" s="705"/>
      <c r="S18" s="706"/>
      <c r="T18" s="705"/>
      <c r="U18" s="706"/>
      <c r="V18" s="705"/>
      <c r="W18" s="706"/>
      <c r="X18" s="1355"/>
      <c r="Y18" s="371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4"/>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4"/>
      <c r="Q20" s="1352"/>
      <c r="R20" s="705"/>
      <c r="S20" s="706"/>
      <c r="T20" s="705"/>
      <c r="U20" s="706"/>
      <c r="V20" s="705"/>
      <c r="W20" s="706"/>
      <c r="X20" s="1355"/>
      <c r="Y20" s="371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4"/>
      <c r="Q22" s="1352"/>
      <c r="R22" s="705"/>
      <c r="S22" s="706"/>
      <c r="T22" s="705"/>
      <c r="U22" s="706"/>
      <c r="V22" s="705"/>
      <c r="W22" s="706"/>
      <c r="X22" s="1355"/>
      <c r="Y22" s="371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4"/>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4"/>
      <c r="Q24" s="1352"/>
      <c r="R24" s="705"/>
      <c r="S24" s="706"/>
      <c r="T24" s="705"/>
      <c r="U24" s="706"/>
      <c r="V24" s="705"/>
      <c r="W24" s="706"/>
      <c r="X24" s="1355"/>
      <c r="Y24" s="371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4"/>
      <c r="Q25" s="1352" t="str">
        <f>B25</f>
        <v>毗邻道路的类型与等级</v>
      </c>
      <c r="R25" s="705" t="s">
        <v>14</v>
      </c>
      <c r="S25" s="706">
        <f>F25</f>
        <v>100</v>
      </c>
      <c r="T25" s="705" t="s">
        <v>14</v>
      </c>
      <c r="U25" s="706">
        <f>H25</f>
        <v>100</v>
      </c>
      <c r="V25" s="705" t="s">
        <v>14</v>
      </c>
      <c r="W25" s="706">
        <f>J25</f>
        <v>100</v>
      </c>
      <c r="X25" s="1355"/>
      <c r="Y25" s="371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4"/>
      <c r="Q26" s="1352"/>
      <c r="R26" s="705"/>
      <c r="S26" s="706"/>
      <c r="T26" s="705"/>
      <c r="U26" s="706"/>
      <c r="V26" s="705"/>
      <c r="W26" s="706"/>
      <c r="X26" s="1355"/>
      <c r="Y26" s="371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4"/>
      <c r="Q27" s="1352" t="str">
        <f t="shared" ref="Q27:Q47" si="11">B27</f>
        <v>楼层</v>
      </c>
      <c r="R27" s="705" t="s">
        <v>14</v>
      </c>
      <c r="S27" s="706">
        <f>F27</f>
        <v>100</v>
      </c>
      <c r="T27" s="705" t="s">
        <v>14</v>
      </c>
      <c r="U27" s="706">
        <f>H27</f>
        <v>100</v>
      </c>
      <c r="V27" s="705" t="s">
        <v>14</v>
      </c>
      <c r="W27" s="706">
        <f>J27</f>
        <v>100</v>
      </c>
      <c r="X27" s="1355"/>
      <c r="Y27" s="371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4"/>
      <c r="Q28" s="1343" t="str">
        <f t="shared" si="11"/>
        <v>朝向</v>
      </c>
      <c r="R28" s="701" t="s">
        <v>14</v>
      </c>
      <c r="S28" s="702">
        <f>F28</f>
        <v>100</v>
      </c>
      <c r="T28" s="701" t="s">
        <v>14</v>
      </c>
      <c r="U28" s="702">
        <f>H28</f>
        <v>100</v>
      </c>
      <c r="V28" s="701" t="s">
        <v>14</v>
      </c>
      <c r="W28" s="702">
        <f>J28</f>
        <v>100</v>
      </c>
      <c r="X28" s="703"/>
      <c r="Y28" s="371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4"/>
      <c r="Q29" s="1352">
        <f t="shared" si="11"/>
        <v>111</v>
      </c>
      <c r="R29" s="705" t="s">
        <v>14</v>
      </c>
      <c r="S29" s="706">
        <f t="shared" ref="S29:S47" si="12">F29</f>
        <v>100</v>
      </c>
      <c r="T29" s="705" t="s">
        <v>14</v>
      </c>
      <c r="U29" s="706">
        <f t="shared" ref="U29:U47" si="13">H29</f>
        <v>100</v>
      </c>
      <c r="V29" s="705" t="s">
        <v>14</v>
      </c>
      <c r="W29" s="706">
        <f t="shared" ref="W29:W47" si="14">J29</f>
        <v>100</v>
      </c>
      <c r="X29" s="1355"/>
      <c r="Y29" s="371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4"/>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4"/>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4"/>
      <c r="Q32" s="1352">
        <f t="shared" si="11"/>
        <v>111</v>
      </c>
      <c r="R32" s="705" t="s">
        <v>14</v>
      </c>
      <c r="S32" s="706">
        <f t="shared" si="12"/>
        <v>100</v>
      </c>
      <c r="T32" s="705" t="s">
        <v>14</v>
      </c>
      <c r="U32" s="706">
        <f t="shared" si="13"/>
        <v>100</v>
      </c>
      <c r="V32" s="705" t="s">
        <v>14</v>
      </c>
      <c r="W32" s="706">
        <f t="shared" si="14"/>
        <v>100</v>
      </c>
      <c r="X32" s="1355"/>
      <c r="Y32" s="371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8" t="s">
        <v>1696</v>
      </c>
      <c r="Q33" s="1352" t="str">
        <f t="shared" si="11"/>
        <v>建筑类型</v>
      </c>
      <c r="R33" s="705" t="s">
        <v>14</v>
      </c>
      <c r="S33" s="706">
        <f t="shared" si="12"/>
        <v>100</v>
      </c>
      <c r="T33" s="705" t="s">
        <v>14</v>
      </c>
      <c r="U33" s="706">
        <f t="shared" si="13"/>
        <v>100</v>
      </c>
      <c r="V33" s="705" t="s">
        <v>14</v>
      </c>
      <c r="W33" s="706">
        <f t="shared" si="14"/>
        <v>100</v>
      </c>
      <c r="X33" s="1355"/>
      <c r="Y33" s="372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9"/>
      <c r="Q34" s="707" t="str">
        <f t="shared" si="11"/>
        <v>项目建筑规模</v>
      </c>
      <c r="R34" s="708" t="s">
        <v>14</v>
      </c>
      <c r="S34" s="709" t="e">
        <f t="shared" si="12"/>
        <v>#N/A</v>
      </c>
      <c r="T34" s="708" t="s">
        <v>14</v>
      </c>
      <c r="U34" s="709" t="e">
        <f t="shared" si="13"/>
        <v>#N/A</v>
      </c>
      <c r="V34" s="708" t="s">
        <v>14</v>
      </c>
      <c r="W34" s="709" t="e">
        <f t="shared" si="14"/>
        <v>#N/A</v>
      </c>
      <c r="X34" s="710"/>
      <c r="Y34" s="372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9"/>
      <c r="Q35" s="1352" t="str">
        <f t="shared" si="11"/>
        <v>建筑结构</v>
      </c>
      <c r="R35" s="705" t="s">
        <v>14</v>
      </c>
      <c r="S35" s="706">
        <f t="shared" si="12"/>
        <v>100</v>
      </c>
      <c r="T35" s="705" t="s">
        <v>14</v>
      </c>
      <c r="U35" s="706">
        <f t="shared" si="13"/>
        <v>100</v>
      </c>
      <c r="V35" s="705" t="s">
        <v>14</v>
      </c>
      <c r="W35" s="706">
        <f t="shared" si="14"/>
        <v>100</v>
      </c>
      <c r="X35" s="1355"/>
      <c r="Y35" s="372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9"/>
      <c r="Q36" s="1352" t="str">
        <f t="shared" si="11"/>
        <v>公共部分装修</v>
      </c>
      <c r="R36" s="705" t="s">
        <v>14</v>
      </c>
      <c r="S36" s="706">
        <f t="shared" si="12"/>
        <v>100</v>
      </c>
      <c r="T36" s="705" t="s">
        <v>14</v>
      </c>
      <c r="U36" s="706">
        <f t="shared" si="13"/>
        <v>100</v>
      </c>
      <c r="V36" s="705" t="s">
        <v>14</v>
      </c>
      <c r="W36" s="706">
        <f t="shared" si="14"/>
        <v>100</v>
      </c>
      <c r="X36" s="1355"/>
      <c r="Y36" s="372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9"/>
      <c r="Q37" s="1352" t="str">
        <f t="shared" si="11"/>
        <v>成新度</v>
      </c>
      <c r="R37" s="705" t="s">
        <v>14</v>
      </c>
      <c r="S37" s="706" t="e">
        <f t="shared" si="12"/>
        <v>#N/A</v>
      </c>
      <c r="T37" s="705" t="s">
        <v>14</v>
      </c>
      <c r="U37" s="706" t="e">
        <f t="shared" si="13"/>
        <v>#N/A</v>
      </c>
      <c r="V37" s="705" t="s">
        <v>14</v>
      </c>
      <c r="W37" s="706" t="e">
        <f t="shared" si="14"/>
        <v>#N/A</v>
      </c>
      <c r="X37" s="1355"/>
      <c r="Y37" s="372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9"/>
      <c r="Q38" s="1343" t="str">
        <f t="shared" si="11"/>
        <v>写字楼等级</v>
      </c>
      <c r="R38" s="701" t="s">
        <v>14</v>
      </c>
      <c r="S38" s="702">
        <f t="shared" si="12"/>
        <v>100</v>
      </c>
      <c r="T38" s="701" t="s">
        <v>14</v>
      </c>
      <c r="U38" s="702">
        <f t="shared" si="13"/>
        <v>100</v>
      </c>
      <c r="V38" s="701" t="s">
        <v>14</v>
      </c>
      <c r="W38" s="702">
        <f t="shared" si="14"/>
        <v>100</v>
      </c>
      <c r="X38" s="703"/>
      <c r="Y38" s="372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9" t="s">
        <v>1696</v>
      </c>
      <c r="Q39" s="1352" t="str">
        <f t="shared" si="11"/>
        <v>物业管理</v>
      </c>
      <c r="R39" s="705" t="s">
        <v>14</v>
      </c>
      <c r="S39" s="706">
        <f t="shared" si="12"/>
        <v>100</v>
      </c>
      <c r="T39" s="705" t="s">
        <v>14</v>
      </c>
      <c r="U39" s="706">
        <f t="shared" si="13"/>
        <v>100</v>
      </c>
      <c r="V39" s="705" t="s">
        <v>14</v>
      </c>
      <c r="W39" s="706">
        <f t="shared" si="14"/>
        <v>100</v>
      </c>
      <c r="X39" s="1355"/>
      <c r="Y39" s="372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9"/>
      <c r="Q40" s="1352" t="str">
        <f t="shared" si="11"/>
        <v>市政基础设施</v>
      </c>
      <c r="R40" s="705" t="s">
        <v>14</v>
      </c>
      <c r="S40" s="706">
        <f t="shared" si="12"/>
        <v>100</v>
      </c>
      <c r="T40" s="705" t="s">
        <v>14</v>
      </c>
      <c r="U40" s="706">
        <f t="shared" si="13"/>
        <v>100</v>
      </c>
      <c r="V40" s="705" t="s">
        <v>14</v>
      </c>
      <c r="W40" s="706">
        <f t="shared" si="14"/>
        <v>100</v>
      </c>
      <c r="X40" s="1355"/>
      <c r="Y40" s="372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9"/>
      <c r="Q41" s="1352" t="str">
        <f t="shared" si="11"/>
        <v>层高</v>
      </c>
      <c r="R41" s="705" t="s">
        <v>14</v>
      </c>
      <c r="S41" s="706">
        <f t="shared" si="12"/>
        <v>100</v>
      </c>
      <c r="T41" s="705" t="s">
        <v>14</v>
      </c>
      <c r="U41" s="706">
        <f t="shared" si="13"/>
        <v>100</v>
      </c>
      <c r="V41" s="705" t="s">
        <v>14</v>
      </c>
      <c r="W41" s="706">
        <f t="shared" si="14"/>
        <v>100</v>
      </c>
      <c r="X41" s="1355"/>
      <c r="Y41" s="372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9"/>
      <c r="Q43" s="1352" t="str">
        <f t="shared" si="11"/>
        <v>内部装修</v>
      </c>
      <c r="R43" s="705" t="s">
        <v>14</v>
      </c>
      <c r="S43" s="706">
        <f t="shared" si="12"/>
        <v>100</v>
      </c>
      <c r="T43" s="705" t="s">
        <v>14</v>
      </c>
      <c r="U43" s="706">
        <f t="shared" si="13"/>
        <v>100</v>
      </c>
      <c r="V43" s="705" t="s">
        <v>14</v>
      </c>
      <c r="W43" s="706">
        <f t="shared" si="14"/>
        <v>100</v>
      </c>
      <c r="X43" s="1355"/>
      <c r="Y43" s="372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9"/>
      <c r="Q44" s="1352" t="str">
        <f t="shared" si="11"/>
        <v>内部装修维护情况</v>
      </c>
      <c r="R44" s="705" t="s">
        <v>14</v>
      </c>
      <c r="S44" s="706">
        <f t="shared" si="12"/>
        <v>100</v>
      </c>
      <c r="T44" s="705" t="s">
        <v>14</v>
      </c>
      <c r="U44" s="706">
        <f t="shared" si="13"/>
        <v>100</v>
      </c>
      <c r="V44" s="705" t="s">
        <v>14</v>
      </c>
      <c r="W44" s="706">
        <f t="shared" si="14"/>
        <v>100</v>
      </c>
      <c r="X44" s="1355"/>
      <c r="Y44" s="372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9"/>
      <c r="Q45" s="1343">
        <f t="shared" si="11"/>
        <v>111</v>
      </c>
      <c r="R45" s="701" t="s">
        <v>14</v>
      </c>
      <c r="S45" s="702">
        <f t="shared" si="12"/>
        <v>100</v>
      </c>
      <c r="T45" s="701" t="s">
        <v>14</v>
      </c>
      <c r="U45" s="702">
        <f t="shared" si="13"/>
        <v>100</v>
      </c>
      <c r="V45" s="701" t="s">
        <v>14</v>
      </c>
      <c r="W45" s="702">
        <f t="shared" si="14"/>
        <v>100</v>
      </c>
      <c r="X45" s="703"/>
      <c r="Y45" s="372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0"/>
      <c r="Q47" s="1352">
        <f t="shared" si="11"/>
        <v>111</v>
      </c>
      <c r="R47" s="705" t="s">
        <v>14</v>
      </c>
      <c r="S47" s="706">
        <f t="shared" si="12"/>
        <v>100</v>
      </c>
      <c r="T47" s="705" t="s">
        <v>14</v>
      </c>
      <c r="U47" s="706">
        <f t="shared" si="13"/>
        <v>100</v>
      </c>
      <c r="V47" s="705" t="s">
        <v>14</v>
      </c>
      <c r="W47" s="706">
        <f t="shared" si="14"/>
        <v>100</v>
      </c>
      <c r="X47" s="1355"/>
      <c r="Y47" s="372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6" t="str">
        <f>A48</f>
        <v>成交单价（元/平方米）</v>
      </c>
      <c r="Q48" s="3714"/>
      <c r="R48" s="3715">
        <f>E48</f>
        <v>0</v>
      </c>
      <c r="S48" s="3715"/>
      <c r="T48" s="3715">
        <f>G48</f>
        <v>0</v>
      </c>
      <c r="U48" s="3715"/>
      <c r="V48" s="3715">
        <f>I48</f>
        <v>0</v>
      </c>
      <c r="W48" s="371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6" t="str">
        <f>A49</f>
        <v>比较价值（元/平方米）</v>
      </c>
      <c r="Q49" s="3714"/>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237.74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913"/>
      <c r="M5" s="914"/>
      <c r="N5" s="914"/>
      <c r="O5" s="914"/>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913"/>
      <c r="M6" s="914"/>
      <c r="N6" s="914"/>
      <c r="O6" s="914"/>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45749</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1683</v>
      </c>
      <c r="Q8" s="3683"/>
      <c r="R8" s="701" t="s">
        <v>14</v>
      </c>
      <c r="S8" s="702">
        <f t="shared" si="0"/>
        <v>100</v>
      </c>
      <c r="T8" s="701" t="s">
        <v>14</v>
      </c>
      <c r="U8" s="702">
        <f t="shared" si="1"/>
        <v>100</v>
      </c>
      <c r="V8" s="701" t="s">
        <v>14</v>
      </c>
      <c r="W8" s="702">
        <f t="shared" si="2"/>
        <v>100</v>
      </c>
      <c r="X8" s="703"/>
      <c r="Y8" s="3682" t="s">
        <v>1683</v>
      </c>
      <c r="Z8" s="368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4"/>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6" t="s">
        <v>1691</v>
      </c>
      <c r="Q15" s="1352" t="str">
        <f t="shared" si="6"/>
        <v>产业集聚程度</v>
      </c>
      <c r="R15" s="705" t="s">
        <v>14</v>
      </c>
      <c r="S15" s="706">
        <f t="shared" si="0"/>
        <v>100</v>
      </c>
      <c r="T15" s="705" t="s">
        <v>14</v>
      </c>
      <c r="U15" s="706">
        <f t="shared" si="1"/>
        <v>100</v>
      </c>
      <c r="V15" s="705" t="s">
        <v>14</v>
      </c>
      <c r="W15" s="706">
        <f t="shared" si="2"/>
        <v>100</v>
      </c>
      <c r="X15" s="1355"/>
      <c r="Y15" s="371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7"/>
      <c r="Q16" s="1352"/>
      <c r="R16" s="705"/>
      <c r="S16" s="706"/>
      <c r="T16" s="705"/>
      <c r="U16" s="706"/>
      <c r="V16" s="705"/>
      <c r="W16" s="706"/>
      <c r="X16" s="1355"/>
      <c r="Y16" s="371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7"/>
      <c r="Q18" s="1352"/>
      <c r="R18" s="705"/>
      <c r="S18" s="706"/>
      <c r="T18" s="705"/>
      <c r="U18" s="706"/>
      <c r="V18" s="705"/>
      <c r="W18" s="706"/>
      <c r="X18" s="1355"/>
      <c r="Y18" s="371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7"/>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7"/>
      <c r="Q20" s="1352"/>
      <c r="R20" s="705"/>
      <c r="S20" s="706"/>
      <c r="T20" s="705"/>
      <c r="U20" s="706"/>
      <c r="V20" s="705"/>
      <c r="W20" s="706"/>
      <c r="X20" s="1355"/>
      <c r="Y20" s="371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7"/>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7"/>
      <c r="Q22" s="1352"/>
      <c r="R22" s="705"/>
      <c r="S22" s="706"/>
      <c r="T22" s="705"/>
      <c r="U22" s="706"/>
      <c r="V22" s="705"/>
      <c r="W22" s="706"/>
      <c r="X22" s="1355"/>
      <c r="Y22" s="371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7"/>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7"/>
      <c r="Q24" s="1352"/>
      <c r="R24" s="705"/>
      <c r="S24" s="706"/>
      <c r="T24" s="705"/>
      <c r="U24" s="706"/>
      <c r="V24" s="705"/>
      <c r="W24" s="706"/>
      <c r="X24" s="1355"/>
      <c r="Y24" s="371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7"/>
      <c r="Q25" s="1352">
        <f>B25</f>
        <v>111</v>
      </c>
      <c r="R25" s="705" t="s">
        <v>14</v>
      </c>
      <c r="S25" s="706">
        <f>F25</f>
        <v>100</v>
      </c>
      <c r="T25" s="705" t="s">
        <v>14</v>
      </c>
      <c r="U25" s="706">
        <f>H25</f>
        <v>100</v>
      </c>
      <c r="V25" s="705" t="s">
        <v>14</v>
      </c>
      <c r="W25" s="706">
        <f>J25</f>
        <v>100</v>
      </c>
      <c r="X25" s="1355"/>
      <c r="Y25" s="371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7"/>
      <c r="Q26" s="1352">
        <f t="shared" ref="Q26:Q40" si="11">B26</f>
        <v>111</v>
      </c>
      <c r="R26" s="705" t="s">
        <v>14</v>
      </c>
      <c r="S26" s="706">
        <f>F26</f>
        <v>100</v>
      </c>
      <c r="T26" s="705" t="s">
        <v>14</v>
      </c>
      <c r="U26" s="706">
        <f>H26</f>
        <v>100</v>
      </c>
      <c r="V26" s="705" t="s">
        <v>14</v>
      </c>
      <c r="W26" s="706">
        <f>J26</f>
        <v>100</v>
      </c>
      <c r="X26" s="1355"/>
      <c r="Y26" s="371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7"/>
      <c r="Q27" s="1343">
        <f t="shared" si="11"/>
        <v>111</v>
      </c>
      <c r="R27" s="701" t="s">
        <v>14</v>
      </c>
      <c r="S27" s="702">
        <f>F27</f>
        <v>100</v>
      </c>
      <c r="T27" s="701" t="s">
        <v>14</v>
      </c>
      <c r="U27" s="702">
        <f>H27</f>
        <v>100</v>
      </c>
      <c r="V27" s="701" t="s">
        <v>14</v>
      </c>
      <c r="W27" s="702">
        <f>J27</f>
        <v>100</v>
      </c>
      <c r="X27" s="703"/>
      <c r="Y27" s="371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7"/>
      <c r="Q28" s="1352">
        <f t="shared" si="11"/>
        <v>111</v>
      </c>
      <c r="R28" s="705" t="s">
        <v>14</v>
      </c>
      <c r="S28" s="706">
        <f t="shared" ref="S28:S40" si="12">F28</f>
        <v>100</v>
      </c>
      <c r="T28" s="705" t="s">
        <v>14</v>
      </c>
      <c r="U28" s="706">
        <f t="shared" ref="U28:U40" si="13">H28</f>
        <v>100</v>
      </c>
      <c r="V28" s="705" t="s">
        <v>14</v>
      </c>
      <c r="W28" s="706">
        <f t="shared" ref="W28:W40" si="14">J28</f>
        <v>100</v>
      </c>
      <c r="X28" s="1355"/>
      <c r="Y28" s="371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72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1"/>
      <c r="Q30" s="707" t="str">
        <f t="shared" si="11"/>
        <v>项目建筑规模</v>
      </c>
      <c r="R30" s="708" t="s">
        <v>14</v>
      </c>
      <c r="S30" s="709" t="e">
        <f t="shared" si="12"/>
        <v>#N/A</v>
      </c>
      <c r="T30" s="708" t="s">
        <v>14</v>
      </c>
      <c r="U30" s="709" t="e">
        <f t="shared" si="13"/>
        <v>#N/A</v>
      </c>
      <c r="V30" s="708" t="s">
        <v>14</v>
      </c>
      <c r="W30" s="709" t="e">
        <f t="shared" si="14"/>
        <v>#N/A</v>
      </c>
      <c r="X30" s="710"/>
      <c r="Y30" s="372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1"/>
      <c r="Q31" s="1352" t="str">
        <f t="shared" si="11"/>
        <v>建筑结构</v>
      </c>
      <c r="R31" s="705" t="s">
        <v>14</v>
      </c>
      <c r="S31" s="706">
        <f t="shared" si="12"/>
        <v>100</v>
      </c>
      <c r="T31" s="705" t="s">
        <v>14</v>
      </c>
      <c r="U31" s="706">
        <f t="shared" si="13"/>
        <v>100</v>
      </c>
      <c r="V31" s="705" t="s">
        <v>14</v>
      </c>
      <c r="W31" s="706">
        <f t="shared" si="14"/>
        <v>100</v>
      </c>
      <c r="X31" s="1355"/>
      <c r="Y31" s="372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1"/>
      <c r="Q32" s="1352" t="str">
        <f t="shared" si="11"/>
        <v>公共部分装修</v>
      </c>
      <c r="R32" s="705" t="s">
        <v>14</v>
      </c>
      <c r="S32" s="706">
        <f t="shared" si="12"/>
        <v>100</v>
      </c>
      <c r="T32" s="705" t="s">
        <v>14</v>
      </c>
      <c r="U32" s="706">
        <f t="shared" si="13"/>
        <v>100</v>
      </c>
      <c r="V32" s="705" t="s">
        <v>14</v>
      </c>
      <c r="W32" s="706">
        <f t="shared" si="14"/>
        <v>100</v>
      </c>
      <c r="X32" s="1355"/>
      <c r="Y32" s="372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1"/>
      <c r="Q33" s="1352" t="str">
        <f t="shared" si="11"/>
        <v>成新度</v>
      </c>
      <c r="R33" s="705" t="s">
        <v>14</v>
      </c>
      <c r="S33" s="706" t="e">
        <f t="shared" si="12"/>
        <v>#N/A</v>
      </c>
      <c r="T33" s="705" t="s">
        <v>14</v>
      </c>
      <c r="U33" s="706" t="e">
        <f t="shared" si="13"/>
        <v>#N/A</v>
      </c>
      <c r="V33" s="705" t="s">
        <v>14</v>
      </c>
      <c r="W33" s="706" t="e">
        <f t="shared" si="14"/>
        <v>#N/A</v>
      </c>
      <c r="X33" s="1355"/>
      <c r="Y33" s="372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1"/>
      <c r="Q34" s="1343" t="str">
        <f t="shared" si="11"/>
        <v>物业管理</v>
      </c>
      <c r="R34" s="701" t="s">
        <v>14</v>
      </c>
      <c r="S34" s="702">
        <f t="shared" si="12"/>
        <v>100</v>
      </c>
      <c r="T34" s="701" t="s">
        <v>14</v>
      </c>
      <c r="U34" s="702">
        <f t="shared" si="13"/>
        <v>100</v>
      </c>
      <c r="V34" s="701" t="s">
        <v>14</v>
      </c>
      <c r="W34" s="702">
        <f t="shared" si="14"/>
        <v>100</v>
      </c>
      <c r="X34" s="703"/>
      <c r="Y34" s="372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1" t="s">
        <v>1696</v>
      </c>
      <c r="Q35" s="1352" t="str">
        <f t="shared" si="11"/>
        <v>市政基础设施</v>
      </c>
      <c r="R35" s="705" t="s">
        <v>14</v>
      </c>
      <c r="S35" s="706">
        <f t="shared" si="12"/>
        <v>100</v>
      </c>
      <c r="T35" s="705" t="s">
        <v>14</v>
      </c>
      <c r="U35" s="706">
        <f t="shared" si="13"/>
        <v>100</v>
      </c>
      <c r="V35" s="705" t="s">
        <v>14</v>
      </c>
      <c r="W35" s="706">
        <f t="shared" si="14"/>
        <v>100</v>
      </c>
      <c r="X35" s="1355"/>
      <c r="Y35" s="372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1"/>
      <c r="Q36" s="1352" t="str">
        <f t="shared" si="11"/>
        <v>内部装修</v>
      </c>
      <c r="R36" s="705" t="s">
        <v>14</v>
      </c>
      <c r="S36" s="706">
        <f t="shared" si="12"/>
        <v>100</v>
      </c>
      <c r="T36" s="705" t="s">
        <v>14</v>
      </c>
      <c r="U36" s="706">
        <f t="shared" si="13"/>
        <v>100</v>
      </c>
      <c r="V36" s="705" t="s">
        <v>14</v>
      </c>
      <c r="W36" s="706">
        <f t="shared" si="14"/>
        <v>100</v>
      </c>
      <c r="X36" s="1355"/>
      <c r="Y36" s="372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1"/>
      <c r="Q37" s="1352" t="str">
        <f t="shared" si="11"/>
        <v>内部装修状况</v>
      </c>
      <c r="R37" s="705" t="s">
        <v>14</v>
      </c>
      <c r="S37" s="706">
        <f t="shared" si="12"/>
        <v>100</v>
      </c>
      <c r="T37" s="705" t="s">
        <v>14</v>
      </c>
      <c r="U37" s="706">
        <f t="shared" si="13"/>
        <v>100</v>
      </c>
      <c r="V37" s="705" t="s">
        <v>14</v>
      </c>
      <c r="W37" s="706">
        <f t="shared" si="14"/>
        <v>100</v>
      </c>
      <c r="X37" s="1355"/>
      <c r="Y37" s="372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1"/>
      <c r="Q38" s="707">
        <f t="shared" si="11"/>
        <v>111</v>
      </c>
      <c r="R38" s="708" t="s">
        <v>14</v>
      </c>
      <c r="S38" s="709">
        <f t="shared" si="12"/>
        <v>100</v>
      </c>
      <c r="T38" s="708" t="s">
        <v>14</v>
      </c>
      <c r="U38" s="709">
        <f t="shared" si="13"/>
        <v>100</v>
      </c>
      <c r="V38" s="708" t="s">
        <v>14</v>
      </c>
      <c r="W38" s="709">
        <f t="shared" si="14"/>
        <v>100</v>
      </c>
      <c r="X38" s="710"/>
      <c r="Y38" s="372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1"/>
      <c r="Q39" s="1352">
        <f t="shared" si="11"/>
        <v>111</v>
      </c>
      <c r="R39" s="705" t="s">
        <v>14</v>
      </c>
      <c r="S39" s="706">
        <f t="shared" si="12"/>
        <v>100</v>
      </c>
      <c r="T39" s="705" t="s">
        <v>14</v>
      </c>
      <c r="U39" s="706">
        <f t="shared" si="13"/>
        <v>100</v>
      </c>
      <c r="V39" s="705" t="s">
        <v>14</v>
      </c>
      <c r="W39" s="706">
        <f t="shared" si="14"/>
        <v>100</v>
      </c>
      <c r="X39" s="1355"/>
      <c r="Y39" s="372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2"/>
      <c r="Q40" s="1352">
        <f t="shared" si="11"/>
        <v>111</v>
      </c>
      <c r="R40" s="705" t="s">
        <v>14</v>
      </c>
      <c r="S40" s="706">
        <f t="shared" si="12"/>
        <v>100</v>
      </c>
      <c r="T40" s="705" t="s">
        <v>14</v>
      </c>
      <c r="U40" s="706">
        <f t="shared" si="13"/>
        <v>100</v>
      </c>
      <c r="V40" s="705" t="s">
        <v>14</v>
      </c>
      <c r="W40" s="706">
        <f t="shared" si="14"/>
        <v>100</v>
      </c>
      <c r="X40" s="1355"/>
      <c r="Y40" s="372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4" t="str">
        <f>A41</f>
        <v>成交单价（元/平方米）</v>
      </c>
      <c r="Q41" s="3714"/>
      <c r="R41" s="3715">
        <f>E41</f>
        <v>0</v>
      </c>
      <c r="S41" s="3715"/>
      <c r="T41" s="3715">
        <f>G41</f>
        <v>0</v>
      </c>
      <c r="U41" s="3715"/>
      <c r="V41" s="3715">
        <f>I41</f>
        <v>0</v>
      </c>
      <c r="W41" s="371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估价对象为房地产，为所有。根据《国有土地使用证》[]，估价对象（分摊）出让国有建设用地使用权面积为0平方米，建筑面积为237.74平方米。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估价对象为房地产,属开发建设的，该项目尚在开发建设中。根据《国有土地使用证》[]，估价对象（分摊）出让国有建设用地使用权面积为0平方米，规划建筑面积为237.74平方米。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45749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2" t="s">
        <v>1680</v>
      </c>
      <c r="Q7" s="3710"/>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4"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4"/>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6" t="s">
        <v>1691</v>
      </c>
      <c r="Q14" s="1352" t="str">
        <f t="shared" si="6"/>
        <v>交通便捷度</v>
      </c>
      <c r="R14" s="705" t="s">
        <v>14</v>
      </c>
      <c r="S14" s="706">
        <f t="shared" si="0"/>
        <v>100</v>
      </c>
      <c r="T14" s="705" t="s">
        <v>14</v>
      </c>
      <c r="U14" s="706">
        <f t="shared" si="1"/>
        <v>100</v>
      </c>
      <c r="V14" s="705" t="s">
        <v>14</v>
      </c>
      <c r="W14" s="706">
        <f t="shared" si="2"/>
        <v>100</v>
      </c>
      <c r="X14" s="1355"/>
      <c r="Y14" s="371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7"/>
      <c r="Q15" s="1352"/>
      <c r="R15" s="705"/>
      <c r="S15" s="706"/>
      <c r="T15" s="705"/>
      <c r="U15" s="706"/>
      <c r="V15" s="705"/>
      <c r="W15" s="706"/>
      <c r="X15" s="1355"/>
      <c r="Y15" s="371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7"/>
      <c r="Q17" s="1352"/>
      <c r="R17" s="705"/>
      <c r="S17" s="706"/>
      <c r="T17" s="705"/>
      <c r="U17" s="706"/>
      <c r="V17" s="705"/>
      <c r="W17" s="706"/>
      <c r="X17" s="1355"/>
      <c r="Y17" s="371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7"/>
      <c r="Q19" s="1352"/>
      <c r="R19" s="705"/>
      <c r="S19" s="706"/>
      <c r="T19" s="705"/>
      <c r="U19" s="706"/>
      <c r="V19" s="705"/>
      <c r="W19" s="706"/>
      <c r="X19" s="1355"/>
      <c r="Y19" s="371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7"/>
      <c r="Q21" s="1352"/>
      <c r="R21" s="705"/>
      <c r="S21" s="706"/>
      <c r="T21" s="705"/>
      <c r="U21" s="706"/>
      <c r="V21" s="705"/>
      <c r="W21" s="706"/>
      <c r="X21" s="1355"/>
      <c r="Y21" s="371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7"/>
      <c r="Q24" s="1352">
        <f t="shared" ref="Q24:Q36"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1"/>
      <c r="Q27" s="707" t="str">
        <f t="shared" si="11"/>
        <v>项目停车位配比</v>
      </c>
      <c r="R27" s="708" t="s">
        <v>14</v>
      </c>
      <c r="S27" s="709">
        <f t="shared" si="12"/>
        <v>100</v>
      </c>
      <c r="T27" s="708" t="s">
        <v>14</v>
      </c>
      <c r="U27" s="709">
        <f t="shared" si="13"/>
        <v>100</v>
      </c>
      <c r="V27" s="708" t="s">
        <v>14</v>
      </c>
      <c r="W27" s="709">
        <f t="shared" si="14"/>
        <v>100</v>
      </c>
      <c r="X27" s="710"/>
      <c r="Y27" s="372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1"/>
      <c r="Q28" s="1352" t="str">
        <f t="shared" si="11"/>
        <v>公共部分装修</v>
      </c>
      <c r="R28" s="705" t="s">
        <v>14</v>
      </c>
      <c r="S28" s="706">
        <f t="shared" si="12"/>
        <v>100</v>
      </c>
      <c r="T28" s="705" t="s">
        <v>14</v>
      </c>
      <c r="U28" s="706">
        <f t="shared" si="13"/>
        <v>100</v>
      </c>
      <c r="V28" s="705" t="s">
        <v>14</v>
      </c>
      <c r="W28" s="706">
        <f t="shared" si="14"/>
        <v>100</v>
      </c>
      <c r="X28" s="1355"/>
      <c r="Y28" s="372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1"/>
      <c r="Q29" s="1352" t="str">
        <f t="shared" si="11"/>
        <v>成新率</v>
      </c>
      <c r="R29" s="705" t="s">
        <v>14</v>
      </c>
      <c r="S29" s="706" t="e">
        <f t="shared" si="12"/>
        <v>#N/A</v>
      </c>
      <c r="T29" s="705" t="s">
        <v>14</v>
      </c>
      <c r="U29" s="706" t="e">
        <f t="shared" si="13"/>
        <v>#N/A</v>
      </c>
      <c r="V29" s="705" t="s">
        <v>14</v>
      </c>
      <c r="W29" s="706" t="e">
        <f t="shared" si="14"/>
        <v>#N/A</v>
      </c>
      <c r="X29" s="1355"/>
      <c r="Y29" s="372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1"/>
      <c r="Q30" s="1352" t="str">
        <f t="shared" si="11"/>
        <v>物业等级</v>
      </c>
      <c r="R30" s="705" t="s">
        <v>14</v>
      </c>
      <c r="S30" s="706">
        <f t="shared" si="12"/>
        <v>100</v>
      </c>
      <c r="T30" s="705" t="s">
        <v>14</v>
      </c>
      <c r="U30" s="706">
        <f t="shared" si="13"/>
        <v>100</v>
      </c>
      <c r="V30" s="705" t="s">
        <v>14</v>
      </c>
      <c r="W30" s="706">
        <f t="shared" si="14"/>
        <v>100</v>
      </c>
      <c r="X30" s="1355"/>
      <c r="Y30" s="372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1"/>
      <c r="Q31" s="1343" t="str">
        <f t="shared" si="11"/>
        <v>停车位面积</v>
      </c>
      <c r="R31" s="701" t="s">
        <v>14</v>
      </c>
      <c r="S31" s="702" t="e">
        <f t="shared" si="12"/>
        <v>#N/A</v>
      </c>
      <c r="T31" s="701" t="s">
        <v>14</v>
      </c>
      <c r="U31" s="702" t="e">
        <f t="shared" si="13"/>
        <v>#N/A</v>
      </c>
      <c r="V31" s="701" t="s">
        <v>14</v>
      </c>
      <c r="W31" s="702" t="e">
        <f t="shared" si="14"/>
        <v>#N/A</v>
      </c>
      <c r="X31" s="703"/>
      <c r="Y31" s="372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1" t="s">
        <v>1696</v>
      </c>
      <c r="Q32" s="1352" t="str">
        <f t="shared" si="11"/>
        <v>车位类型</v>
      </c>
      <c r="R32" s="705" t="s">
        <v>14</v>
      </c>
      <c r="S32" s="706">
        <f t="shared" si="12"/>
        <v>100</v>
      </c>
      <c r="T32" s="705" t="s">
        <v>14</v>
      </c>
      <c r="U32" s="706">
        <f t="shared" si="13"/>
        <v>100</v>
      </c>
      <c r="V32" s="705" t="s">
        <v>14</v>
      </c>
      <c r="W32" s="706">
        <f t="shared" si="14"/>
        <v>100</v>
      </c>
      <c r="X32" s="1355"/>
      <c r="Y32" s="372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1"/>
      <c r="Q33" s="1352" t="str">
        <f t="shared" si="11"/>
        <v>是否直接入户</v>
      </c>
      <c r="R33" s="705" t="s">
        <v>14</v>
      </c>
      <c r="S33" s="706">
        <f t="shared" si="12"/>
        <v>100</v>
      </c>
      <c r="T33" s="705" t="s">
        <v>14</v>
      </c>
      <c r="U33" s="706">
        <f t="shared" si="13"/>
        <v>100</v>
      </c>
      <c r="V33" s="705" t="s">
        <v>14</v>
      </c>
      <c r="W33" s="706">
        <f t="shared" si="14"/>
        <v>100</v>
      </c>
      <c r="X33" s="1355"/>
      <c r="Y33" s="372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1"/>
      <c r="Q35" s="707">
        <f t="shared" si="11"/>
        <v>111</v>
      </c>
      <c r="R35" s="708" t="s">
        <v>14</v>
      </c>
      <c r="S35" s="709">
        <f t="shared" si="12"/>
        <v>100</v>
      </c>
      <c r="T35" s="708" t="s">
        <v>14</v>
      </c>
      <c r="U35" s="709">
        <f t="shared" si="13"/>
        <v>100</v>
      </c>
      <c r="V35" s="708" t="s">
        <v>14</v>
      </c>
      <c r="W35" s="709">
        <f t="shared" si="14"/>
        <v>100</v>
      </c>
      <c r="X35" s="710"/>
      <c r="Y35" s="372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1"/>
      <c r="Q36" s="1352">
        <f t="shared" si="11"/>
        <v>111</v>
      </c>
      <c r="R36" s="705" t="s">
        <v>14</v>
      </c>
      <c r="S36" s="706">
        <f t="shared" si="12"/>
        <v>100</v>
      </c>
      <c r="T36" s="705" t="s">
        <v>14</v>
      </c>
      <c r="U36" s="706">
        <f t="shared" si="13"/>
        <v>100</v>
      </c>
      <c r="V36" s="705" t="s">
        <v>14</v>
      </c>
      <c r="W36" s="706">
        <f t="shared" si="14"/>
        <v>100</v>
      </c>
      <c r="X36" s="1355"/>
      <c r="Y36" s="3721"/>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14" t="str">
        <f>A37</f>
        <v>成交单价</v>
      </c>
      <c r="Q37" s="3714"/>
      <c r="R37" s="3715">
        <f>E37</f>
        <v>0</v>
      </c>
      <c r="S37" s="3715"/>
      <c r="T37" s="3715">
        <f>G37</f>
        <v>0</v>
      </c>
      <c r="U37" s="3715"/>
      <c r="V37" s="3715">
        <f>I37</f>
        <v>0</v>
      </c>
      <c r="W37" s="371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1" t="str">
        <f>A39</f>
        <v>估价对象XX用房的比较价值（楼面单价，元/平方米）</v>
      </c>
      <c r="Q39" s="3712"/>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45749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2" t="s">
        <v>1680</v>
      </c>
      <c r="Q7" s="3710"/>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4"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4"/>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6" t="s">
        <v>1691</v>
      </c>
      <c r="Q14" s="1352" t="str">
        <f t="shared" si="6"/>
        <v>交通便捷度</v>
      </c>
      <c r="R14" s="705" t="s">
        <v>14</v>
      </c>
      <c r="S14" s="706">
        <f t="shared" si="0"/>
        <v>100</v>
      </c>
      <c r="T14" s="705" t="s">
        <v>14</v>
      </c>
      <c r="U14" s="706">
        <f t="shared" si="1"/>
        <v>100</v>
      </c>
      <c r="V14" s="705" t="s">
        <v>14</v>
      </c>
      <c r="W14" s="706">
        <f t="shared" si="2"/>
        <v>100</v>
      </c>
      <c r="X14" s="1355"/>
      <c r="Y14" s="371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7"/>
      <c r="Q15" s="1352"/>
      <c r="R15" s="705"/>
      <c r="S15" s="706"/>
      <c r="T15" s="705"/>
      <c r="U15" s="706"/>
      <c r="V15" s="705"/>
      <c r="W15" s="706"/>
      <c r="X15" s="1355"/>
      <c r="Y15" s="371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7"/>
      <c r="Q17" s="1352"/>
      <c r="R17" s="705"/>
      <c r="S17" s="706"/>
      <c r="T17" s="705"/>
      <c r="U17" s="706"/>
      <c r="V17" s="705"/>
      <c r="W17" s="706"/>
      <c r="X17" s="1355"/>
      <c r="Y17" s="371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7"/>
      <c r="Q19" s="1352"/>
      <c r="R19" s="705"/>
      <c r="S19" s="706"/>
      <c r="T19" s="705"/>
      <c r="U19" s="706"/>
      <c r="V19" s="705"/>
      <c r="W19" s="706"/>
      <c r="X19" s="1355"/>
      <c r="Y19" s="371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7"/>
      <c r="Q21" s="1352"/>
      <c r="R21" s="705"/>
      <c r="S21" s="706"/>
      <c r="T21" s="705"/>
      <c r="U21" s="706"/>
      <c r="V21" s="705"/>
      <c r="W21" s="706"/>
      <c r="X21" s="1355"/>
      <c r="Y21" s="371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7"/>
      <c r="Q24" s="1352">
        <f t="shared" ref="Q24:Q34"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1"/>
      <c r="Q27" s="707" t="str">
        <f t="shared" si="11"/>
        <v>成新率</v>
      </c>
      <c r="R27" s="708" t="s">
        <v>14</v>
      </c>
      <c r="S27" s="709" t="e">
        <f t="shared" si="12"/>
        <v>#N/A</v>
      </c>
      <c r="T27" s="708" t="s">
        <v>14</v>
      </c>
      <c r="U27" s="709" t="e">
        <f t="shared" si="13"/>
        <v>#N/A</v>
      </c>
      <c r="V27" s="708" t="s">
        <v>14</v>
      </c>
      <c r="W27" s="709" t="e">
        <f t="shared" si="14"/>
        <v>#N/A</v>
      </c>
      <c r="X27" s="710"/>
      <c r="Y27" s="372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1"/>
      <c r="Q28" s="1352" t="str">
        <f t="shared" si="11"/>
        <v>物业等级</v>
      </c>
      <c r="R28" s="705" t="s">
        <v>14</v>
      </c>
      <c r="S28" s="706">
        <f t="shared" si="12"/>
        <v>100</v>
      </c>
      <c r="T28" s="705" t="s">
        <v>14</v>
      </c>
      <c r="U28" s="706">
        <f t="shared" si="13"/>
        <v>100</v>
      </c>
      <c r="V28" s="705" t="s">
        <v>14</v>
      </c>
      <c r="W28" s="706">
        <f t="shared" si="14"/>
        <v>100</v>
      </c>
      <c r="X28" s="1355"/>
      <c r="Y28" s="372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1"/>
      <c r="Q29" s="1352" t="str">
        <f t="shared" si="11"/>
        <v>有无电梯</v>
      </c>
      <c r="R29" s="705" t="s">
        <v>14</v>
      </c>
      <c r="S29" s="706">
        <f t="shared" si="12"/>
        <v>100</v>
      </c>
      <c r="T29" s="705" t="s">
        <v>14</v>
      </c>
      <c r="U29" s="706">
        <f t="shared" si="13"/>
        <v>100</v>
      </c>
      <c r="V29" s="705" t="s">
        <v>14</v>
      </c>
      <c r="W29" s="706">
        <f t="shared" si="14"/>
        <v>100</v>
      </c>
      <c r="X29" s="1355"/>
      <c r="Y29" s="372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1"/>
      <c r="Q30" s="1352" t="str">
        <f t="shared" si="11"/>
        <v>建筑面积</v>
      </c>
      <c r="R30" s="705" t="s">
        <v>14</v>
      </c>
      <c r="S30" s="706" t="e">
        <f t="shared" si="12"/>
        <v>#N/A</v>
      </c>
      <c r="T30" s="705" t="s">
        <v>14</v>
      </c>
      <c r="U30" s="706" t="e">
        <f t="shared" si="13"/>
        <v>#N/A</v>
      </c>
      <c r="V30" s="705" t="s">
        <v>14</v>
      </c>
      <c r="W30" s="706" t="e">
        <f t="shared" si="14"/>
        <v>#N/A</v>
      </c>
      <c r="X30" s="1355"/>
      <c r="Y30" s="372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1"/>
      <c r="Q31" s="1343" t="str">
        <f t="shared" si="11"/>
        <v>是否封闭</v>
      </c>
      <c r="R31" s="701" t="s">
        <v>14</v>
      </c>
      <c r="S31" s="702">
        <f t="shared" si="12"/>
        <v>100</v>
      </c>
      <c r="T31" s="701" t="s">
        <v>14</v>
      </c>
      <c r="U31" s="702">
        <f t="shared" si="13"/>
        <v>100</v>
      </c>
      <c r="V31" s="701" t="s">
        <v>14</v>
      </c>
      <c r="W31" s="702">
        <f t="shared" si="14"/>
        <v>100</v>
      </c>
      <c r="X31" s="703"/>
      <c r="Y31" s="372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1" t="s">
        <v>1696</v>
      </c>
      <c r="Q32" s="1352">
        <f t="shared" si="11"/>
        <v>111</v>
      </c>
      <c r="R32" s="705" t="s">
        <v>14</v>
      </c>
      <c r="S32" s="706">
        <f t="shared" si="12"/>
        <v>100</v>
      </c>
      <c r="T32" s="705" t="s">
        <v>14</v>
      </c>
      <c r="U32" s="706">
        <f t="shared" si="13"/>
        <v>100</v>
      </c>
      <c r="V32" s="705" t="s">
        <v>14</v>
      </c>
      <c r="W32" s="706">
        <f t="shared" si="14"/>
        <v>100</v>
      </c>
      <c r="X32" s="1355"/>
      <c r="Y32" s="372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1"/>
      <c r="Q33" s="1352">
        <f t="shared" si="11"/>
        <v>111</v>
      </c>
      <c r="R33" s="705" t="s">
        <v>14</v>
      </c>
      <c r="S33" s="706">
        <f t="shared" si="12"/>
        <v>100</v>
      </c>
      <c r="T33" s="705" t="s">
        <v>14</v>
      </c>
      <c r="U33" s="706">
        <f t="shared" si="13"/>
        <v>100</v>
      </c>
      <c r="V33" s="705" t="s">
        <v>14</v>
      </c>
      <c r="W33" s="706">
        <f t="shared" si="14"/>
        <v>100</v>
      </c>
      <c r="X33" s="1355"/>
      <c r="Y33" s="372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4" t="str">
        <f>A35</f>
        <v>成交单价（元/平方米）</v>
      </c>
      <c r="Q35" s="3714"/>
      <c r="R35" s="3715">
        <f>E35</f>
        <v>0</v>
      </c>
      <c r="S35" s="3715"/>
      <c r="T35" s="3715">
        <f>G35</f>
        <v>0</v>
      </c>
      <c r="U35" s="3715"/>
      <c r="V35" s="3715">
        <f>I35</f>
        <v>0</v>
      </c>
      <c r="W35" s="371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1" t="str">
        <f>A37</f>
        <v>估价对象XX用房的比较价值（楼面单价，元/平方米）</v>
      </c>
      <c r="Q37" s="3712"/>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30"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680"/>
      <c r="AC5" s="3680"/>
    </row>
    <row r="6" spans="1:30" ht="15.75" thickBot="1">
      <c r="A6" s="360"/>
      <c r="B6" s="361"/>
      <c r="C6" s="3692" t="s">
        <v>1677</v>
      </c>
      <c r="D6" s="3693"/>
      <c r="E6" s="3694" t="s">
        <v>1677</v>
      </c>
      <c r="F6" s="3695"/>
      <c r="G6" s="3692" t="s">
        <v>1677</v>
      </c>
      <c r="H6" s="3693"/>
      <c r="I6" s="3692" t="s">
        <v>1677</v>
      </c>
      <c r="J6" s="3693"/>
      <c r="K6" s="559" t="s">
        <v>1678</v>
      </c>
      <c r="L6" s="2715"/>
      <c r="M6" s="2716"/>
      <c r="N6" s="2716"/>
      <c r="O6" s="2716"/>
      <c r="P6" s="3705"/>
      <c r="Q6" s="3706"/>
      <c r="R6" s="3686"/>
      <c r="S6" s="3687"/>
      <c r="T6" s="3707"/>
      <c r="U6" s="3708"/>
      <c r="V6" s="3709"/>
      <c r="W6" s="3709"/>
      <c r="X6" s="1355"/>
      <c r="Y6" s="3707"/>
      <c r="Z6" s="3708"/>
      <c r="AA6" s="3681"/>
      <c r="AB6" s="3681"/>
      <c r="AC6" s="3681"/>
    </row>
    <row r="7" spans="1:30" s="108" customFormat="1" ht="15.75" thickBot="1">
      <c r="A7" s="362" t="s">
        <v>1679</v>
      </c>
      <c r="B7" s="363"/>
      <c r="C7" s="364">
        <f>'数据-取费表'!B2</f>
        <v>45749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2" t="s">
        <v>1683</v>
      </c>
      <c r="Q8" s="3683"/>
      <c r="R8" s="701" t="s">
        <v>14</v>
      </c>
      <c r="S8" s="702">
        <f t="shared" si="0"/>
        <v>0</v>
      </c>
      <c r="T8" s="701" t="s">
        <v>14</v>
      </c>
      <c r="U8" s="702">
        <f t="shared" si="1"/>
        <v>0</v>
      </c>
      <c r="V8" s="701" t="s">
        <v>14</v>
      </c>
      <c r="W8" s="702">
        <f t="shared" si="2"/>
        <v>0</v>
      </c>
      <c r="X8" s="703"/>
      <c r="Y8" s="3682" t="s">
        <v>1683</v>
      </c>
      <c r="Z8" s="368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14"/>
      <c r="Q10" s="1343" t="str">
        <f t="shared" si="6"/>
        <v>土地使用年限（年）</v>
      </c>
      <c r="R10" s="701" t="s">
        <v>14</v>
      </c>
      <c r="S10" s="702" t="e">
        <f t="shared" si="0"/>
        <v>#DIV/0!</v>
      </c>
      <c r="T10" s="701" t="s">
        <v>14</v>
      </c>
      <c r="U10" s="702" t="e">
        <f t="shared" si="1"/>
        <v>#DIV/0!</v>
      </c>
      <c r="V10" s="701" t="s">
        <v>14</v>
      </c>
      <c r="W10" s="702" t="e">
        <f t="shared" si="2"/>
        <v>#DIV/0!</v>
      </c>
      <c r="X10" s="703"/>
      <c r="Y10" s="3626"/>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4"/>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4"/>
      <c r="Q12" s="1343" t="str">
        <f t="shared" si="6"/>
        <v>配建</v>
      </c>
      <c r="R12" s="701" t="s">
        <v>14</v>
      </c>
      <c r="S12" s="702">
        <f t="shared" si="0"/>
        <v>100</v>
      </c>
      <c r="T12" s="701" t="s">
        <v>14</v>
      </c>
      <c r="U12" s="702">
        <f t="shared" si="1"/>
        <v>100</v>
      </c>
      <c r="V12" s="701" t="s">
        <v>14</v>
      </c>
      <c r="W12" s="702">
        <f t="shared" si="2"/>
        <v>100</v>
      </c>
      <c r="X12" s="703"/>
      <c r="Y12" s="362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6" t="s">
        <v>1691</v>
      </c>
      <c r="Q15" s="1352" t="str">
        <f t="shared" si="6"/>
        <v>居住社区成熟度</v>
      </c>
      <c r="R15" s="705" t="s">
        <v>14</v>
      </c>
      <c r="S15" s="706">
        <f t="shared" si="0"/>
        <v>100</v>
      </c>
      <c r="T15" s="705" t="s">
        <v>14</v>
      </c>
      <c r="U15" s="706">
        <f t="shared" si="1"/>
        <v>100</v>
      </c>
      <c r="V15" s="705" t="s">
        <v>14</v>
      </c>
      <c r="W15" s="706">
        <f t="shared" si="2"/>
        <v>100</v>
      </c>
      <c r="X15" s="1355"/>
      <c r="Y15" s="371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7"/>
      <c r="Q16" s="1352"/>
      <c r="R16" s="705"/>
      <c r="S16" s="706"/>
      <c r="T16" s="705"/>
      <c r="U16" s="706"/>
      <c r="V16" s="705"/>
      <c r="W16" s="706"/>
      <c r="X16" s="1355"/>
      <c r="Y16" s="371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7"/>
      <c r="Q17" s="1352" t="str">
        <f>B17</f>
        <v>商业繁华度</v>
      </c>
      <c r="R17" s="705" t="s">
        <v>14</v>
      </c>
      <c r="S17" s="706">
        <f>F17</f>
        <v>100</v>
      </c>
      <c r="T17" s="705" t="s">
        <v>14</v>
      </c>
      <c r="U17" s="706">
        <f>H17</f>
        <v>100</v>
      </c>
      <c r="V17" s="705" t="s">
        <v>14</v>
      </c>
      <c r="W17" s="706">
        <f>J17</f>
        <v>100</v>
      </c>
      <c r="X17" s="1355"/>
      <c r="Y17" s="371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7"/>
      <c r="Q18" s="1352"/>
      <c r="R18" s="705"/>
      <c r="S18" s="706"/>
      <c r="T18" s="705"/>
      <c r="U18" s="706"/>
      <c r="V18" s="705"/>
      <c r="W18" s="706"/>
      <c r="X18" s="1355"/>
      <c r="Y18" s="371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7"/>
      <c r="Q19" s="1352" t="str">
        <f>B19</f>
        <v>办公集聚程度</v>
      </c>
      <c r="R19" s="705" t="s">
        <v>14</v>
      </c>
      <c r="S19" s="706">
        <f>F19</f>
        <v>100</v>
      </c>
      <c r="T19" s="705" t="s">
        <v>14</v>
      </c>
      <c r="U19" s="706">
        <f>H19</f>
        <v>100</v>
      </c>
      <c r="V19" s="705" t="s">
        <v>14</v>
      </c>
      <c r="W19" s="706">
        <f>J19</f>
        <v>100</v>
      </c>
      <c r="X19" s="1355"/>
      <c r="Y19" s="371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7"/>
      <c r="Q20" s="1352"/>
      <c r="R20" s="705"/>
      <c r="S20" s="706"/>
      <c r="T20" s="705"/>
      <c r="U20" s="706"/>
      <c r="V20" s="705"/>
      <c r="W20" s="706"/>
      <c r="X20" s="1355"/>
      <c r="Y20" s="371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7"/>
      <c r="Q21" s="1352" t="str">
        <f>B21</f>
        <v>交通便捷度</v>
      </c>
      <c r="R21" s="705" t="s">
        <v>14</v>
      </c>
      <c r="S21" s="706">
        <f>F21</f>
        <v>100</v>
      </c>
      <c r="T21" s="705" t="s">
        <v>14</v>
      </c>
      <c r="U21" s="706">
        <f>H21</f>
        <v>100</v>
      </c>
      <c r="V21" s="705" t="s">
        <v>14</v>
      </c>
      <c r="W21" s="706">
        <f>J21</f>
        <v>100</v>
      </c>
      <c r="X21" s="1355"/>
      <c r="Y21" s="371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7"/>
      <c r="Q22" s="1352"/>
      <c r="R22" s="705"/>
      <c r="S22" s="706"/>
      <c r="T22" s="705"/>
      <c r="U22" s="706"/>
      <c r="V22" s="705"/>
      <c r="W22" s="706"/>
      <c r="X22" s="1355"/>
      <c r="Y22" s="371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7"/>
      <c r="Q23" s="1352" t="str">
        <f t="shared" ref="Q23:Q37" si="8">B23</f>
        <v>区域土地利用方向</v>
      </c>
      <c r="R23" s="705" t="s">
        <v>14</v>
      </c>
      <c r="S23" s="706">
        <f>F23</f>
        <v>100</v>
      </c>
      <c r="T23" s="705" t="s">
        <v>14</v>
      </c>
      <c r="U23" s="706">
        <f>H23</f>
        <v>100</v>
      </c>
      <c r="V23" s="705" t="s">
        <v>14</v>
      </c>
      <c r="W23" s="706">
        <f>J23</f>
        <v>100</v>
      </c>
      <c r="X23" s="1355"/>
      <c r="Y23" s="371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7"/>
      <c r="Q24" s="1352"/>
      <c r="R24" s="705"/>
      <c r="S24" s="706"/>
      <c r="T24" s="705"/>
      <c r="U24" s="706"/>
      <c r="V24" s="705"/>
      <c r="W24" s="706"/>
      <c r="X24" s="1355"/>
      <c r="Y24" s="371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7"/>
      <c r="Q25" s="1352" t="str">
        <f t="shared" si="8"/>
        <v>自然及人文环境状况</v>
      </c>
      <c r="R25" s="705" t="s">
        <v>14</v>
      </c>
      <c r="S25" s="706">
        <f>F25</f>
        <v>100</v>
      </c>
      <c r="T25" s="705" t="s">
        <v>14</v>
      </c>
      <c r="U25" s="706">
        <f>H25</f>
        <v>100</v>
      </c>
      <c r="V25" s="705" t="s">
        <v>14</v>
      </c>
      <c r="W25" s="706">
        <f>J25</f>
        <v>100</v>
      </c>
      <c r="X25" s="1355"/>
      <c r="Y25" s="371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7"/>
      <c r="Q26" s="1352"/>
      <c r="R26" s="705"/>
      <c r="S26" s="706"/>
      <c r="T26" s="705"/>
      <c r="U26" s="706"/>
      <c r="V26" s="705"/>
      <c r="W26" s="706"/>
      <c r="X26" s="1355"/>
      <c r="Y26" s="371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7"/>
      <c r="Q27" s="1343" t="str">
        <f t="shared" si="8"/>
        <v>公共配套设施</v>
      </c>
      <c r="R27" s="701" t="s">
        <v>14</v>
      </c>
      <c r="S27" s="702">
        <f>F27</f>
        <v>100</v>
      </c>
      <c r="T27" s="701" t="s">
        <v>14</v>
      </c>
      <c r="U27" s="702">
        <f>H27</f>
        <v>100</v>
      </c>
      <c r="V27" s="701" t="s">
        <v>14</v>
      </c>
      <c r="W27" s="702">
        <f>J27</f>
        <v>100</v>
      </c>
      <c r="X27" s="703"/>
      <c r="Y27" s="371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7"/>
      <c r="Q28" s="1343"/>
      <c r="R28" s="701"/>
      <c r="S28" s="702"/>
      <c r="T28" s="701"/>
      <c r="U28" s="702"/>
      <c r="V28" s="701"/>
      <c r="W28" s="702"/>
      <c r="X28" s="703"/>
      <c r="Y28" s="371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7"/>
      <c r="Q29" s="1343" t="str">
        <f t="shared" ref="Q29" si="9">B29</f>
        <v>基础设施水平</v>
      </c>
      <c r="R29" s="701" t="s">
        <v>14</v>
      </c>
      <c r="S29" s="702">
        <f>F29</f>
        <v>100</v>
      </c>
      <c r="T29" s="701" t="s">
        <v>14</v>
      </c>
      <c r="U29" s="702">
        <f>H29</f>
        <v>100</v>
      </c>
      <c r="V29" s="701" t="s">
        <v>14</v>
      </c>
      <c r="W29" s="702">
        <f>J29</f>
        <v>100</v>
      </c>
      <c r="X29" s="703"/>
      <c r="Y29" s="371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7"/>
      <c r="Q30" s="1343"/>
      <c r="R30" s="701"/>
      <c r="S30" s="702"/>
      <c r="T30" s="701"/>
      <c r="U30" s="702"/>
      <c r="V30" s="701"/>
      <c r="W30" s="702"/>
      <c r="X30" s="703"/>
      <c r="Y30" s="371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7"/>
      <c r="Q32" s="1352" t="str">
        <f t="shared" si="8"/>
        <v>毗邻道路的类型与等级</v>
      </c>
      <c r="R32" s="705" t="s">
        <v>14</v>
      </c>
      <c r="S32" s="706">
        <f t="shared" si="10"/>
        <v>100</v>
      </c>
      <c r="T32" s="705" t="s">
        <v>14</v>
      </c>
      <c r="U32" s="706">
        <f t="shared" si="11"/>
        <v>100</v>
      </c>
      <c r="V32" s="705" t="s">
        <v>14</v>
      </c>
      <c r="W32" s="706">
        <f t="shared" si="12"/>
        <v>100</v>
      </c>
      <c r="X32" s="1355"/>
      <c r="Y32" s="371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7"/>
      <c r="Q33" s="1352"/>
      <c r="R33" s="705"/>
      <c r="S33" s="706"/>
      <c r="T33" s="705"/>
      <c r="U33" s="706"/>
      <c r="V33" s="705"/>
      <c r="W33" s="706"/>
      <c r="X33" s="1355"/>
      <c r="Y33" s="371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7"/>
      <c r="Q34" s="1352" t="str">
        <f t="shared" si="8"/>
        <v>土地级别</v>
      </c>
      <c r="R34" s="705" t="s">
        <v>14</v>
      </c>
      <c r="S34" s="706">
        <f t="shared" si="10"/>
        <v>100</v>
      </c>
      <c r="T34" s="705" t="s">
        <v>14</v>
      </c>
      <c r="U34" s="706">
        <f t="shared" si="11"/>
        <v>100</v>
      </c>
      <c r="V34" s="705" t="s">
        <v>14</v>
      </c>
      <c r="W34" s="706">
        <f t="shared" si="12"/>
        <v>100</v>
      </c>
      <c r="X34" s="1355"/>
      <c r="Y34" s="371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7"/>
      <c r="Q35" s="1352">
        <f t="shared" si="8"/>
        <v>111</v>
      </c>
      <c r="R35" s="705" t="s">
        <v>14</v>
      </c>
      <c r="S35" s="706">
        <f t="shared" si="10"/>
        <v>100</v>
      </c>
      <c r="T35" s="705" t="s">
        <v>14</v>
      </c>
      <c r="U35" s="706">
        <f t="shared" si="11"/>
        <v>100</v>
      </c>
      <c r="V35" s="705" t="s">
        <v>14</v>
      </c>
      <c r="W35" s="706">
        <f t="shared" si="12"/>
        <v>100</v>
      </c>
      <c r="X35" s="1355"/>
      <c r="Y35" s="371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0" t="s">
        <v>1696</v>
      </c>
      <c r="Q36" s="1352">
        <f t="shared" si="8"/>
        <v>111</v>
      </c>
      <c r="R36" s="705" t="s">
        <v>14</v>
      </c>
      <c r="S36" s="706">
        <f t="shared" si="10"/>
        <v>100</v>
      </c>
      <c r="T36" s="705" t="s">
        <v>14</v>
      </c>
      <c r="U36" s="706">
        <f t="shared" si="11"/>
        <v>100</v>
      </c>
      <c r="V36" s="705" t="s">
        <v>14</v>
      </c>
      <c r="W36" s="706">
        <f t="shared" si="12"/>
        <v>100</v>
      </c>
      <c r="X36" s="1355"/>
      <c r="Y36" s="372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1"/>
      <c r="Q37" s="1352">
        <f t="shared" si="8"/>
        <v>111</v>
      </c>
      <c r="R37" s="708" t="s">
        <v>14</v>
      </c>
      <c r="S37" s="709">
        <f t="shared" si="10"/>
        <v>100</v>
      </c>
      <c r="T37" s="708" t="s">
        <v>14</v>
      </c>
      <c r="U37" s="709">
        <f t="shared" si="11"/>
        <v>100</v>
      </c>
      <c r="V37" s="708" t="s">
        <v>14</v>
      </c>
      <c r="W37" s="709">
        <f t="shared" si="12"/>
        <v>100</v>
      </c>
      <c r="X37" s="710"/>
      <c r="Y37" s="372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1"/>
      <c r="Q38" s="1352" t="str">
        <f>B38</f>
        <v>宗地面积</v>
      </c>
      <c r="R38" s="705" t="s">
        <v>14</v>
      </c>
      <c r="S38" s="706" t="e">
        <f t="shared" si="10"/>
        <v>#N/A</v>
      </c>
      <c r="T38" s="705" t="s">
        <v>14</v>
      </c>
      <c r="U38" s="706" t="e">
        <f t="shared" si="11"/>
        <v>#N/A</v>
      </c>
      <c r="V38" s="705" t="s">
        <v>14</v>
      </c>
      <c r="W38" s="706" t="e">
        <f t="shared" si="12"/>
        <v>#N/A</v>
      </c>
      <c r="X38" s="1355"/>
      <c r="Y38" s="372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1"/>
      <c r="Q39" s="1352" t="str">
        <f t="shared" ref="Q39:Q45" si="14">B39</f>
        <v>宗地形状</v>
      </c>
      <c r="R39" s="705" t="s">
        <v>14</v>
      </c>
      <c r="S39" s="706">
        <f t="shared" si="10"/>
        <v>100</v>
      </c>
      <c r="T39" s="705" t="s">
        <v>14</v>
      </c>
      <c r="U39" s="706">
        <f t="shared" si="11"/>
        <v>100</v>
      </c>
      <c r="V39" s="705" t="s">
        <v>14</v>
      </c>
      <c r="W39" s="706">
        <f t="shared" si="12"/>
        <v>100</v>
      </c>
      <c r="X39" s="1355"/>
      <c r="Y39" s="372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1"/>
      <c r="Q40" s="1352" t="str">
        <f t="shared" si="14"/>
        <v>临街宽度及深度</v>
      </c>
      <c r="R40" s="705" t="s">
        <v>14</v>
      </c>
      <c r="S40" s="706">
        <f t="shared" si="10"/>
        <v>100</v>
      </c>
      <c r="T40" s="705" t="s">
        <v>14</v>
      </c>
      <c r="U40" s="706">
        <f t="shared" si="11"/>
        <v>100</v>
      </c>
      <c r="V40" s="705" t="s">
        <v>14</v>
      </c>
      <c r="W40" s="706">
        <f t="shared" si="12"/>
        <v>100</v>
      </c>
      <c r="X40" s="1355"/>
      <c r="Y40" s="372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1"/>
      <c r="Q41" s="1352" t="str">
        <f t="shared" si="14"/>
        <v>宗地开发程度</v>
      </c>
      <c r="R41" s="701" t="s">
        <v>14</v>
      </c>
      <c r="S41" s="702">
        <f t="shared" si="10"/>
        <v>100</v>
      </c>
      <c r="T41" s="701" t="s">
        <v>14</v>
      </c>
      <c r="U41" s="702">
        <f t="shared" si="11"/>
        <v>100</v>
      </c>
      <c r="V41" s="701" t="s">
        <v>14</v>
      </c>
      <c r="W41" s="702">
        <f t="shared" si="12"/>
        <v>100</v>
      </c>
      <c r="X41" s="703"/>
      <c r="Y41" s="372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1" t="s">
        <v>1696</v>
      </c>
      <c r="Q42" s="1352" t="str">
        <f t="shared" si="14"/>
        <v>工程地质条件</v>
      </c>
      <c r="R42" s="705" t="s">
        <v>14</v>
      </c>
      <c r="S42" s="706">
        <f t="shared" si="10"/>
        <v>100</v>
      </c>
      <c r="T42" s="705" t="s">
        <v>14</v>
      </c>
      <c r="U42" s="706">
        <f t="shared" si="11"/>
        <v>100</v>
      </c>
      <c r="V42" s="705" t="s">
        <v>14</v>
      </c>
      <c r="W42" s="706">
        <f t="shared" si="12"/>
        <v>100</v>
      </c>
      <c r="X42" s="1355"/>
      <c r="Y42" s="372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1"/>
      <c r="Q43" s="1352">
        <f t="shared" si="14"/>
        <v>111</v>
      </c>
      <c r="R43" s="705" t="s">
        <v>14</v>
      </c>
      <c r="S43" s="706">
        <f t="shared" si="10"/>
        <v>100</v>
      </c>
      <c r="T43" s="705" t="s">
        <v>14</v>
      </c>
      <c r="U43" s="706">
        <f t="shared" si="11"/>
        <v>100</v>
      </c>
      <c r="V43" s="705" t="s">
        <v>14</v>
      </c>
      <c r="W43" s="706">
        <f t="shared" si="12"/>
        <v>100</v>
      </c>
      <c r="X43" s="1355"/>
      <c r="Y43" s="372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1"/>
      <c r="Q44" s="1352">
        <f t="shared" si="14"/>
        <v>111</v>
      </c>
      <c r="R44" s="705" t="s">
        <v>14</v>
      </c>
      <c r="S44" s="706">
        <f t="shared" si="10"/>
        <v>100</v>
      </c>
      <c r="T44" s="705" t="s">
        <v>14</v>
      </c>
      <c r="U44" s="706">
        <f t="shared" si="11"/>
        <v>100</v>
      </c>
      <c r="V44" s="705" t="s">
        <v>14</v>
      </c>
      <c r="W44" s="706">
        <f t="shared" si="12"/>
        <v>100</v>
      </c>
      <c r="X44" s="1355"/>
      <c r="Y44" s="372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1"/>
      <c r="Q45" s="1352">
        <f t="shared" si="14"/>
        <v>111</v>
      </c>
      <c r="R45" s="708" t="s">
        <v>14</v>
      </c>
      <c r="S45" s="709">
        <f t="shared" si="10"/>
        <v>100</v>
      </c>
      <c r="T45" s="708" t="s">
        <v>14</v>
      </c>
      <c r="U45" s="709">
        <f t="shared" si="11"/>
        <v>100</v>
      </c>
      <c r="V45" s="708" t="s">
        <v>14</v>
      </c>
      <c r="W45" s="709">
        <f t="shared" si="12"/>
        <v>100</v>
      </c>
      <c r="X45" s="710"/>
      <c r="Y45" s="372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4" t="str">
        <f>A46</f>
        <v>成交单价</v>
      </c>
      <c r="Q46" s="3714"/>
      <c r="R46" s="3709">
        <f>E46</f>
        <v>0</v>
      </c>
      <c r="S46" s="3709"/>
      <c r="T46" s="3709">
        <f>G46</f>
        <v>0</v>
      </c>
      <c r="U46" s="3709"/>
      <c r="V46" s="3709">
        <f>I46</f>
        <v>0</v>
      </c>
      <c r="W46" s="370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4" t="str">
        <f>A47</f>
        <v>比较价值（元/平方米）</v>
      </c>
      <c r="Q47" s="3714"/>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1" t="str">
        <f>A48</f>
        <v>估价对象XX用房的比较价值（楼面单价，元/平方米）</v>
      </c>
      <c r="Q48" s="3712"/>
      <c r="R48" s="3743" t="e">
        <f>ROUND(IF(D47="简单平均",AVERAGE(R47:W47),R47*F47+T47*H47+V47*J47),0)</f>
        <v>#DIV/0!</v>
      </c>
      <c r="S48" s="3743"/>
      <c r="T48" s="3743"/>
      <c r="U48" s="3743"/>
      <c r="V48" s="3743"/>
      <c r="W48" s="37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7" t="s">
        <v>1887</v>
      </c>
      <c r="H55" s="374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237.74</v>
      </c>
      <c r="F56" s="886" t="e">
        <f t="shared" ref="F56:F64" si="15">ROUND(B56*E56/10000,0)</f>
        <v>#DIV/0!</v>
      </c>
      <c r="G56" s="3696"/>
      <c r="H56" s="371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237.74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680"/>
      <c r="AC5" s="3680"/>
    </row>
    <row r="6" spans="1:29" ht="15.75" thickBot="1">
      <c r="A6" s="360"/>
      <c r="B6" s="361"/>
      <c r="C6" s="3745" t="s">
        <v>1919</v>
      </c>
      <c r="D6" s="3746"/>
      <c r="E6" s="3747" t="s">
        <v>1919</v>
      </c>
      <c r="F6" s="3748"/>
      <c r="G6" s="3745" t="s">
        <v>1919</v>
      </c>
      <c r="H6" s="3746"/>
      <c r="I6" s="3745" t="s">
        <v>1919</v>
      </c>
      <c r="J6" s="3746"/>
      <c r="K6" s="559" t="s">
        <v>1678</v>
      </c>
      <c r="L6" s="2715"/>
      <c r="M6" s="2716"/>
      <c r="N6" s="2716"/>
      <c r="O6" s="2716"/>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45749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2" t="s">
        <v>1683</v>
      </c>
      <c r="Q8" s="3683"/>
      <c r="R8" s="701" t="s">
        <v>14</v>
      </c>
      <c r="S8" s="702">
        <f t="shared" si="0"/>
        <v>0</v>
      </c>
      <c r="T8" s="701" t="s">
        <v>14</v>
      </c>
      <c r="U8" s="702">
        <f t="shared" si="1"/>
        <v>0</v>
      </c>
      <c r="V8" s="701" t="s">
        <v>14</v>
      </c>
      <c r="W8" s="702">
        <f t="shared" si="2"/>
        <v>0</v>
      </c>
      <c r="X8" s="703"/>
      <c r="Y8" s="3682" t="s">
        <v>1683</v>
      </c>
      <c r="Z8" s="368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14"/>
      <c r="Q10" s="1343" t="str">
        <f t="shared" si="6"/>
        <v>土地使用年限（年）</v>
      </c>
      <c r="R10" s="701" t="s">
        <v>14</v>
      </c>
      <c r="S10" s="702" t="e">
        <f t="shared" si="0"/>
        <v>#DIV/0!</v>
      </c>
      <c r="T10" s="701" t="s">
        <v>14</v>
      </c>
      <c r="U10" s="702" t="e">
        <f t="shared" si="1"/>
        <v>#DIV/0!</v>
      </c>
      <c r="V10" s="701" t="s">
        <v>14</v>
      </c>
      <c r="W10" s="702" t="e">
        <f t="shared" si="2"/>
        <v>#DIV/0!</v>
      </c>
      <c r="X10" s="703"/>
      <c r="Y10" s="3626"/>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4"/>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6" t="s">
        <v>1691</v>
      </c>
      <c r="Q15" s="1352" t="str">
        <f t="shared" si="6"/>
        <v>产业集聚程度</v>
      </c>
      <c r="R15" s="705" t="s">
        <v>14</v>
      </c>
      <c r="S15" s="706">
        <f t="shared" si="0"/>
        <v>100</v>
      </c>
      <c r="T15" s="705" t="s">
        <v>14</v>
      </c>
      <c r="U15" s="706">
        <f t="shared" si="1"/>
        <v>100</v>
      </c>
      <c r="V15" s="705" t="s">
        <v>14</v>
      </c>
      <c r="W15" s="706">
        <f t="shared" si="2"/>
        <v>100</v>
      </c>
      <c r="X15" s="1355"/>
      <c r="Y15" s="371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7"/>
      <c r="Q16" s="1352"/>
      <c r="R16" s="705"/>
      <c r="S16" s="706"/>
      <c r="T16" s="705"/>
      <c r="U16" s="706"/>
      <c r="V16" s="705"/>
      <c r="W16" s="706"/>
      <c r="X16" s="1355"/>
      <c r="Y16" s="371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7"/>
      <c r="Q18" s="1352"/>
      <c r="R18" s="705"/>
      <c r="S18" s="706"/>
      <c r="T18" s="705"/>
      <c r="U18" s="706"/>
      <c r="V18" s="705"/>
      <c r="W18" s="706"/>
      <c r="X18" s="1355"/>
      <c r="Y18" s="371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7"/>
      <c r="Q19" s="1352" t="str">
        <f t="shared" ref="Q19:Q33" si="8">B19</f>
        <v>区域土地利用方向</v>
      </c>
      <c r="R19" s="705" t="s">
        <v>14</v>
      </c>
      <c r="S19" s="706">
        <f>F19</f>
        <v>100</v>
      </c>
      <c r="T19" s="705" t="s">
        <v>14</v>
      </c>
      <c r="U19" s="706">
        <f>H19</f>
        <v>100</v>
      </c>
      <c r="V19" s="705" t="s">
        <v>14</v>
      </c>
      <c r="W19" s="706">
        <f>J19</f>
        <v>100</v>
      </c>
      <c r="X19" s="1355"/>
      <c r="Y19" s="371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7"/>
      <c r="Q20" s="1352"/>
      <c r="R20" s="705"/>
      <c r="S20" s="706"/>
      <c r="T20" s="705"/>
      <c r="U20" s="706"/>
      <c r="V20" s="705"/>
      <c r="W20" s="706"/>
      <c r="X20" s="1355"/>
      <c r="Y20" s="371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7"/>
      <c r="Q21" s="1352" t="str">
        <f t="shared" si="8"/>
        <v>环境状况</v>
      </c>
      <c r="R21" s="705" t="s">
        <v>14</v>
      </c>
      <c r="S21" s="706">
        <f>F21</f>
        <v>100</v>
      </c>
      <c r="T21" s="705" t="s">
        <v>14</v>
      </c>
      <c r="U21" s="706">
        <f>H21</f>
        <v>100</v>
      </c>
      <c r="V21" s="705" t="s">
        <v>14</v>
      </c>
      <c r="W21" s="706">
        <f>J21</f>
        <v>100</v>
      </c>
      <c r="X21" s="1355"/>
      <c r="Y21" s="371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7"/>
      <c r="Q22" s="1352"/>
      <c r="R22" s="705"/>
      <c r="S22" s="706"/>
      <c r="T22" s="705"/>
      <c r="U22" s="706"/>
      <c r="V22" s="705"/>
      <c r="W22" s="706"/>
      <c r="X22" s="1355"/>
      <c r="Y22" s="371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7"/>
      <c r="Q23" s="1343" t="str">
        <f t="shared" si="8"/>
        <v>公共配套设施</v>
      </c>
      <c r="R23" s="701" t="s">
        <v>14</v>
      </c>
      <c r="S23" s="702">
        <f>F23</f>
        <v>100</v>
      </c>
      <c r="T23" s="701" t="s">
        <v>14</v>
      </c>
      <c r="U23" s="702">
        <f>H23</f>
        <v>100</v>
      </c>
      <c r="V23" s="701" t="s">
        <v>14</v>
      </c>
      <c r="W23" s="702">
        <f>J23</f>
        <v>100</v>
      </c>
      <c r="X23" s="703"/>
      <c r="Y23" s="371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7"/>
      <c r="Q24" s="1343"/>
      <c r="R24" s="701"/>
      <c r="S24" s="702"/>
      <c r="T24" s="701"/>
      <c r="U24" s="702"/>
      <c r="V24" s="701"/>
      <c r="W24" s="702"/>
      <c r="X24" s="703"/>
      <c r="Y24" s="371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7"/>
      <c r="Q25" s="1343" t="str">
        <f t="shared" ref="Q25" si="9">B25</f>
        <v>基础设施水平</v>
      </c>
      <c r="R25" s="701" t="s">
        <v>14</v>
      </c>
      <c r="S25" s="702">
        <f>F25</f>
        <v>100</v>
      </c>
      <c r="T25" s="701" t="s">
        <v>14</v>
      </c>
      <c r="U25" s="702">
        <f>H25</f>
        <v>100</v>
      </c>
      <c r="V25" s="701" t="s">
        <v>14</v>
      </c>
      <c r="W25" s="702">
        <f>J25</f>
        <v>100</v>
      </c>
      <c r="X25" s="703"/>
      <c r="Y25" s="371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7"/>
      <c r="Q26" s="1343"/>
      <c r="R26" s="701"/>
      <c r="S26" s="702"/>
      <c r="T26" s="701"/>
      <c r="U26" s="702"/>
      <c r="V26" s="701"/>
      <c r="W26" s="702"/>
      <c r="X26" s="703"/>
      <c r="Y26" s="371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7"/>
      <c r="Q28" s="1352" t="str">
        <f t="shared" si="8"/>
        <v>毗邻道路的类型与等级</v>
      </c>
      <c r="R28" s="705" t="s">
        <v>14</v>
      </c>
      <c r="S28" s="706">
        <f t="shared" si="10"/>
        <v>100</v>
      </c>
      <c r="T28" s="705" t="s">
        <v>14</v>
      </c>
      <c r="U28" s="706">
        <f t="shared" si="11"/>
        <v>100</v>
      </c>
      <c r="V28" s="705" t="s">
        <v>14</v>
      </c>
      <c r="W28" s="706">
        <f t="shared" si="12"/>
        <v>100</v>
      </c>
      <c r="X28" s="1355"/>
      <c r="Y28" s="371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7"/>
      <c r="Q29" s="1352"/>
      <c r="R29" s="705"/>
      <c r="S29" s="706"/>
      <c r="T29" s="705"/>
      <c r="U29" s="706"/>
      <c r="V29" s="705"/>
      <c r="W29" s="706"/>
      <c r="X29" s="1355"/>
      <c r="Y29" s="371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7"/>
      <c r="Q30" s="1352" t="str">
        <f t="shared" si="8"/>
        <v>土地级别</v>
      </c>
      <c r="R30" s="705" t="s">
        <v>14</v>
      </c>
      <c r="S30" s="706">
        <f t="shared" si="10"/>
        <v>100</v>
      </c>
      <c r="T30" s="705" t="s">
        <v>14</v>
      </c>
      <c r="U30" s="706">
        <f t="shared" si="11"/>
        <v>100</v>
      </c>
      <c r="V30" s="705" t="s">
        <v>14</v>
      </c>
      <c r="W30" s="706">
        <f t="shared" si="12"/>
        <v>100</v>
      </c>
      <c r="X30" s="1355"/>
      <c r="Y30" s="371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7"/>
      <c r="Q31" s="1352">
        <f t="shared" si="8"/>
        <v>111</v>
      </c>
      <c r="R31" s="705" t="s">
        <v>14</v>
      </c>
      <c r="S31" s="706">
        <f t="shared" si="10"/>
        <v>100</v>
      </c>
      <c r="T31" s="705" t="s">
        <v>14</v>
      </c>
      <c r="U31" s="706">
        <f t="shared" si="11"/>
        <v>100</v>
      </c>
      <c r="V31" s="705" t="s">
        <v>14</v>
      </c>
      <c r="W31" s="706">
        <f t="shared" si="12"/>
        <v>100</v>
      </c>
      <c r="X31" s="1355"/>
      <c r="Y31" s="371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0" t="s">
        <v>1696</v>
      </c>
      <c r="Q32" s="1352">
        <f t="shared" si="8"/>
        <v>111</v>
      </c>
      <c r="R32" s="705" t="s">
        <v>14</v>
      </c>
      <c r="S32" s="706">
        <f t="shared" si="10"/>
        <v>100</v>
      </c>
      <c r="T32" s="705" t="s">
        <v>14</v>
      </c>
      <c r="U32" s="706">
        <f t="shared" si="11"/>
        <v>100</v>
      </c>
      <c r="V32" s="705" t="s">
        <v>14</v>
      </c>
      <c r="W32" s="706">
        <f t="shared" si="12"/>
        <v>100</v>
      </c>
      <c r="X32" s="1355"/>
      <c r="Y32" s="372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1"/>
      <c r="Q33" s="1352">
        <f t="shared" si="8"/>
        <v>111</v>
      </c>
      <c r="R33" s="708" t="s">
        <v>14</v>
      </c>
      <c r="S33" s="709">
        <f t="shared" si="10"/>
        <v>100</v>
      </c>
      <c r="T33" s="708" t="s">
        <v>14</v>
      </c>
      <c r="U33" s="709">
        <f t="shared" si="11"/>
        <v>100</v>
      </c>
      <c r="V33" s="708" t="s">
        <v>14</v>
      </c>
      <c r="W33" s="709">
        <f t="shared" si="12"/>
        <v>100</v>
      </c>
      <c r="X33" s="710"/>
      <c r="Y33" s="372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1"/>
      <c r="Q34" s="1352" t="str">
        <f>B34</f>
        <v>宗地面积</v>
      </c>
      <c r="R34" s="705" t="s">
        <v>14</v>
      </c>
      <c r="S34" s="706" t="e">
        <f t="shared" si="10"/>
        <v>#N/A</v>
      </c>
      <c r="T34" s="705" t="s">
        <v>14</v>
      </c>
      <c r="U34" s="706" t="e">
        <f t="shared" si="11"/>
        <v>#N/A</v>
      </c>
      <c r="V34" s="705" t="s">
        <v>14</v>
      </c>
      <c r="W34" s="706" t="e">
        <f t="shared" si="12"/>
        <v>#N/A</v>
      </c>
      <c r="X34" s="1355"/>
      <c r="Y34" s="372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1"/>
      <c r="Q35" s="1352" t="str">
        <f t="shared" ref="Q35:Q40" si="14">B35</f>
        <v>宗地形状</v>
      </c>
      <c r="R35" s="705" t="s">
        <v>14</v>
      </c>
      <c r="S35" s="706">
        <f t="shared" si="10"/>
        <v>100</v>
      </c>
      <c r="T35" s="705" t="s">
        <v>14</v>
      </c>
      <c r="U35" s="706">
        <f t="shared" si="11"/>
        <v>100</v>
      </c>
      <c r="V35" s="705" t="s">
        <v>14</v>
      </c>
      <c r="W35" s="706">
        <f t="shared" si="12"/>
        <v>100</v>
      </c>
      <c r="X35" s="1355"/>
      <c r="Y35" s="372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1"/>
      <c r="Q36" s="1352" t="str">
        <f t="shared" si="14"/>
        <v>宗地开发程度</v>
      </c>
      <c r="R36" s="701" t="s">
        <v>14</v>
      </c>
      <c r="S36" s="702">
        <f t="shared" si="10"/>
        <v>100</v>
      </c>
      <c r="T36" s="701" t="s">
        <v>14</v>
      </c>
      <c r="U36" s="702">
        <f t="shared" si="11"/>
        <v>100</v>
      </c>
      <c r="V36" s="701" t="s">
        <v>14</v>
      </c>
      <c r="W36" s="702">
        <f t="shared" si="12"/>
        <v>100</v>
      </c>
      <c r="X36" s="703"/>
      <c r="Y36" s="372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1" t="s">
        <v>1696</v>
      </c>
      <c r="Q37" s="1352" t="str">
        <f t="shared" si="14"/>
        <v>工程地质条件</v>
      </c>
      <c r="R37" s="705" t="s">
        <v>14</v>
      </c>
      <c r="S37" s="706">
        <f t="shared" si="10"/>
        <v>100</v>
      </c>
      <c r="T37" s="705" t="s">
        <v>14</v>
      </c>
      <c r="U37" s="706">
        <f t="shared" si="11"/>
        <v>100</v>
      </c>
      <c r="V37" s="705" t="s">
        <v>14</v>
      </c>
      <c r="W37" s="706">
        <f t="shared" si="12"/>
        <v>100</v>
      </c>
      <c r="X37" s="1355"/>
      <c r="Y37" s="372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1"/>
      <c r="Q38" s="1352">
        <f t="shared" si="14"/>
        <v>111</v>
      </c>
      <c r="R38" s="705" t="s">
        <v>14</v>
      </c>
      <c r="S38" s="706">
        <f t="shared" si="10"/>
        <v>100</v>
      </c>
      <c r="T38" s="705" t="s">
        <v>14</v>
      </c>
      <c r="U38" s="706">
        <f t="shared" si="11"/>
        <v>100</v>
      </c>
      <c r="V38" s="705" t="s">
        <v>14</v>
      </c>
      <c r="W38" s="706">
        <f t="shared" si="12"/>
        <v>100</v>
      </c>
      <c r="X38" s="1355"/>
      <c r="Y38" s="372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1"/>
      <c r="Q39" s="1352">
        <f t="shared" si="14"/>
        <v>111</v>
      </c>
      <c r="R39" s="705" t="s">
        <v>14</v>
      </c>
      <c r="S39" s="706">
        <f t="shared" si="10"/>
        <v>100</v>
      </c>
      <c r="T39" s="705" t="s">
        <v>14</v>
      </c>
      <c r="U39" s="706">
        <f t="shared" si="11"/>
        <v>100</v>
      </c>
      <c r="V39" s="705" t="s">
        <v>14</v>
      </c>
      <c r="W39" s="706">
        <f t="shared" si="12"/>
        <v>100</v>
      </c>
      <c r="X39" s="1355"/>
      <c r="Y39" s="372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1"/>
      <c r="Q40" s="1352">
        <f t="shared" si="14"/>
        <v>111</v>
      </c>
      <c r="R40" s="708" t="s">
        <v>14</v>
      </c>
      <c r="S40" s="709">
        <f t="shared" si="10"/>
        <v>100</v>
      </c>
      <c r="T40" s="708" t="s">
        <v>14</v>
      </c>
      <c r="U40" s="709">
        <f t="shared" si="11"/>
        <v>100</v>
      </c>
      <c r="V40" s="708" t="s">
        <v>14</v>
      </c>
      <c r="W40" s="709">
        <f t="shared" si="12"/>
        <v>100</v>
      </c>
      <c r="X40" s="710"/>
      <c r="Y40" s="372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4" t="str">
        <f>A41</f>
        <v>成交单价</v>
      </c>
      <c r="Q41" s="3714"/>
      <c r="R41" s="3709">
        <f>E41</f>
        <v>0</v>
      </c>
      <c r="S41" s="3709"/>
      <c r="T41" s="3709">
        <f>G41</f>
        <v>0</v>
      </c>
      <c r="U41" s="3709"/>
      <c r="V41" s="3709">
        <f>I41</f>
        <v>0</v>
      </c>
      <c r="W41" s="370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4" t="str">
        <f>A42</f>
        <v>比较价值（元/平方米）</v>
      </c>
      <c r="Q42" s="3714"/>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1" t="str">
        <f>A43</f>
        <v>估价对象XX用房的比较价值（楼面单价，元/平方米）</v>
      </c>
      <c r="Q43" s="3712"/>
      <c r="R43" s="3743" t="e">
        <f>ROUND(IF(D42="简单平均",AVERAGE(R42:W42),R42*F42+T42*H42+V42*J42),0)</f>
        <v>#DIV/0!</v>
      </c>
      <c r="S43" s="3743"/>
      <c r="T43" s="3743"/>
      <c r="U43" s="3743"/>
      <c r="V43" s="3743"/>
      <c r="W43" s="37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7" t="s">
        <v>1887</v>
      </c>
      <c r="H50" s="374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237.74</v>
      </c>
      <c r="F51" s="639" t="e">
        <f t="shared" ref="F51:F60" si="15">ROUND(B51*E51/10000,0)</f>
        <v>#DIV/0!</v>
      </c>
      <c r="G51" s="3696"/>
      <c r="H51" s="371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6" t="s">
        <v>3254</v>
      </c>
      <c r="B20" s="167" t="s">
        <v>1994</v>
      </c>
      <c r="C20" s="3325" t="e">
        <f>ROUND(IF(F21="与级别开发程度一致",0,(G21-E21)/C21),0)</f>
        <v>#DIV/0!</v>
      </c>
      <c r="D20" s="3341" t="s">
        <v>1998</v>
      </c>
      <c r="E20" s="3342"/>
      <c r="F20" s="3772" t="s">
        <v>1995</v>
      </c>
      <c r="G20" s="377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45749</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1"/>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8" t="s">
        <v>3294</v>
      </c>
      <c r="B103" s="3768"/>
      <c r="C103" s="3768"/>
      <c r="D103" s="3768"/>
      <c r="E103" s="3768"/>
      <c r="F103" s="3768"/>
      <c r="G103" s="3768"/>
      <c r="H103" s="3768"/>
      <c r="I103" s="3768"/>
      <c r="J103" s="3768"/>
      <c r="K103" s="3390"/>
      <c r="L103" s="3390"/>
      <c r="M103" s="3390"/>
      <c r="N103" s="3390"/>
    </row>
    <row r="104" spans="1:14">
      <c r="A104" s="3769" t="s">
        <v>3295</v>
      </c>
      <c r="B104" s="3769" t="s">
        <v>3296</v>
      </c>
      <c r="C104" s="3391" t="s">
        <v>3297</v>
      </c>
      <c r="D104" s="3392"/>
      <c r="E104" s="3392"/>
      <c r="F104" s="3392"/>
      <c r="G104" s="3392"/>
      <c r="H104" s="3392"/>
      <c r="I104" s="3392"/>
      <c r="J104" s="3393"/>
      <c r="K104" s="3394"/>
      <c r="L104" s="3394"/>
      <c r="M104" s="3394"/>
      <c r="N104" s="3394"/>
    </row>
    <row r="105" spans="1:14">
      <c r="A105" s="3769"/>
      <c r="B105" s="376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6"/>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8" t="s">
        <v>3311</v>
      </c>
      <c r="B113" s="3758"/>
      <c r="C113" s="3758"/>
      <c r="D113" s="3758"/>
      <c r="E113" s="3758"/>
      <c r="F113" s="3758"/>
      <c r="G113" s="3758"/>
      <c r="H113" s="3758"/>
      <c r="I113" s="3758"/>
      <c r="J113" s="375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1" t="s">
        <v>2607</v>
      </c>
      <c r="B20" s="3774" t="s">
        <v>2628</v>
      </c>
      <c r="C20" s="3103" t="s">
        <v>2439</v>
      </c>
      <c r="D20" s="3104"/>
      <c r="E20" s="3105">
        <v>1</v>
      </c>
      <c r="F20" s="3106" t="s">
        <v>2440</v>
      </c>
      <c r="G20" s="3106"/>
    </row>
    <row r="21" spans="1:13" ht="19.5" customHeight="1">
      <c r="A21" s="3782"/>
      <c r="B21" s="3775"/>
      <c r="C21" s="3107" t="s">
        <v>2441</v>
      </c>
      <c r="D21" s="3108"/>
      <c r="E21" s="3109">
        <v>1</v>
      </c>
      <c r="F21" s="3106" t="s">
        <v>2442</v>
      </c>
      <c r="G21" s="3106"/>
    </row>
    <row r="22" spans="1:13" ht="19.5" customHeight="1">
      <c r="A22" s="3782"/>
      <c r="B22" s="3775"/>
      <c r="C22" s="3107" t="s">
        <v>2443</v>
      </c>
      <c r="D22" s="3108"/>
      <c r="E22" s="3109">
        <v>0.9</v>
      </c>
      <c r="F22" s="3106" t="s">
        <v>2444</v>
      </c>
      <c r="G22" s="3106"/>
    </row>
    <row r="23" spans="1:13" ht="19.5" customHeight="1">
      <c r="A23" s="3782"/>
      <c r="B23" s="3775"/>
      <c r="C23" s="3107" t="s">
        <v>2445</v>
      </c>
      <c r="D23" s="3108"/>
      <c r="E23" s="3109">
        <v>0.9</v>
      </c>
      <c r="F23" s="3106" t="s">
        <v>2446</v>
      </c>
      <c r="G23" s="3106"/>
    </row>
    <row r="24" spans="1:13" ht="19.5" customHeight="1">
      <c r="A24" s="3782"/>
      <c r="B24" s="3775"/>
      <c r="C24" s="3107" t="s">
        <v>2447</v>
      </c>
      <c r="D24" s="3108"/>
      <c r="E24" s="3109">
        <v>0.8</v>
      </c>
      <c r="F24" s="3106" t="s">
        <v>2448</v>
      </c>
      <c r="G24" s="3106"/>
    </row>
    <row r="25" spans="1:13" ht="19.5" customHeight="1" thickBot="1">
      <c r="A25" s="3783"/>
      <c r="B25" s="3776"/>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7" t="s">
        <v>2631</v>
      </c>
      <c r="B27" s="3774" t="s">
        <v>2612</v>
      </c>
      <c r="C27" s="3103" t="s">
        <v>2452</v>
      </c>
      <c r="D27" s="3104"/>
      <c r="E27" s="3105">
        <v>1</v>
      </c>
      <c r="F27" s="3106" t="s">
        <v>2453</v>
      </c>
      <c r="G27" s="3106"/>
    </row>
    <row r="28" spans="1:13" ht="19.5" customHeight="1">
      <c r="A28" s="3778"/>
      <c r="B28" s="3775"/>
      <c r="C28" s="3107" t="s">
        <v>2454</v>
      </c>
      <c r="D28" s="3108"/>
      <c r="E28" s="3109">
        <v>1</v>
      </c>
      <c r="F28" s="3106" t="s">
        <v>2455</v>
      </c>
      <c r="G28" s="3106"/>
    </row>
    <row r="29" spans="1:13" ht="19.5" customHeight="1">
      <c r="A29" s="3778"/>
      <c r="B29" s="3775"/>
      <c r="C29" s="3107" t="s">
        <v>2456</v>
      </c>
      <c r="D29" s="3108"/>
      <c r="E29" s="3109">
        <v>0.8</v>
      </c>
      <c r="F29" s="3106" t="s">
        <v>2457</v>
      </c>
      <c r="G29" s="3106"/>
    </row>
    <row r="30" spans="1:13" ht="19.5" customHeight="1">
      <c r="A30" s="3778"/>
      <c r="B30" s="3775"/>
      <c r="C30" s="3107" t="s">
        <v>2458</v>
      </c>
      <c r="D30" s="3108"/>
      <c r="E30" s="3109">
        <v>0.8</v>
      </c>
      <c r="F30" s="3106" t="s">
        <v>2459</v>
      </c>
      <c r="G30" s="3106"/>
    </row>
    <row r="31" spans="1:13" ht="19.5" customHeight="1">
      <c r="A31" s="3778"/>
      <c r="B31" s="3775"/>
      <c r="C31" s="3107" t="s">
        <v>2460</v>
      </c>
      <c r="D31" s="3108"/>
      <c r="E31" s="3109">
        <v>0.8</v>
      </c>
      <c r="F31" s="3106" t="s">
        <v>2461</v>
      </c>
      <c r="G31" s="3106"/>
    </row>
    <row r="32" spans="1:13" ht="19.5" customHeight="1">
      <c r="A32" s="3778"/>
      <c r="B32" s="3775"/>
      <c r="C32" s="3107" t="s">
        <v>2462</v>
      </c>
      <c r="D32" s="3108"/>
      <c r="E32" s="3109">
        <v>0.7</v>
      </c>
      <c r="F32" s="3106" t="s">
        <v>2463</v>
      </c>
      <c r="G32" s="3106"/>
    </row>
    <row r="33" spans="1:7" ht="19.5" customHeight="1">
      <c r="A33" s="3778"/>
      <c r="B33" s="3775"/>
      <c r="C33" s="3107" t="s">
        <v>2464</v>
      </c>
      <c r="D33" s="3108"/>
      <c r="E33" s="3109">
        <v>0.8</v>
      </c>
      <c r="F33" s="3106" t="s">
        <v>2465</v>
      </c>
      <c r="G33" s="3106"/>
    </row>
    <row r="34" spans="1:7" ht="19.5" customHeight="1">
      <c r="A34" s="3778"/>
      <c r="B34" s="3775"/>
      <c r="C34" s="3107" t="s">
        <v>2466</v>
      </c>
      <c r="D34" s="3108"/>
      <c r="E34" s="3109">
        <v>0.6</v>
      </c>
      <c r="F34" s="3106" t="s">
        <v>2467</v>
      </c>
      <c r="G34" s="3106"/>
    </row>
    <row r="35" spans="1:7" ht="19.5" customHeight="1">
      <c r="A35" s="3778"/>
      <c r="B35" s="3775"/>
      <c r="C35" s="3107" t="s">
        <v>2468</v>
      </c>
      <c r="D35" s="3108"/>
      <c r="E35" s="3109">
        <v>0.2</v>
      </c>
      <c r="F35" s="3106" t="s">
        <v>2469</v>
      </c>
      <c r="G35" s="3106"/>
    </row>
    <row r="36" spans="1:7" ht="19.5" customHeight="1">
      <c r="A36" s="3778"/>
      <c r="B36" s="3775"/>
      <c r="C36" s="3107" t="s">
        <v>2470</v>
      </c>
      <c r="D36" s="3108"/>
      <c r="E36" s="3109">
        <v>0.2</v>
      </c>
      <c r="F36" s="3106" t="s">
        <v>2471</v>
      </c>
      <c r="G36" s="3106"/>
    </row>
    <row r="37" spans="1:7" ht="19.5" customHeight="1">
      <c r="A37" s="3778"/>
      <c r="B37" s="3780" t="s">
        <v>2632</v>
      </c>
      <c r="C37" s="3107" t="s">
        <v>2472</v>
      </c>
      <c r="D37" s="3108"/>
      <c r="E37" s="3109">
        <v>0.6</v>
      </c>
      <c r="F37" s="3106" t="s">
        <v>2473</v>
      </c>
      <c r="G37" s="3106"/>
    </row>
    <row r="38" spans="1:7" ht="19.5" customHeight="1">
      <c r="A38" s="3778"/>
      <c r="B38" s="3775"/>
      <c r="C38" s="3107" t="s">
        <v>2474</v>
      </c>
      <c r="D38" s="3108"/>
      <c r="E38" s="3109">
        <v>0.6</v>
      </c>
      <c r="F38" s="3106" t="s">
        <v>2475</v>
      </c>
      <c r="G38" s="3106"/>
    </row>
    <row r="39" spans="1:7" ht="19.5" customHeight="1" thickBot="1">
      <c r="A39" s="3779"/>
      <c r="B39" s="3776"/>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1" t="s">
        <v>2610</v>
      </c>
      <c r="B41" s="3774" t="s">
        <v>2634</v>
      </c>
      <c r="C41" s="3103" t="s">
        <v>2479</v>
      </c>
      <c r="D41" s="3104"/>
      <c r="E41" s="3105">
        <v>1</v>
      </c>
      <c r="F41" s="3106" t="s">
        <v>2480</v>
      </c>
      <c r="G41" s="3106"/>
    </row>
    <row r="42" spans="1:7" ht="19.5" customHeight="1">
      <c r="A42" s="3782"/>
      <c r="B42" s="3775"/>
      <c r="C42" s="3107" t="s">
        <v>2481</v>
      </c>
      <c r="D42" s="3108"/>
      <c r="E42" s="3109">
        <v>1</v>
      </c>
      <c r="F42" s="3106" t="s">
        <v>2482</v>
      </c>
      <c r="G42" s="3106"/>
    </row>
    <row r="43" spans="1:7" ht="19.5" customHeight="1">
      <c r="A43" s="3782"/>
      <c r="B43" s="3784"/>
      <c r="C43" s="3107" t="s">
        <v>2483</v>
      </c>
      <c r="D43" s="3108"/>
      <c r="E43" s="3109">
        <v>1.5</v>
      </c>
      <c r="F43" s="3106" t="s">
        <v>2484</v>
      </c>
      <c r="G43" s="3106"/>
    </row>
    <row r="44" spans="1:7" ht="19.5" customHeight="1">
      <c r="A44" s="3782"/>
      <c r="B44" s="3118" t="s">
        <v>2635</v>
      </c>
      <c r="C44" s="3107" t="s">
        <v>2636</v>
      </c>
      <c r="D44" s="3108"/>
      <c r="E44" s="3109">
        <v>2</v>
      </c>
      <c r="F44" s="3106" t="s">
        <v>2485</v>
      </c>
      <c r="G44" s="3106"/>
    </row>
    <row r="45" spans="1:7" ht="19.5" customHeight="1">
      <c r="A45" s="3782"/>
      <c r="B45" s="3780" t="s">
        <v>2637</v>
      </c>
      <c r="C45" s="3107" t="s">
        <v>2486</v>
      </c>
      <c r="D45" s="3108"/>
      <c r="E45" s="3109">
        <v>1</v>
      </c>
      <c r="F45" s="3106" t="s">
        <v>2487</v>
      </c>
      <c r="G45" s="3106"/>
    </row>
    <row r="46" spans="1:7" ht="19.5" customHeight="1">
      <c r="A46" s="3782"/>
      <c r="B46" s="3775"/>
      <c r="C46" s="3107" t="s">
        <v>2488</v>
      </c>
      <c r="D46" s="3108"/>
      <c r="E46" s="3109">
        <v>1</v>
      </c>
      <c r="F46" s="3106" t="s">
        <v>2489</v>
      </c>
      <c r="G46" s="3106"/>
    </row>
    <row r="47" spans="1:7" ht="19.5" customHeight="1">
      <c r="A47" s="3782"/>
      <c r="B47" s="3775"/>
      <c r="C47" s="3107" t="s">
        <v>2490</v>
      </c>
      <c r="D47" s="3108"/>
      <c r="E47" s="3109">
        <v>1</v>
      </c>
      <c r="F47" s="3106" t="s">
        <v>2491</v>
      </c>
      <c r="G47" s="3106"/>
    </row>
    <row r="48" spans="1:7" ht="19.5" customHeight="1">
      <c r="A48" s="3782"/>
      <c r="B48" s="3775"/>
      <c r="C48" s="3107" t="s">
        <v>2492</v>
      </c>
      <c r="D48" s="3108"/>
      <c r="E48" s="3109">
        <v>1</v>
      </c>
      <c r="F48" s="3106" t="s">
        <v>2493</v>
      </c>
      <c r="G48" s="3106"/>
    </row>
    <row r="49" spans="1:7" ht="19.5" customHeight="1">
      <c r="A49" s="3782"/>
      <c r="B49" s="3775"/>
      <c r="C49" s="3107" t="s">
        <v>2494</v>
      </c>
      <c r="D49" s="3108"/>
      <c r="E49" s="3109">
        <v>1</v>
      </c>
      <c r="F49" s="3106" t="s">
        <v>2495</v>
      </c>
      <c r="G49" s="3106"/>
    </row>
    <row r="50" spans="1:7" ht="19.5" customHeight="1">
      <c r="A50" s="3782"/>
      <c r="B50" s="3775"/>
      <c r="C50" s="3107" t="s">
        <v>2496</v>
      </c>
      <c r="D50" s="3108"/>
      <c r="E50" s="3109">
        <v>1</v>
      </c>
      <c r="F50" s="3106" t="s">
        <v>2497</v>
      </c>
      <c r="G50" s="3106"/>
    </row>
    <row r="51" spans="1:7" ht="19.5" customHeight="1" thickBot="1">
      <c r="A51" s="3783"/>
      <c r="B51" s="3776"/>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80" t="s">
        <v>2651</v>
      </c>
      <c r="C73" s="3092" t="s">
        <v>2652</v>
      </c>
      <c r="D73" s="3092" t="s">
        <v>2653</v>
      </c>
      <c r="E73" s="3118">
        <v>0.2</v>
      </c>
      <c r="F73" s="3118">
        <v>25</v>
      </c>
    </row>
    <row r="74" spans="1:7" ht="24">
      <c r="A74" s="3118">
        <v>2</v>
      </c>
      <c r="B74" s="3775"/>
      <c r="C74" s="3092" t="s">
        <v>2654</v>
      </c>
      <c r="D74" s="3092" t="s">
        <v>2655</v>
      </c>
      <c r="E74" s="3118">
        <v>0.2</v>
      </c>
      <c r="F74" s="3118">
        <v>25</v>
      </c>
    </row>
    <row r="75" spans="1:7" ht="24">
      <c r="A75" s="3118">
        <v>3</v>
      </c>
      <c r="B75" s="3775"/>
      <c r="C75" s="3092" t="s">
        <v>2656</v>
      </c>
      <c r="D75" s="3092" t="s">
        <v>2657</v>
      </c>
      <c r="E75" s="3118">
        <v>0.2</v>
      </c>
      <c r="F75" s="3118">
        <v>25</v>
      </c>
    </row>
    <row r="76" spans="1:7" ht="13.5">
      <c r="A76" s="3118">
        <v>4</v>
      </c>
      <c r="B76" s="3775"/>
      <c r="C76" s="3092" t="s">
        <v>2658</v>
      </c>
      <c r="D76" s="3092" t="s">
        <v>2659</v>
      </c>
      <c r="E76" s="3118">
        <v>0.15</v>
      </c>
      <c r="F76" s="3118">
        <v>20</v>
      </c>
    </row>
    <row r="77" spans="1:7" ht="24">
      <c r="A77" s="3118">
        <v>5</v>
      </c>
      <c r="B77" s="3775"/>
      <c r="C77" s="3092" t="s">
        <v>2660</v>
      </c>
      <c r="D77" s="3092" t="s">
        <v>2661</v>
      </c>
      <c r="E77" s="3118">
        <v>0.15</v>
      </c>
      <c r="F77" s="3118">
        <v>20</v>
      </c>
    </row>
    <row r="78" spans="1:7" ht="24">
      <c r="A78" s="3118">
        <v>6</v>
      </c>
      <c r="B78" s="3775"/>
      <c r="C78" s="3092" t="s">
        <v>2662</v>
      </c>
      <c r="D78" s="3092" t="s">
        <v>2663</v>
      </c>
      <c r="E78" s="3118">
        <v>0.15</v>
      </c>
      <c r="F78" s="3118">
        <v>20</v>
      </c>
    </row>
    <row r="79" spans="1:7" ht="24">
      <c r="A79" s="3118">
        <v>7</v>
      </c>
      <c r="B79" s="3775"/>
      <c r="C79" s="3092" t="s">
        <v>2664</v>
      </c>
      <c r="D79" s="3092" t="s">
        <v>2665</v>
      </c>
      <c r="E79" s="3118">
        <v>0.15</v>
      </c>
      <c r="F79" s="3118">
        <v>20</v>
      </c>
    </row>
    <row r="80" spans="1:7" ht="24">
      <c r="A80" s="3118">
        <v>8</v>
      </c>
      <c r="B80" s="3775"/>
      <c r="C80" s="3092" t="s">
        <v>2666</v>
      </c>
      <c r="D80" s="3092" t="s">
        <v>2667</v>
      </c>
      <c r="E80" s="3118">
        <v>0.1</v>
      </c>
      <c r="F80" s="3118">
        <v>15</v>
      </c>
    </row>
    <row r="81" spans="1:6" ht="24">
      <c r="A81" s="3118">
        <v>9</v>
      </c>
      <c r="B81" s="3775"/>
      <c r="C81" s="3092" t="s">
        <v>2668</v>
      </c>
      <c r="D81" s="3092" t="s">
        <v>2669</v>
      </c>
      <c r="E81" s="3118">
        <v>0.1</v>
      </c>
      <c r="F81" s="3118">
        <v>15</v>
      </c>
    </row>
    <row r="82" spans="1:6" ht="24">
      <c r="A82" s="3118">
        <v>10</v>
      </c>
      <c r="B82" s="3775"/>
      <c r="C82" s="3092" t="s">
        <v>2670</v>
      </c>
      <c r="D82" s="3092" t="s">
        <v>2671</v>
      </c>
      <c r="E82" s="3118">
        <v>0.1</v>
      </c>
      <c r="F82" s="3118">
        <v>15</v>
      </c>
    </row>
    <row r="83" spans="1:6" ht="24">
      <c r="A83" s="3118">
        <v>11</v>
      </c>
      <c r="B83" s="3775"/>
      <c r="C83" s="3092" t="s">
        <v>2672</v>
      </c>
      <c r="D83" s="3092" t="s">
        <v>2673</v>
      </c>
      <c r="E83" s="3118">
        <v>0.1</v>
      </c>
      <c r="F83" s="3118">
        <v>15</v>
      </c>
    </row>
    <row r="84" spans="1:6" ht="24">
      <c r="A84" s="3118">
        <v>12</v>
      </c>
      <c r="B84" s="3775"/>
      <c r="C84" s="3092" t="s">
        <v>2674</v>
      </c>
      <c r="D84" s="3092" t="s">
        <v>2675</v>
      </c>
      <c r="E84" s="3118">
        <v>0.1</v>
      </c>
      <c r="F84" s="3118">
        <v>15</v>
      </c>
    </row>
    <row r="85" spans="1:6" ht="13.5">
      <c r="A85" s="3118">
        <v>13</v>
      </c>
      <c r="B85" s="3775"/>
      <c r="C85" s="3092" t="s">
        <v>2676</v>
      </c>
      <c r="D85" s="3092" t="s">
        <v>2677</v>
      </c>
      <c r="E85" s="3118">
        <v>0.1</v>
      </c>
      <c r="F85" s="3118">
        <v>15</v>
      </c>
    </row>
    <row r="86" spans="1:6" ht="13.5">
      <c r="A86" s="3118">
        <v>14</v>
      </c>
      <c r="B86" s="3775"/>
      <c r="C86" s="3092" t="s">
        <v>2678</v>
      </c>
      <c r="D86" s="3092" t="s">
        <v>2679</v>
      </c>
      <c r="E86" s="3118">
        <v>0.1</v>
      </c>
      <c r="F86" s="3118">
        <v>15</v>
      </c>
    </row>
    <row r="87" spans="1:6" ht="13.5">
      <c r="A87" s="3118">
        <v>15</v>
      </c>
      <c r="B87" s="3775"/>
      <c r="C87" s="3092" t="s">
        <v>2680</v>
      </c>
      <c r="D87" s="3092" t="s">
        <v>2681</v>
      </c>
      <c r="E87" s="3118">
        <v>0.1</v>
      </c>
      <c r="F87" s="3118">
        <v>15</v>
      </c>
    </row>
    <row r="88" spans="1:6" ht="24">
      <c r="A88" s="3118">
        <v>16</v>
      </c>
      <c r="B88" s="3775"/>
      <c r="C88" s="3092" t="s">
        <v>2682</v>
      </c>
      <c r="D88" s="3092" t="s">
        <v>2683</v>
      </c>
      <c r="E88" s="3118">
        <v>0.1</v>
      </c>
      <c r="F88" s="3118">
        <v>15</v>
      </c>
    </row>
    <row r="89" spans="1:6" ht="24">
      <c r="A89" s="3118">
        <v>17</v>
      </c>
      <c r="B89" s="3784"/>
      <c r="C89" s="3092" t="s">
        <v>2684</v>
      </c>
      <c r="D89" s="3092" t="s">
        <v>2685</v>
      </c>
      <c r="E89" s="3118">
        <v>0.1</v>
      </c>
      <c r="F89" s="3118">
        <v>15</v>
      </c>
    </row>
    <row r="90" spans="1:6" ht="13.5">
      <c r="A90" s="3118">
        <v>18</v>
      </c>
      <c r="B90" s="3780" t="s">
        <v>2686</v>
      </c>
      <c r="C90" s="3092" t="s">
        <v>2687</v>
      </c>
      <c r="D90" s="3092" t="s">
        <v>2688</v>
      </c>
      <c r="E90" s="3118">
        <v>0.2</v>
      </c>
      <c r="F90" s="3118">
        <v>25</v>
      </c>
    </row>
    <row r="91" spans="1:6" ht="24">
      <c r="A91" s="3118">
        <v>19</v>
      </c>
      <c r="B91" s="3775"/>
      <c r="C91" s="3092" t="s">
        <v>2689</v>
      </c>
      <c r="D91" s="3092" t="s">
        <v>2690</v>
      </c>
      <c r="E91" s="3118">
        <v>0.2</v>
      </c>
      <c r="F91" s="3118">
        <v>25</v>
      </c>
    </row>
    <row r="92" spans="1:6" ht="13.5">
      <c r="A92" s="3118">
        <v>20</v>
      </c>
      <c r="B92" s="3775"/>
      <c r="C92" s="3092" t="s">
        <v>2691</v>
      </c>
      <c r="D92" s="3092" t="s">
        <v>2692</v>
      </c>
      <c r="E92" s="3118">
        <v>0.15</v>
      </c>
      <c r="F92" s="3118">
        <v>20</v>
      </c>
    </row>
    <row r="93" spans="1:6" ht="13.5">
      <c r="A93" s="3118">
        <v>21</v>
      </c>
      <c r="B93" s="3775"/>
      <c r="C93" s="3092" t="s">
        <v>2693</v>
      </c>
      <c r="D93" s="3092" t="s">
        <v>2694</v>
      </c>
      <c r="E93" s="3118">
        <v>0.15</v>
      </c>
      <c r="F93" s="3118">
        <v>20</v>
      </c>
    </row>
    <row r="94" spans="1:6" ht="13.5">
      <c r="A94" s="3118">
        <v>22</v>
      </c>
      <c r="B94" s="3775"/>
      <c r="C94" s="3092" t="s">
        <v>2695</v>
      </c>
      <c r="D94" s="3092" t="s">
        <v>2696</v>
      </c>
      <c r="E94" s="3118">
        <v>0.15</v>
      </c>
      <c r="F94" s="3118">
        <v>20</v>
      </c>
    </row>
    <row r="95" spans="1:6" ht="36">
      <c r="A95" s="3118">
        <v>23</v>
      </c>
      <c r="B95" s="3775"/>
      <c r="C95" s="3092" t="s">
        <v>2697</v>
      </c>
      <c r="D95" s="3092" t="s">
        <v>2698</v>
      </c>
      <c r="E95" s="3118">
        <v>0.15</v>
      </c>
      <c r="F95" s="3118">
        <v>20</v>
      </c>
    </row>
    <row r="96" spans="1:6" ht="13.5">
      <c r="A96" s="3118">
        <v>24</v>
      </c>
      <c r="B96" s="3775"/>
      <c r="C96" s="3092" t="s">
        <v>2699</v>
      </c>
      <c r="D96" s="3092" t="s">
        <v>2700</v>
      </c>
      <c r="E96" s="3118">
        <v>0.1</v>
      </c>
      <c r="F96" s="3118">
        <v>15</v>
      </c>
    </row>
    <row r="97" spans="1:6" ht="13.5">
      <c r="A97" s="3118">
        <v>25</v>
      </c>
      <c r="B97" s="3775"/>
      <c r="C97" s="3092" t="s">
        <v>2701</v>
      </c>
      <c r="D97" s="3092" t="s">
        <v>2702</v>
      </c>
      <c r="E97" s="3118">
        <v>0.1</v>
      </c>
      <c r="F97" s="3118">
        <v>15</v>
      </c>
    </row>
    <row r="98" spans="1:6" ht="24">
      <c r="A98" s="3118">
        <v>26</v>
      </c>
      <c r="B98" s="3775"/>
      <c r="C98" s="3092" t="s">
        <v>2703</v>
      </c>
      <c r="D98" s="3092" t="s">
        <v>2704</v>
      </c>
      <c r="E98" s="3118">
        <v>0.1</v>
      </c>
      <c r="F98" s="3118">
        <v>15</v>
      </c>
    </row>
    <row r="99" spans="1:6" ht="24">
      <c r="A99" s="3118">
        <v>27</v>
      </c>
      <c r="B99" s="3775"/>
      <c r="C99" s="3092" t="s">
        <v>2705</v>
      </c>
      <c r="D99" s="3092" t="s">
        <v>2706</v>
      </c>
      <c r="E99" s="3118">
        <v>0.1</v>
      </c>
      <c r="F99" s="3118">
        <v>15</v>
      </c>
    </row>
    <row r="100" spans="1:6" ht="13.5">
      <c r="A100" s="3118">
        <v>28</v>
      </c>
      <c r="B100" s="3775"/>
      <c r="C100" s="3092" t="s">
        <v>2707</v>
      </c>
      <c r="D100" s="3092" t="s">
        <v>2708</v>
      </c>
      <c r="E100" s="3118">
        <v>0.1</v>
      </c>
      <c r="F100" s="3118">
        <v>15</v>
      </c>
    </row>
    <row r="101" spans="1:6" ht="13.5">
      <c r="A101" s="3118">
        <v>29</v>
      </c>
      <c r="B101" s="3775"/>
      <c r="C101" s="3092" t="s">
        <v>2709</v>
      </c>
      <c r="D101" s="3092" t="s">
        <v>2710</v>
      </c>
      <c r="E101" s="3118">
        <v>0.1</v>
      </c>
      <c r="F101" s="3118">
        <v>15</v>
      </c>
    </row>
    <row r="102" spans="1:6" ht="13.5">
      <c r="A102" s="3118">
        <v>30</v>
      </c>
      <c r="B102" s="3775"/>
      <c r="C102" s="3092" t="s">
        <v>2711</v>
      </c>
      <c r="D102" s="3092" t="s">
        <v>2712</v>
      </c>
      <c r="E102" s="3118">
        <v>0.1</v>
      </c>
      <c r="F102" s="3118">
        <v>15</v>
      </c>
    </row>
    <row r="103" spans="1:6" ht="24">
      <c r="A103" s="3118">
        <v>31</v>
      </c>
      <c r="B103" s="3775"/>
      <c r="C103" s="3092" t="s">
        <v>2713</v>
      </c>
      <c r="D103" s="3092" t="s">
        <v>2714</v>
      </c>
      <c r="E103" s="3118">
        <v>0.1</v>
      </c>
      <c r="F103" s="3118">
        <v>15</v>
      </c>
    </row>
    <row r="104" spans="1:6" ht="24">
      <c r="A104" s="3118">
        <v>32</v>
      </c>
      <c r="B104" s="3775"/>
      <c r="C104" s="3092" t="s">
        <v>2715</v>
      </c>
      <c r="D104" s="3092" t="s">
        <v>2716</v>
      </c>
      <c r="E104" s="3118">
        <v>0.1</v>
      </c>
      <c r="F104" s="3118">
        <v>15</v>
      </c>
    </row>
    <row r="105" spans="1:6" ht="24">
      <c r="A105" s="3118">
        <v>33</v>
      </c>
      <c r="B105" s="3775"/>
      <c r="C105" s="3092" t="s">
        <v>2717</v>
      </c>
      <c r="D105" s="3092" t="s">
        <v>2718</v>
      </c>
      <c r="E105" s="3118">
        <v>0.1</v>
      </c>
      <c r="F105" s="3118">
        <v>15</v>
      </c>
    </row>
    <row r="106" spans="1:6" ht="24">
      <c r="A106" s="3118">
        <v>34</v>
      </c>
      <c r="B106" s="3784"/>
      <c r="C106" s="3092" t="s">
        <v>2719</v>
      </c>
      <c r="D106" s="3092" t="s">
        <v>2720</v>
      </c>
      <c r="E106" s="3118">
        <v>0.1</v>
      </c>
      <c r="F106" s="3118">
        <v>15</v>
      </c>
    </row>
    <row r="107" spans="1:6" ht="24">
      <c r="A107" s="3118">
        <v>35</v>
      </c>
      <c r="B107" s="3780" t="s">
        <v>2721</v>
      </c>
      <c r="C107" s="3118" t="s">
        <v>2722</v>
      </c>
      <c r="D107" s="3092" t="s">
        <v>2723</v>
      </c>
      <c r="E107" s="3118">
        <v>0.15</v>
      </c>
      <c r="F107" s="3118">
        <v>20</v>
      </c>
    </row>
    <row r="108" spans="1:6" ht="13.5">
      <c r="A108" s="3118">
        <v>36</v>
      </c>
      <c r="B108" s="3775"/>
      <c r="C108" s="3118" t="s">
        <v>2724</v>
      </c>
      <c r="D108" s="3092" t="s">
        <v>2725</v>
      </c>
      <c r="E108" s="3118">
        <v>0.15</v>
      </c>
      <c r="F108" s="3118">
        <v>20</v>
      </c>
    </row>
    <row r="109" spans="1:6" ht="13.5">
      <c r="A109" s="3118">
        <v>37</v>
      </c>
      <c r="B109" s="3775"/>
      <c r="C109" s="3118" t="s">
        <v>2726</v>
      </c>
      <c r="D109" s="3092" t="s">
        <v>2727</v>
      </c>
      <c r="E109" s="3118">
        <v>0.15</v>
      </c>
      <c r="F109" s="3118">
        <v>20</v>
      </c>
    </row>
    <row r="110" spans="1:6" ht="13.5">
      <c r="A110" s="3118">
        <v>38</v>
      </c>
      <c r="B110" s="3775"/>
      <c r="C110" s="3118" t="s">
        <v>2728</v>
      </c>
      <c r="D110" s="3092" t="s">
        <v>2729</v>
      </c>
      <c r="E110" s="3118">
        <v>0.1</v>
      </c>
      <c r="F110" s="3118">
        <v>15</v>
      </c>
    </row>
    <row r="111" spans="1:6" ht="24">
      <c r="A111" s="3118">
        <v>39</v>
      </c>
      <c r="B111" s="3775"/>
      <c r="C111" s="3118" t="s">
        <v>2730</v>
      </c>
      <c r="D111" s="3092" t="s">
        <v>2731</v>
      </c>
      <c r="E111" s="3118">
        <v>0.1</v>
      </c>
      <c r="F111" s="3118">
        <v>15</v>
      </c>
    </row>
    <row r="112" spans="1:6" ht="24">
      <c r="A112" s="3118">
        <v>40</v>
      </c>
      <c r="B112" s="3784"/>
      <c r="C112" s="3118" t="s">
        <v>2732</v>
      </c>
      <c r="D112" s="3092" t="s">
        <v>2733</v>
      </c>
      <c r="E112" s="3118">
        <v>0.1</v>
      </c>
      <c r="F112" s="3118">
        <v>15</v>
      </c>
    </row>
    <row r="113" spans="1:6" ht="13.5">
      <c r="A113" s="3118">
        <v>41</v>
      </c>
      <c r="B113" s="3785" t="s">
        <v>2734</v>
      </c>
      <c r="C113" s="3118" t="s">
        <v>2735</v>
      </c>
      <c r="D113" s="3092" t="s">
        <v>2736</v>
      </c>
      <c r="E113" s="3118">
        <v>0.1</v>
      </c>
      <c r="F113" s="3118">
        <v>15</v>
      </c>
    </row>
    <row r="114" spans="1:6" ht="13.5">
      <c r="A114" s="3118">
        <v>42</v>
      </c>
      <c r="B114" s="3785"/>
      <c r="C114" s="3118" t="s">
        <v>2737</v>
      </c>
      <c r="D114" s="3092" t="s">
        <v>2738</v>
      </c>
      <c r="E114" s="3118">
        <v>0.1</v>
      </c>
      <c r="F114" s="3118">
        <v>15</v>
      </c>
    </row>
    <row r="115" spans="1:6" ht="24">
      <c r="A115" s="3118">
        <v>43</v>
      </c>
      <c r="B115" s="3785"/>
      <c r="C115" s="3118" t="s">
        <v>2739</v>
      </c>
      <c r="D115" s="3092" t="s">
        <v>2740</v>
      </c>
      <c r="E115" s="3118">
        <v>0.1</v>
      </c>
      <c r="F115" s="3118">
        <v>15</v>
      </c>
    </row>
    <row r="116" spans="1:6" ht="13.5">
      <c r="A116" s="3118">
        <v>44</v>
      </c>
      <c r="B116" s="3780" t="s">
        <v>2741</v>
      </c>
      <c r="C116" s="3118" t="s">
        <v>2742</v>
      </c>
      <c r="D116" s="3092" t="s">
        <v>2743</v>
      </c>
      <c r="E116" s="3118">
        <v>0.1</v>
      </c>
      <c r="F116" s="3118">
        <v>15</v>
      </c>
    </row>
    <row r="117" spans="1:6" ht="24">
      <c r="A117" s="3118">
        <v>45</v>
      </c>
      <c r="B117" s="3784"/>
      <c r="C117" s="3092" t="s">
        <v>2744</v>
      </c>
      <c r="D117" s="3092" t="s">
        <v>2745</v>
      </c>
      <c r="E117" s="3118">
        <v>0.1</v>
      </c>
      <c r="F117" s="3118">
        <v>15</v>
      </c>
    </row>
    <row r="118" spans="1:6" ht="24">
      <c r="A118" s="3118">
        <v>46</v>
      </c>
      <c r="B118" s="3780" t="s">
        <v>2746</v>
      </c>
      <c r="C118" s="3118" t="s">
        <v>2747</v>
      </c>
      <c r="D118" s="3092" t="s">
        <v>2748</v>
      </c>
      <c r="E118" s="3118">
        <v>0.1</v>
      </c>
      <c r="F118" s="3118">
        <v>15</v>
      </c>
    </row>
    <row r="119" spans="1:6" ht="24">
      <c r="A119" s="3118">
        <v>47</v>
      </c>
      <c r="B119" s="3784"/>
      <c r="C119" s="3118" t="s">
        <v>2749</v>
      </c>
      <c r="D119" s="3092" t="s">
        <v>2750</v>
      </c>
      <c r="E119" s="3118">
        <v>0.1</v>
      </c>
      <c r="F119" s="3118">
        <v>15</v>
      </c>
    </row>
    <row r="120" spans="1:6" ht="13.5">
      <c r="A120" s="3118">
        <v>48</v>
      </c>
      <c r="B120" s="3780" t="s">
        <v>2751</v>
      </c>
      <c r="C120" s="3118" t="s">
        <v>2752</v>
      </c>
      <c r="D120" s="3092" t="s">
        <v>2753</v>
      </c>
      <c r="E120" s="3118">
        <v>0.1</v>
      </c>
      <c r="F120" s="3118">
        <v>15</v>
      </c>
    </row>
    <row r="121" spans="1:6" ht="13.5">
      <c r="A121" s="3118">
        <v>49</v>
      </c>
      <c r="B121" s="3784"/>
      <c r="C121" s="3118" t="s">
        <v>2754</v>
      </c>
      <c r="D121" s="3092" t="s">
        <v>2755</v>
      </c>
      <c r="E121" s="3118">
        <v>0.1</v>
      </c>
      <c r="F121" s="3118">
        <v>15</v>
      </c>
    </row>
    <row r="122" spans="1:6" ht="24">
      <c r="A122" s="3118">
        <v>50</v>
      </c>
      <c r="B122" s="3785" t="s">
        <v>2756</v>
      </c>
      <c r="C122" s="3118" t="s">
        <v>2757</v>
      </c>
      <c r="D122" s="3092" t="s">
        <v>2758</v>
      </c>
      <c r="E122" s="3118">
        <v>0.1</v>
      </c>
      <c r="F122" s="3118">
        <v>15</v>
      </c>
    </row>
    <row r="123" spans="1:6" ht="24">
      <c r="A123" s="3118">
        <v>51</v>
      </c>
      <c r="B123" s="3785"/>
      <c r="C123" s="3118" t="s">
        <v>2759</v>
      </c>
      <c r="D123" s="3092" t="s">
        <v>2760</v>
      </c>
      <c r="E123" s="3118">
        <v>0.1</v>
      </c>
      <c r="F123" s="3118">
        <v>15</v>
      </c>
    </row>
    <row r="124" spans="1:6" ht="24">
      <c r="A124" s="3118">
        <v>52</v>
      </c>
      <c r="B124" s="3785" t="s">
        <v>2761</v>
      </c>
      <c r="C124" s="3118" t="s">
        <v>2762</v>
      </c>
      <c r="D124" s="3092" t="s">
        <v>2763</v>
      </c>
      <c r="E124" s="3118">
        <v>0.1</v>
      </c>
      <c r="F124" s="3118">
        <v>15</v>
      </c>
    </row>
    <row r="125" spans="1:6" ht="24">
      <c r="A125" s="3118">
        <v>53</v>
      </c>
      <c r="B125" s="3785"/>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85" t="s">
        <v>2769</v>
      </c>
      <c r="C127" s="3118" t="s">
        <v>2770</v>
      </c>
      <c r="D127" s="3092" t="s">
        <v>2771</v>
      </c>
      <c r="E127" s="3118">
        <v>0.1</v>
      </c>
      <c r="F127" s="3118">
        <v>15</v>
      </c>
    </row>
    <row r="128" spans="1:6" ht="13.5">
      <c r="A128" s="3118">
        <v>56</v>
      </c>
      <c r="B128" s="3785"/>
      <c r="C128" s="3118" t="s">
        <v>2772</v>
      </c>
      <c r="D128" s="3092" t="s">
        <v>2773</v>
      </c>
      <c r="E128" s="3118">
        <v>0.1</v>
      </c>
      <c r="F128" s="3118">
        <v>15</v>
      </c>
    </row>
    <row r="129" spans="1:6" ht="24">
      <c r="A129" s="3118">
        <v>57</v>
      </c>
      <c r="B129" s="3785"/>
      <c r="C129" s="3118" t="s">
        <v>2774</v>
      </c>
      <c r="D129" s="3092" t="s">
        <v>2775</v>
      </c>
      <c r="E129" s="3118">
        <v>0.1</v>
      </c>
      <c r="F129" s="3118">
        <v>15</v>
      </c>
    </row>
    <row r="130" spans="1:6" ht="24">
      <c r="A130" s="3118">
        <v>58</v>
      </c>
      <c r="B130" s="3785" t="s">
        <v>2776</v>
      </c>
      <c r="C130" s="3118" t="s">
        <v>2777</v>
      </c>
      <c r="D130" s="3092" t="s">
        <v>2778</v>
      </c>
      <c r="E130" s="3118">
        <v>0.1</v>
      </c>
      <c r="F130" s="3118">
        <v>15</v>
      </c>
    </row>
    <row r="131" spans="1:6" ht="13.5">
      <c r="A131" s="3118">
        <v>59</v>
      </c>
      <c r="B131" s="3785"/>
      <c r="C131" s="3118" t="s">
        <v>2779</v>
      </c>
      <c r="D131" s="3092" t="s">
        <v>2780</v>
      </c>
      <c r="E131" s="3118">
        <v>0.1</v>
      </c>
      <c r="F131" s="3118">
        <v>15</v>
      </c>
    </row>
    <row r="132" spans="1:6" ht="13.5">
      <c r="A132" s="3118">
        <v>60</v>
      </c>
      <c r="B132" s="3780" t="s">
        <v>2781</v>
      </c>
      <c r="C132" s="3118" t="s">
        <v>2782</v>
      </c>
      <c r="D132" s="3092" t="s">
        <v>2783</v>
      </c>
      <c r="E132" s="3118">
        <v>0.1</v>
      </c>
      <c r="F132" s="3118">
        <v>15</v>
      </c>
    </row>
    <row r="133" spans="1:6" ht="13.5">
      <c r="A133" s="3118">
        <v>61</v>
      </c>
      <c r="B133" s="3784"/>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85" t="s">
        <v>2789</v>
      </c>
      <c r="C135" s="3118" t="s">
        <v>2790</v>
      </c>
      <c r="D135" s="3092" t="s">
        <v>2791</v>
      </c>
      <c r="E135" s="3118">
        <v>0.1</v>
      </c>
      <c r="F135" s="3118">
        <v>15</v>
      </c>
    </row>
    <row r="136" spans="1:6" ht="13.5">
      <c r="A136" s="3118">
        <v>64</v>
      </c>
      <c r="B136" s="3785"/>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237.74</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237.74</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237.74</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0" t="s">
        <v>94</v>
      </c>
    </row>
    <row r="43" spans="1:7" ht="13.5" customHeight="1">
      <c r="A43" s="780" t="s">
        <v>347</v>
      </c>
      <c r="B43" s="215" t="s">
        <v>426</v>
      </c>
      <c r="C43" s="238" t="e">
        <f ca="1">ROUND(IF('数据-取费表'!B22&lt;=1,C39*F22*'数据-取费表'!B21/2,C39*(POWER((1+F22),'数据-取费表'!B21/2)-1)),0)</f>
        <v>#VALUE!</v>
      </c>
      <c r="D43" s="238"/>
      <c r="E43" s="238"/>
      <c r="F43" s="239"/>
      <c r="G43" s="3651"/>
    </row>
    <row r="44" spans="1:7" ht="13.5" customHeight="1">
      <c r="A44" s="780" t="s">
        <v>348</v>
      </c>
      <c r="B44" s="215" t="s">
        <v>428</v>
      </c>
      <c r="C44" s="238" t="e">
        <f ca="1">ROUND(IF('数据-取费表'!B22&lt;=1,C40*F22*'数据-取费表'!B21/2,C40*(POWER((1+F22),'数据-取费表'!B21/2)-1)),4)</f>
        <v>#VALUE!</v>
      </c>
      <c r="D44" s="238"/>
      <c r="E44" s="238"/>
      <c r="F44" s="239"/>
      <c r="G44" s="3652"/>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t="e">
        <f ca="1">结果表!H101</f>
        <v>#REF!</v>
      </c>
      <c r="E5" s="1491"/>
    </row>
    <row r="6" spans="1:5" ht="15.75">
      <c r="A6" s="1491"/>
      <c r="B6" s="3469"/>
      <c r="C6" s="1494" t="s">
        <v>911</v>
      </c>
      <c r="D6" s="850" t="e">
        <f ca="1">NUMBERSTRING(INT(D5*10000),2)&amp;"元整"</f>
        <v>#REF!</v>
      </c>
      <c r="E6" s="1491"/>
    </row>
    <row r="7" spans="1:5" ht="15.75">
      <c r="A7" s="1491"/>
      <c r="B7" s="3474"/>
      <c r="C7" s="1495" t="s">
        <v>912</v>
      </c>
      <c r="D7" s="851" t="e">
        <f ca="1">结果表!H102</f>
        <v>#REF!</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t="e">
        <f ca="1">结果表!H107</f>
        <v>#REF!</v>
      </c>
      <c r="E13" s="1491"/>
    </row>
    <row r="14" spans="1:5" ht="15.75">
      <c r="A14" s="1491"/>
      <c r="B14" s="3469"/>
      <c r="C14" s="1494" t="s">
        <v>911</v>
      </c>
      <c r="D14" s="850" t="e">
        <f ca="1">NUMBERSTRING(INT(D13*10000),2)&amp;"元整"</f>
        <v>#REF!</v>
      </c>
      <c r="E14" s="1491"/>
    </row>
    <row r="15" spans="1:5" ht="15">
      <c r="A15" s="1491"/>
      <c r="B15" s="3474"/>
      <c r="C15" s="1495" t="s">
        <v>921</v>
      </c>
      <c r="D15" s="859" t="e">
        <f ca="1">结果表!H108</f>
        <v>#REF!</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3181</v>
      </c>
      <c r="B1" s="3786"/>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7" t="s">
        <v>3232</v>
      </c>
      <c r="B1" s="3787"/>
      <c r="C1" s="3787"/>
      <c r="D1" s="3787"/>
      <c r="E1" s="3787"/>
      <c r="F1" s="3788"/>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D1" zoomScale="90" zoomScaleNormal="90" workbookViewId="0">
      <selection activeCell="AJ30" sqref="AJ30"/>
    </sheetView>
  </sheetViews>
  <sheetFormatPr defaultRowHeight="13.5"/>
  <cols>
    <col min="1" max="1" width="13.875" customWidth="1"/>
    <col min="11" max="17" width="0" hidden="1" customWidth="1"/>
    <col min="25" max="30" width="0" hidden="1" customWidth="1"/>
  </cols>
  <sheetData>
    <row r="1" spans="1:44">
      <c r="A1" s="3221">
        <f>基准地价修正!G23</f>
        <v>45749</v>
      </c>
      <c r="B1" s="3210" t="s">
        <v>3380</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3408</v>
      </c>
      <c r="AG2" t="s">
        <v>673</v>
      </c>
      <c r="AH2" t="s">
        <v>21</v>
      </c>
      <c r="AI2" t="s">
        <v>3409</v>
      </c>
      <c r="AJ2" t="s">
        <v>3</v>
      </c>
      <c r="AK2" t="s">
        <v>3410</v>
      </c>
      <c r="AM2" t="s">
        <v>3408</v>
      </c>
      <c r="AN2" t="s">
        <v>673</v>
      </c>
      <c r="AO2" t="s">
        <v>21</v>
      </c>
      <c r="AP2" t="s">
        <v>3409</v>
      </c>
      <c r="AQ2" t="s">
        <v>3</v>
      </c>
      <c r="AR2" t="s">
        <v>3410</v>
      </c>
    </row>
    <row r="3" spans="1:44" s="3161" customFormat="1" ht="12.75">
      <c r="A3" s="3149" t="s">
        <v>2819</v>
      </c>
      <c r="B3" s="3150"/>
      <c r="C3" s="3151"/>
      <c r="D3" s="3151">
        <f>ROUND(AVERAGEIF(D4:D24,"&lt;&gt;0"),2)</f>
        <v>0.38</v>
      </c>
      <c r="E3" s="3151">
        <f t="shared" ref="E3:H3" si="0">ROUND(AVERAGEIF(E4:E24,"&lt;&gt;0"),2)</f>
        <v>0.26</v>
      </c>
      <c r="F3" s="3151">
        <f t="shared" si="0"/>
        <v>-0.01</v>
      </c>
      <c r="G3" s="3151">
        <f t="shared" si="0"/>
        <v>0.41</v>
      </c>
      <c r="H3" s="3151">
        <f t="shared" si="0"/>
        <v>0.52</v>
      </c>
      <c r="I3" s="3151">
        <f>F3</f>
        <v>-0.01</v>
      </c>
      <c r="J3" s="3152"/>
      <c r="K3" s="3153">
        <f>ROUND(AVERAGEIF(K4:K24,"&lt;&gt;0"),4)</f>
        <v>3.8E-3</v>
      </c>
      <c r="L3" s="3154">
        <f t="shared" ref="L3:O3" si="1">ROUND(AVERAGEIF(L4:L24,"&lt;&gt;0"),4)</f>
        <v>2.5999999999999999E-3</v>
      </c>
      <c r="M3" s="3154">
        <f t="shared" si="1"/>
        <v>-1E-4</v>
      </c>
      <c r="N3" s="3154">
        <f t="shared" si="1"/>
        <v>4.1000000000000003E-3</v>
      </c>
      <c r="O3" s="3154">
        <f t="shared" si="1"/>
        <v>5.1999999999999998E-3</v>
      </c>
      <c r="P3" s="3154">
        <f>M3</f>
        <v>-1E-4</v>
      </c>
      <c r="Q3" s="3152"/>
      <c r="R3" s="3155">
        <f>ROUND(SUMPRODUCT(PRODUCT(1+K4:K24)),4)</f>
        <v>1.0613999999999999</v>
      </c>
      <c r="S3" s="3156">
        <f t="shared" ref="S3:V3" si="2">ROUND(SUMPRODUCT(PRODUCT(1+L4:L24)),4)</f>
        <v>1.0415000000000001</v>
      </c>
      <c r="T3" s="3156">
        <f t="shared" si="2"/>
        <v>0.99780000000000002</v>
      </c>
      <c r="U3" s="3156">
        <f t="shared" si="2"/>
        <v>1.0678000000000001</v>
      </c>
      <c r="V3" s="3156">
        <f t="shared" si="2"/>
        <v>1.0866</v>
      </c>
      <c r="W3" s="3155">
        <f>T3</f>
        <v>0.99780000000000002</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3407</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1.0511999999999999</v>
      </c>
      <c r="S5" s="3183">
        <f>ROUND(IF(项目基本情况!$B$8="出让",SUMPRODUCT(PRODUCT(1+L5:$L$24)),SUMPRODUCT(PRODUCT(1+L5:$L$23))),4)</f>
        <v>1.0398000000000001</v>
      </c>
      <c r="T5" s="3183">
        <f>ROUND(IF(项目基本情况!$B$8="出让",SUMPRODUCT(PRODUCT(1+M5:$M$24)),SUMPRODUCT(PRODUCT(1+M5:$M$23))),4)</f>
        <v>1.0003</v>
      </c>
      <c r="U5" s="3183">
        <f>ROUND(IF(项目基本情况!$B$8="出让",SUMPRODUCT(PRODUCT(1+N5:$N$24)),SUMPRODUCT(PRODUCT(1+N5:$N$23))),4)</f>
        <v>1.0561</v>
      </c>
      <c r="V5" s="3183">
        <f>ROUND(IF(项目基本情况!$B$8="出让",SUMPRODUCT(PRODUCT(1+O5:$O$24)),SUMPRODUCT(PRODUCT(1+O5:$O$23))),4)</f>
        <v>1.0827</v>
      </c>
      <c r="W5" s="3183">
        <f t="shared" ref="W5:W11" si="11">T5</f>
        <v>1.0003</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105.11999999999999</v>
      </c>
      <c r="AG5" s="3458">
        <f t="shared" ref="AG5:AK5" si="18">$AF$24*S5</f>
        <v>103.98</v>
      </c>
      <c r="AH5" s="3458">
        <f t="shared" si="18"/>
        <v>100.03</v>
      </c>
      <c r="AI5" s="3458">
        <f t="shared" si="18"/>
        <v>105.61</v>
      </c>
      <c r="AJ5" s="3458">
        <f t="shared" si="18"/>
        <v>108.27</v>
      </c>
      <c r="AK5" s="3458">
        <f t="shared" si="18"/>
        <v>100.03</v>
      </c>
      <c r="AM5" s="3464">
        <v>100</v>
      </c>
      <c r="AN5" s="3464">
        <v>100</v>
      </c>
      <c r="AO5" s="3464">
        <v>100</v>
      </c>
      <c r="AP5" s="3464">
        <v>100</v>
      </c>
      <c r="AQ5" s="3464">
        <v>100</v>
      </c>
      <c r="AR5" s="3464">
        <v>100</v>
      </c>
    </row>
    <row r="6" spans="1:44" s="3185" customFormat="1" ht="12.75">
      <c r="A6" s="2205" t="s">
        <v>3406</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1.0511999999999999</v>
      </c>
      <c r="S6" s="3183">
        <f>ROUND(IF(项目基本情况!$B$8="出让",SUMPRODUCT(PRODUCT(1+L6:$L$24)),SUMPRODUCT(PRODUCT(1+L6:$L$23))),4)</f>
        <v>1.0398000000000001</v>
      </c>
      <c r="T6" s="3183">
        <f>ROUND(IF(项目基本情况!$B$8="出让",SUMPRODUCT(PRODUCT(1+M6:$M$24)),SUMPRODUCT(PRODUCT(1+M6:$M$23))),4)</f>
        <v>1.0003</v>
      </c>
      <c r="U6" s="3183">
        <f>ROUND(IF(项目基本情况!$B$8="出让",SUMPRODUCT(PRODUCT(1+N6:$N$24)),SUMPRODUCT(PRODUCT(1+N6:$N$23))),4)</f>
        <v>1.0561</v>
      </c>
      <c r="V6" s="3183">
        <f>ROUND(IF(项目基本情况!$B$8="出让",SUMPRODUCT(PRODUCT(1+O6:$O$24)),SUMPRODUCT(PRODUCT(1+O6:$O$23))),4)</f>
        <v>1.0827</v>
      </c>
      <c r="W6" s="3183">
        <f t="shared" si="11"/>
        <v>1.0003</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105.11999999999999</v>
      </c>
      <c r="AG6" s="3458">
        <f t="shared" ref="AG6:AG23" si="31">$AF$24*S6</f>
        <v>103.98</v>
      </c>
      <c r="AH6" s="3458">
        <f t="shared" ref="AH6:AH23" si="32">$AF$24*T6</f>
        <v>100.03</v>
      </c>
      <c r="AI6" s="3458">
        <f t="shared" ref="AI6:AI23" si="33">$AF$24*U6</f>
        <v>105.61</v>
      </c>
      <c r="AJ6" s="3458">
        <f t="shared" ref="AJ6:AJ23" si="34">$AF$24*V6</f>
        <v>108.27</v>
      </c>
      <c r="AK6" s="3458">
        <f t="shared" ref="AK6:AK23" si="35">$AF$24*W6</f>
        <v>100.03</v>
      </c>
      <c r="AM6" s="3458">
        <f>AM5/(1+D5/100)</f>
        <v>100</v>
      </c>
      <c r="AN6" s="3458">
        <f t="shared" ref="AN6:AR6" si="36">AN5/(1+E5/100)</f>
        <v>100</v>
      </c>
      <c r="AO6" s="3458">
        <f t="shared" si="36"/>
        <v>100</v>
      </c>
      <c r="AP6" s="3458">
        <f t="shared" si="36"/>
        <v>100</v>
      </c>
      <c r="AQ6" s="3458">
        <f t="shared" si="36"/>
        <v>100</v>
      </c>
      <c r="AR6" s="3458">
        <f t="shared" si="36"/>
        <v>100</v>
      </c>
    </row>
    <row r="7" spans="1:44" s="3185" customFormat="1" ht="12.75">
      <c r="A7" s="2205" t="s">
        <v>3405</v>
      </c>
      <c r="B7" s="3177">
        <v>2025</v>
      </c>
      <c r="C7" s="3178">
        <v>2</v>
      </c>
      <c r="D7" s="3179">
        <v>0</v>
      </c>
      <c r="E7" s="3179">
        <v>0</v>
      </c>
      <c r="F7" s="3179">
        <v>0</v>
      </c>
      <c r="G7" s="3179">
        <v>0</v>
      </c>
      <c r="H7" s="3179">
        <v>0</v>
      </c>
      <c r="I7" s="3180">
        <f t="shared" ref="I7" si="37">F7</f>
        <v>0</v>
      </c>
      <c r="J7" s="3181"/>
      <c r="K7" s="3182">
        <f t="shared" ref="K7" si="38">D7/100</f>
        <v>0</v>
      </c>
      <c r="L7" s="3172">
        <f t="shared" ref="L7" si="39">E7/100</f>
        <v>0</v>
      </c>
      <c r="M7" s="3172">
        <f t="shared" ref="M7" si="40">F7/100</f>
        <v>0</v>
      </c>
      <c r="N7" s="3172">
        <f t="shared" ref="N7" si="41">G7/100</f>
        <v>0</v>
      </c>
      <c r="O7" s="3172">
        <f t="shared" ref="O7" si="42">H7/100</f>
        <v>0</v>
      </c>
      <c r="P7" s="3172">
        <f t="shared" si="10"/>
        <v>0</v>
      </c>
      <c r="Q7" s="3181"/>
      <c r="R7" s="3183">
        <f>ROUND(IF(项目基本情况!$B$8="出让",SUMPRODUCT(PRODUCT(1+K7:$K$24)),SUMPRODUCT(PRODUCT(1+K7:$K$23))),4)</f>
        <v>1.0511999999999999</v>
      </c>
      <c r="S7" s="3183">
        <f>ROUND(IF(项目基本情况!$B$8="出让",SUMPRODUCT(PRODUCT(1+L7:$L$24)),SUMPRODUCT(PRODUCT(1+L7:$L$23))),4)</f>
        <v>1.0398000000000001</v>
      </c>
      <c r="T7" s="3183">
        <f>ROUND(IF(项目基本情况!$B$8="出让",SUMPRODUCT(PRODUCT(1+M7:$M$24)),SUMPRODUCT(PRODUCT(1+M7:$M$23))),4)</f>
        <v>1.0003</v>
      </c>
      <c r="U7" s="3183">
        <f>ROUND(IF(项目基本情况!$B$8="出让",SUMPRODUCT(PRODUCT(1+N7:$N$24)),SUMPRODUCT(PRODUCT(1+N7:$N$23))),4)</f>
        <v>1.0561</v>
      </c>
      <c r="V7" s="3183">
        <f>ROUND(IF(项目基本情况!$B$8="出让",SUMPRODUCT(PRODUCT(1+O7:$O$24)),SUMPRODUCT(PRODUCT(1+O7:$O$23))),4)</f>
        <v>1.0827</v>
      </c>
      <c r="W7" s="3183">
        <f t="shared" si="11"/>
        <v>1.0003</v>
      </c>
      <c r="X7" s="3181"/>
      <c r="Y7" s="3184">
        <f t="shared" si="12"/>
        <v>0</v>
      </c>
      <c r="Z7" s="3184">
        <f t="shared" ref="Z7" si="43">IF(E7=0,0,ROUND(AVERAGE(E7:E20)/100,4))</f>
        <v>0</v>
      </c>
      <c r="AA7" s="3184">
        <f t="shared" ref="AA7" si="44">IF(F7=0,0,ROUND(AVERAGE(F7:F20)/100,4))</f>
        <v>0</v>
      </c>
      <c r="AB7" s="3184">
        <f t="shared" ref="AB7" si="45">IF(G7=0,0,ROUND(AVERAGE(G7:G20)/100,4))</f>
        <v>0</v>
      </c>
      <c r="AC7" s="3184">
        <f t="shared" ref="AC7" si="46">IF(H7=0,0,ROUND(AVERAGE(H7:H20)/100,4))</f>
        <v>0</v>
      </c>
      <c r="AD7" s="3184">
        <f t="shared" ref="AD7" si="47">AA7</f>
        <v>0</v>
      </c>
      <c r="AF7" s="3458">
        <f t="shared" si="30"/>
        <v>105.11999999999999</v>
      </c>
      <c r="AG7" s="3458">
        <f t="shared" si="31"/>
        <v>103.98</v>
      </c>
      <c r="AH7" s="3458">
        <f t="shared" si="32"/>
        <v>100.03</v>
      </c>
      <c r="AI7" s="3458">
        <f t="shared" si="33"/>
        <v>105.61</v>
      </c>
      <c r="AJ7" s="3458">
        <f t="shared" si="34"/>
        <v>108.27</v>
      </c>
      <c r="AK7" s="3458">
        <f t="shared" si="35"/>
        <v>100.03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5" customFormat="1" ht="12.75">
      <c r="A8" s="2205" t="s">
        <v>3376</v>
      </c>
      <c r="B8" s="3177">
        <v>2025</v>
      </c>
      <c r="C8" s="3178">
        <v>1</v>
      </c>
      <c r="D8" s="3179">
        <v>0</v>
      </c>
      <c r="E8" s="3179">
        <v>0</v>
      </c>
      <c r="F8" s="3179">
        <v>0</v>
      </c>
      <c r="G8" s="3179">
        <v>0</v>
      </c>
      <c r="H8" s="3179">
        <v>0</v>
      </c>
      <c r="I8" s="3180">
        <f t="shared" ref="I8" si="54">F8</f>
        <v>0</v>
      </c>
      <c r="J8" s="3181"/>
      <c r="K8" s="3182">
        <f t="shared" ref="K8" si="55">D8/100</f>
        <v>0</v>
      </c>
      <c r="L8" s="3172">
        <f t="shared" ref="L8" si="56">E8/100</f>
        <v>0</v>
      </c>
      <c r="M8" s="3172">
        <f t="shared" ref="M8" si="57">F8/100</f>
        <v>0</v>
      </c>
      <c r="N8" s="3172">
        <f t="shared" ref="N8" si="58">G8/100</f>
        <v>0</v>
      </c>
      <c r="O8" s="3172">
        <f t="shared" ref="O8" si="59">H8/100</f>
        <v>0</v>
      </c>
      <c r="P8" s="3172">
        <f t="shared" si="10"/>
        <v>0</v>
      </c>
      <c r="Q8" s="3181"/>
      <c r="R8" s="3183">
        <f>ROUND(IF(项目基本情况!$B$8="出让",SUMPRODUCT(PRODUCT(1+K8:$K$24)),SUMPRODUCT(PRODUCT(1+K8:$K$23))),4)</f>
        <v>1.0511999999999999</v>
      </c>
      <c r="S8" s="3183">
        <f>ROUND(IF(项目基本情况!$B$8="出让",SUMPRODUCT(PRODUCT(1+L8:$L$24)),SUMPRODUCT(PRODUCT(1+L8:$L$23))),4)</f>
        <v>1.0398000000000001</v>
      </c>
      <c r="T8" s="3183">
        <f>ROUND(IF(项目基本情况!$B$8="出让",SUMPRODUCT(PRODUCT(1+M8:$M$24)),SUMPRODUCT(PRODUCT(1+M8:$M$23))),4)</f>
        <v>1.0003</v>
      </c>
      <c r="U8" s="3183">
        <f>ROUND(IF(项目基本情况!$B$8="出让",SUMPRODUCT(PRODUCT(1+N8:$N$24)),SUMPRODUCT(PRODUCT(1+N8:$N$23))),4)</f>
        <v>1.0561</v>
      </c>
      <c r="V8" s="3183">
        <f>ROUND(IF(项目基本情况!$B$8="出让",SUMPRODUCT(PRODUCT(1+O8:$O$24)),SUMPRODUCT(PRODUCT(1+O8:$O$23))),4)</f>
        <v>1.0827</v>
      </c>
      <c r="W8" s="3183">
        <f t="shared" si="11"/>
        <v>1.0003</v>
      </c>
      <c r="X8" s="3181"/>
      <c r="Y8" s="3184">
        <f t="shared" si="12"/>
        <v>0</v>
      </c>
      <c r="Z8" s="3184">
        <f t="shared" ref="Z8" si="60">IF(E8=0,0,ROUND(AVERAGE(E8:E21)/100,4))</f>
        <v>0</v>
      </c>
      <c r="AA8" s="3184">
        <f t="shared" ref="AA8" si="61">IF(F8=0,0,ROUND(AVERAGE(F8:F21)/100,4))</f>
        <v>0</v>
      </c>
      <c r="AB8" s="3184">
        <f t="shared" ref="AB8" si="62">IF(G8=0,0,ROUND(AVERAGE(G8:G21)/100,4))</f>
        <v>0</v>
      </c>
      <c r="AC8" s="3184">
        <f t="shared" ref="AC8" si="63">IF(H8=0,0,ROUND(AVERAGE(H8:H21)/100,4))</f>
        <v>0</v>
      </c>
      <c r="AD8" s="3184">
        <f t="shared" ref="AD8" si="64">AA8</f>
        <v>0</v>
      </c>
      <c r="AF8" s="3458">
        <f t="shared" si="30"/>
        <v>105.11999999999999</v>
      </c>
      <c r="AG8" s="3458">
        <f t="shared" si="31"/>
        <v>103.98</v>
      </c>
      <c r="AH8" s="3458">
        <f t="shared" si="32"/>
        <v>100.03</v>
      </c>
      <c r="AI8" s="3458">
        <f t="shared" si="33"/>
        <v>105.61</v>
      </c>
      <c r="AJ8" s="3458">
        <f t="shared" si="34"/>
        <v>108.27</v>
      </c>
      <c r="AK8" s="3458">
        <f t="shared" si="35"/>
        <v>100.03</v>
      </c>
      <c r="AM8" s="3458">
        <f t="shared" si="48"/>
        <v>100</v>
      </c>
      <c r="AN8" s="3458">
        <f t="shared" si="49"/>
        <v>100</v>
      </c>
      <c r="AO8" s="3458">
        <f t="shared" si="50"/>
        <v>100</v>
      </c>
      <c r="AP8" s="3458">
        <f t="shared" si="51"/>
        <v>100</v>
      </c>
      <c r="AQ8" s="3458">
        <f t="shared" si="52"/>
        <v>100</v>
      </c>
      <c r="AR8" s="3458">
        <f t="shared" si="53"/>
        <v>100</v>
      </c>
    </row>
    <row r="9" spans="1:44" s="3195" customFormat="1" ht="12.75">
      <c r="A9" s="3186" t="s">
        <v>3385</v>
      </c>
      <c r="B9" s="3187">
        <v>2024</v>
      </c>
      <c r="C9" s="3188">
        <v>4</v>
      </c>
      <c r="D9" s="3189">
        <v>-1.02</v>
      </c>
      <c r="E9" s="3189">
        <v>-0.48</v>
      </c>
      <c r="F9" s="3189">
        <v>-0.75</v>
      </c>
      <c r="G9" s="3189">
        <v>-1.05</v>
      </c>
      <c r="H9" s="3190">
        <v>0.08</v>
      </c>
      <c r="I9" s="3191">
        <f t="shared" ref="I9" si="65">F9</f>
        <v>-0.75</v>
      </c>
      <c r="J9" s="3192"/>
      <c r="K9" s="3193">
        <f t="shared" ref="K9" si="66">D9/100</f>
        <v>-1.0200000000000001E-2</v>
      </c>
      <c r="L9" s="3194">
        <f t="shared" ref="L9" si="67">E9/100</f>
        <v>-4.7999999999999996E-3</v>
      </c>
      <c r="M9" s="3194">
        <f t="shared" ref="M9" si="68">F9/100</f>
        <v>-7.4999999999999997E-3</v>
      </c>
      <c r="N9" s="3194">
        <f t="shared" ref="N9" si="69">G9/100</f>
        <v>-1.0500000000000001E-2</v>
      </c>
      <c r="O9" s="3194">
        <f t="shared" ref="O9" si="70">H9/100</f>
        <v>8.0000000000000004E-4</v>
      </c>
      <c r="P9" s="3194">
        <f t="shared" si="10"/>
        <v>-7.4999999999999997E-3</v>
      </c>
      <c r="Q9" s="3192"/>
      <c r="R9" s="3192">
        <f>ROUND(IF(项目基本情况!$B$8="出让",SUMPRODUCT(PRODUCT(1+K9:$K$24)),SUMPRODUCT(PRODUCT(1+K9:$K$23))),4)</f>
        <v>1.0511999999999999</v>
      </c>
      <c r="S9" s="3192">
        <f>ROUND(IF(项目基本情况!$B$8="出让",SUMPRODUCT(PRODUCT(1+L9:$L$24)),SUMPRODUCT(PRODUCT(1+L9:$L$23))),4)</f>
        <v>1.0398000000000001</v>
      </c>
      <c r="T9" s="3192">
        <f>ROUND(IF(项目基本情况!$B$8="出让",SUMPRODUCT(PRODUCT(1+M9:$M$24)),SUMPRODUCT(PRODUCT(1+M9:$M$23))),4)</f>
        <v>1.0003</v>
      </c>
      <c r="U9" s="3192">
        <f>ROUND(IF(项目基本情况!$B$8="出让",SUMPRODUCT(PRODUCT(1+N9:$N$24)),SUMPRODUCT(PRODUCT(1+N9:$N$23))),4)</f>
        <v>1.0561</v>
      </c>
      <c r="V9" s="3192">
        <f>ROUND(IF(项目基本情况!$B$8="出让",SUMPRODUCT(PRODUCT(1+O9:$O$24)),SUMPRODUCT(PRODUCT(1+O9:$O$23))),4)</f>
        <v>1.0827</v>
      </c>
      <c r="W9" s="3192">
        <f t="shared" si="11"/>
        <v>1.0003</v>
      </c>
      <c r="X9" s="3192"/>
      <c r="Y9" s="3194">
        <f t="shared" si="12"/>
        <v>2.8999999999999998E-3</v>
      </c>
      <c r="Z9" s="3194">
        <f t="shared" ref="Z9" si="71">IF(E9=0,0,ROUND(AVERAGE(E9:E22)/100,4))</f>
        <v>2.3E-3</v>
      </c>
      <c r="AA9" s="3194">
        <f t="shared" ref="AA9" si="72">IF(F9=0,0,ROUND(AVERAGE(F9:F22)/100,4))</f>
        <v>-2.9999999999999997E-4</v>
      </c>
      <c r="AB9" s="3194">
        <f t="shared" ref="AB9" si="73">IF(G9=0,0,ROUND(AVERAGE(G9:G22)/100,4))</f>
        <v>3.3E-3</v>
      </c>
      <c r="AC9" s="3194">
        <f t="shared" ref="AC9" si="74">IF(H9=0,0,ROUND(AVERAGE(H9:H22)/100,4))</f>
        <v>5.0000000000000001E-3</v>
      </c>
      <c r="AD9" s="3194">
        <f t="shared" ref="AD9" si="75">AA9</f>
        <v>-2.9999999999999997E-4</v>
      </c>
      <c r="AF9" s="3459">
        <f t="shared" si="30"/>
        <v>105.11999999999999</v>
      </c>
      <c r="AG9" s="3459">
        <f t="shared" si="31"/>
        <v>103.98</v>
      </c>
      <c r="AH9" s="3459">
        <f t="shared" si="32"/>
        <v>100.03</v>
      </c>
      <c r="AI9" s="3459">
        <f t="shared" si="33"/>
        <v>105.61</v>
      </c>
      <c r="AJ9" s="3459">
        <f t="shared" si="34"/>
        <v>108.27</v>
      </c>
      <c r="AK9" s="3459">
        <f t="shared" si="35"/>
        <v>100.03</v>
      </c>
      <c r="AM9" s="3459">
        <f t="shared" si="48"/>
        <v>100</v>
      </c>
      <c r="AN9" s="3459">
        <f t="shared" si="49"/>
        <v>100</v>
      </c>
      <c r="AO9" s="3459">
        <f t="shared" si="50"/>
        <v>100</v>
      </c>
      <c r="AP9" s="3459">
        <f t="shared" si="51"/>
        <v>100</v>
      </c>
      <c r="AQ9" s="3459">
        <f t="shared" si="52"/>
        <v>100</v>
      </c>
      <c r="AR9" s="3459">
        <f t="shared" si="53"/>
        <v>100</v>
      </c>
    </row>
    <row r="10" spans="1:44" s="3185" customFormat="1" ht="12.75">
      <c r="A10" s="2205" t="s">
        <v>3384</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101.03051121438675</v>
      </c>
      <c r="AN10" s="3458">
        <f t="shared" si="49"/>
        <v>100.48231511254019</v>
      </c>
      <c r="AO10" s="3458">
        <f t="shared" si="50"/>
        <v>100.75566750629723</v>
      </c>
      <c r="AP10" s="3458">
        <f t="shared" si="51"/>
        <v>101.06114199090449</v>
      </c>
      <c r="AQ10" s="3458">
        <f t="shared" si="52"/>
        <v>99.920063948840934</v>
      </c>
      <c r="AR10" s="3458">
        <f t="shared" si="53"/>
        <v>100.75566750629723</v>
      </c>
    </row>
    <row r="11" spans="1:44" s="3185" customFormat="1" ht="12.75">
      <c r="A11" s="3176" t="s">
        <v>3377</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102.24725353141054</v>
      </c>
      <c r="AN11" s="3458">
        <f t="shared" si="49"/>
        <v>100.95681212954908</v>
      </c>
      <c r="AO11" s="3458">
        <f t="shared" si="50"/>
        <v>101.04870876170618</v>
      </c>
      <c r="AP11" s="3458">
        <f t="shared" si="51"/>
        <v>101.81456980747984</v>
      </c>
      <c r="AQ11" s="3458">
        <f t="shared" si="52"/>
        <v>100.13033765792257</v>
      </c>
      <c r="AR11" s="3458">
        <f t="shared" si="53"/>
        <v>101.04870876170618</v>
      </c>
    </row>
    <row r="12" spans="1:44" s="3185" customFormat="1" ht="12.75">
      <c r="A12" s="3176" t="s">
        <v>3375</v>
      </c>
      <c r="B12" s="3177">
        <v>2024</v>
      </c>
      <c r="C12" s="3178">
        <v>1</v>
      </c>
      <c r="D12" s="3179">
        <v>0.08</v>
      </c>
      <c r="E12" s="3179">
        <v>0.46</v>
      </c>
      <c r="F12" s="3179">
        <v>-0.16</v>
      </c>
      <c r="G12" s="3179">
        <v>0.26</v>
      </c>
      <c r="H12" s="3196">
        <v>0.59</v>
      </c>
      <c r="I12" s="3180">
        <v>0</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102.85409267821198</v>
      </c>
      <c r="AN12" s="3458">
        <f t="shared" si="49"/>
        <v>101.16926759149121</v>
      </c>
      <c r="AO12" s="3458">
        <f t="shared" si="50"/>
        <v>102.46269393805129</v>
      </c>
      <c r="AP12" s="3458">
        <f t="shared" si="51"/>
        <v>103.09292204078558</v>
      </c>
      <c r="AQ12" s="3458">
        <f t="shared" si="52"/>
        <v>99.791048094401589</v>
      </c>
      <c r="AR12" s="3458">
        <f t="shared" si="53"/>
        <v>102.46269393805129</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102.77187517806954</v>
      </c>
      <c r="AN13" s="3458">
        <f t="shared" si="49"/>
        <v>100.70601989995143</v>
      </c>
      <c r="AO13" s="3458">
        <f t="shared" si="50"/>
        <v>102.62689697320843</v>
      </c>
      <c r="AP13" s="3458">
        <f t="shared" si="51"/>
        <v>102.82557554437022</v>
      </c>
      <c r="AQ13" s="3458">
        <f t="shared" si="52"/>
        <v>99.205734262254282</v>
      </c>
      <c r="AR13" s="3458">
        <f t="shared" si="53"/>
        <v>102.46269393805129</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102.57697891812509</v>
      </c>
      <c r="AN14" s="3458">
        <f t="shared" si="49"/>
        <v>100.46490413003934</v>
      </c>
      <c r="AO14" s="3458">
        <f t="shared" si="50"/>
        <v>102.79136315425525</v>
      </c>
      <c r="AP14" s="3458">
        <f t="shared" si="51"/>
        <v>102.65106872753341</v>
      </c>
      <c r="AQ14" s="3458">
        <f t="shared" si="52"/>
        <v>98.604248347335542</v>
      </c>
      <c r="AR14" s="3458">
        <f t="shared" si="53"/>
        <v>102.62689697320843</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102.32117597817965</v>
      </c>
      <c r="AN15" s="3458">
        <f t="shared" si="49"/>
        <v>99.965078736357569</v>
      </c>
      <c r="AO15" s="3458">
        <f t="shared" si="50"/>
        <v>102.47369470068313</v>
      </c>
      <c r="AP15" s="3458">
        <f t="shared" si="51"/>
        <v>102.43595322575932</v>
      </c>
      <c r="AQ15" s="3458">
        <f t="shared" si="52"/>
        <v>98.182065465832466</v>
      </c>
      <c r="AR15" s="3458">
        <f t="shared" si="53"/>
        <v>102.30973678916202</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101.39845008242953</v>
      </c>
      <c r="AN16" s="3458">
        <f t="shared" si="49"/>
        <v>99.30963514440451</v>
      </c>
      <c r="AO16" s="3458">
        <f t="shared" si="50"/>
        <v>101.99432139014944</v>
      </c>
      <c r="AP16" s="3458">
        <f t="shared" si="51"/>
        <v>101.46191880522912</v>
      </c>
      <c r="AQ16" s="3458">
        <f t="shared" si="52"/>
        <v>97.489887266242135</v>
      </c>
      <c r="AR16" s="3458">
        <f t="shared" si="53"/>
        <v>101.83113047592518</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100.50396479574739</v>
      </c>
      <c r="AN17" s="3458">
        <f t="shared" si="49"/>
        <v>98.580142092916915</v>
      </c>
      <c r="AO17" s="3458">
        <f t="shared" si="50"/>
        <v>101.41624877214819</v>
      </c>
      <c r="AP17" s="3458">
        <f t="shared" si="51"/>
        <v>100.53697860208987</v>
      </c>
      <c r="AQ17" s="3458">
        <f t="shared" si="52"/>
        <v>97.004862951484725</v>
      </c>
      <c r="AR17" s="3458">
        <f t="shared" si="53"/>
        <v>101.25398277411273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99.884679781104552</v>
      </c>
      <c r="AN18" s="3458">
        <f t="shared" si="49"/>
        <v>98.383375342232455</v>
      </c>
      <c r="AO18" s="3458">
        <f t="shared" si="50"/>
        <v>101.30481347732312</v>
      </c>
      <c r="AP18" s="3458">
        <f t="shared" si="51"/>
        <v>99.848027214311131</v>
      </c>
      <c r="AQ18" s="3458">
        <f t="shared" si="52"/>
        <v>96.493447678787149</v>
      </c>
      <c r="AR18" s="3458">
        <f t="shared" si="53"/>
        <v>101.14272577575939</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99.229763343040489</v>
      </c>
      <c r="AN19" s="3458">
        <f t="shared" si="49"/>
        <v>98.069552773357699</v>
      </c>
      <c r="AO19" s="3458">
        <f t="shared" si="50"/>
        <v>101.07234707904134</v>
      </c>
      <c r="AP19" s="3458">
        <f t="shared" si="51"/>
        <v>99.13426053843439</v>
      </c>
      <c r="AQ19" s="3458">
        <f t="shared" si="52"/>
        <v>95.889344806506159</v>
      </c>
      <c r="AR19" s="3458">
        <f t="shared" si="53"/>
        <v>100.91063132371485</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98.315429845477539</v>
      </c>
      <c r="AN20" s="3458">
        <f t="shared" si="49"/>
        <v>97.922668770202392</v>
      </c>
      <c r="AO20" s="3458">
        <f t="shared" si="50"/>
        <v>101.06224085495585</v>
      </c>
      <c r="AP20" s="3458">
        <f t="shared" si="51"/>
        <v>98.10416678716912</v>
      </c>
      <c r="AQ20" s="3458">
        <f t="shared" si="52"/>
        <v>94.864804913441006</v>
      </c>
      <c r="AR20" s="3458">
        <f t="shared" si="53"/>
        <v>100.90054126958789</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97.448141387132068</v>
      </c>
      <c r="AN21" s="3458">
        <f t="shared" si="49"/>
        <v>97.493696505577859</v>
      </c>
      <c r="AO21" s="3458">
        <f t="shared" si="50"/>
        <v>100.68968900563499</v>
      </c>
      <c r="AP21" s="3458">
        <f t="shared" si="51"/>
        <v>97.171322095056567</v>
      </c>
      <c r="AQ21" s="3458">
        <f t="shared" si="52"/>
        <v>94.261531114309435</v>
      </c>
      <c r="AR21" s="3458">
        <f t="shared" si="53"/>
        <v>100.52858550322595</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96.454658405554852</v>
      </c>
      <c r="AN22" s="3458">
        <f t="shared" si="49"/>
        <v>97.260271853130348</v>
      </c>
      <c r="AO22" s="3458">
        <f t="shared" si="50"/>
        <v>100.61925552676627</v>
      </c>
      <c r="AP22" s="3458">
        <f t="shared" si="51"/>
        <v>96.047565577796348</v>
      </c>
      <c r="AQ22" s="3458">
        <f t="shared" si="52"/>
        <v>93.745928507518073</v>
      </c>
      <c r="AR22" s="3458">
        <f t="shared" si="53"/>
        <v>100.45826471792341</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96.003442227087547</v>
      </c>
      <c r="AN23" s="3458">
        <f t="shared" si="49"/>
        <v>96.863133007798382</v>
      </c>
      <c r="AO23" s="3458">
        <f t="shared" si="50"/>
        <v>100.37834749278359</v>
      </c>
      <c r="AP23" s="3458">
        <f t="shared" si="51"/>
        <v>95.588739627583948</v>
      </c>
      <c r="AQ23" s="3458">
        <f t="shared" si="52"/>
        <v>93.298097638851587</v>
      </c>
      <c r="AR23" s="3458">
        <f t="shared" si="53"/>
        <v>100.21774213679511</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95.12826221471218</v>
      </c>
      <c r="AN24" s="3465">
        <f t="shared" si="49"/>
        <v>96.170703939434446</v>
      </c>
      <c r="AO24" s="3465">
        <f t="shared" si="50"/>
        <v>99.96847673815715</v>
      </c>
      <c r="AP24" s="3465">
        <f t="shared" si="51"/>
        <v>94.689192300727029</v>
      </c>
      <c r="AQ24" s="3465">
        <f t="shared" si="52"/>
        <v>92.365209027672094</v>
      </c>
      <c r="AR24" s="3465">
        <f t="shared" si="53"/>
        <v>99.808527175376071</v>
      </c>
    </row>
    <row r="25" spans="1:44" s="3009" customFormat="1" ht="14.25" thickTop="1"/>
    <row r="26" spans="1:44" s="3009" customFormat="1">
      <c r="A26" s="3448" t="s">
        <v>3383</v>
      </c>
    </row>
    <row r="27" spans="1:44" s="3009" customFormat="1">
      <c r="I27" s="3208" t="s">
        <v>2825</v>
      </c>
    </row>
    <row r="28" spans="1:44" s="3009" customFormat="1"/>
    <row r="29" spans="1:44" s="3209" customFormat="1" ht="12.75">
      <c r="B29" s="3210" t="s">
        <v>3381</v>
      </c>
      <c r="C29" s="3211"/>
      <c r="D29" s="3211"/>
      <c r="E29" s="3211"/>
      <c r="F29" s="3211"/>
      <c r="G29" s="3211"/>
      <c r="H29" s="3211"/>
      <c r="I29" s="3211"/>
      <c r="J29" s="3165"/>
      <c r="K29" s="3211" t="s">
        <v>2826</v>
      </c>
      <c r="L29" s="3211"/>
      <c r="M29" s="3211"/>
      <c r="N29" s="3211"/>
      <c r="O29" s="3211"/>
      <c r="P29" s="3211"/>
      <c r="Q29" s="3165"/>
      <c r="R29" s="3789" t="s">
        <v>2827</v>
      </c>
      <c r="S29" s="3790"/>
      <c r="T29" s="3790"/>
      <c r="U29" s="3790"/>
      <c r="V29" s="3790"/>
      <c r="W29" s="3790"/>
      <c r="X29" s="3165"/>
      <c r="Y29" s="3789" t="s">
        <v>2828</v>
      </c>
      <c r="Z29" s="3790"/>
      <c r="AA29" s="3790"/>
      <c r="AB29" s="3790"/>
      <c r="AC29" s="3790"/>
      <c r="AD29" s="3790"/>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3409</v>
      </c>
      <c r="AJ30"/>
      <c r="AK30" t="s">
        <v>3410</v>
      </c>
      <c r="AN30" t="s">
        <v>673</v>
      </c>
      <c r="AO30" t="s">
        <v>21</v>
      </c>
      <c r="AP30" t="s">
        <v>3409</v>
      </c>
      <c r="AQ30"/>
      <c r="AR30" t="s">
        <v>3410</v>
      </c>
    </row>
    <row r="31" spans="1:44" s="3161" customFormat="1" ht="12.75">
      <c r="A31" s="3149" t="s">
        <v>2834</v>
      </c>
      <c r="B31" s="3150"/>
      <c r="C31" s="3151"/>
      <c r="D31" s="3151"/>
      <c r="E31" s="3151">
        <f t="shared" ref="E31:G31" si="115">ROUND(AVERAGEIF(E32:E52,"&lt;&gt;0"),2)</f>
        <v>0.21</v>
      </c>
      <c r="F31" s="3151">
        <f t="shared" si="115"/>
        <v>0.14000000000000001</v>
      </c>
      <c r="G31" s="3151">
        <f t="shared" si="115"/>
        <v>0.3</v>
      </c>
      <c r="H31" s="3151"/>
      <c r="I31" s="3151">
        <f>F31</f>
        <v>0.14000000000000001</v>
      </c>
      <c r="J31" s="3152"/>
      <c r="K31" s="3153"/>
      <c r="L31" s="3154">
        <f t="shared" ref="L31:N31" si="116">ROUND(AVERAGEIF(L32:L52,"&lt;&gt;0"),4)</f>
        <v>2.0999999999999999E-3</v>
      </c>
      <c r="M31" s="3154">
        <f t="shared" si="116"/>
        <v>1.4E-3</v>
      </c>
      <c r="N31" s="3154">
        <f t="shared" si="116"/>
        <v>3.0000000000000001E-3</v>
      </c>
      <c r="O31" s="3154"/>
      <c r="P31" s="3154">
        <f>M31</f>
        <v>1.4E-3</v>
      </c>
      <c r="Q31" s="3152"/>
      <c r="R31" s="3155"/>
      <c r="S31" s="3156">
        <f>ROUND(SUMPRODUCT(PRODUCT(1+L32:L52)),4)</f>
        <v>1.0337000000000001</v>
      </c>
      <c r="T31" s="3156">
        <f t="shared" ref="T31:U31" si="117">ROUND(SUMPRODUCT(PRODUCT(1+M32:M52)),4)</f>
        <v>1.022</v>
      </c>
      <c r="U31" s="3156">
        <f t="shared" si="117"/>
        <v>1.0489999999999999</v>
      </c>
      <c r="V31" s="3156"/>
      <c r="W31" s="3155">
        <f>T31</f>
        <v>1.022</v>
      </c>
      <c r="X31" s="3152"/>
      <c r="Y31" s="3157"/>
      <c r="Z31" s="3158">
        <f t="shared" ref="Z31:AB31" si="118">ROUND(AVERAGEIF(Z32:Z52,"&lt;&gt;0"),4)</f>
        <v>3.8E-3</v>
      </c>
      <c r="AA31" s="3159">
        <f t="shared" si="118"/>
        <v>3.0000000000000001E-3</v>
      </c>
      <c r="AB31" s="3157">
        <f t="shared" si="118"/>
        <v>7.4999999999999997E-3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3407</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1.0301</v>
      </c>
      <c r="T33" s="3183">
        <f>ROUND(IF(项目基本情况!$B$8="出让",SUMPRODUCT(PRODUCT(1+M33:M$52)),SUMPRODUCT(PRODUCT(1+M33:M$51))),4)</f>
        <v>1.0170999999999999</v>
      </c>
      <c r="U33" s="3183">
        <f>ROUND(IF(项目基本情况!$B$8="出让",SUMPRODUCT(PRODUCT(1+N33:N$52)),SUMPRODUCT(PRODUCT(1+N33:N$51))),4)</f>
        <v>1.0387999999999999</v>
      </c>
      <c r="V33" s="3183"/>
      <c r="W33" s="3183">
        <f t="shared" ref="W33:W39" si="124">T33</f>
        <v>1.0170999999999999</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103.01</v>
      </c>
      <c r="AH33" s="3458">
        <f t="shared" ref="AH33:AH50" si="130">$AG$52*T33</f>
        <v>101.71</v>
      </c>
      <c r="AI33" s="3458">
        <f t="shared" ref="AI33:AI50" si="131">$AG$52*U33</f>
        <v>103.88</v>
      </c>
      <c r="AJ33" s="3460"/>
      <c r="AK33" s="3458">
        <f t="shared" ref="AK33:AK50" si="132">$AG$52*W33</f>
        <v>101.71</v>
      </c>
      <c r="AN33" s="3463">
        <v>100</v>
      </c>
      <c r="AO33" s="3463">
        <v>100</v>
      </c>
      <c r="AP33" s="3463">
        <v>100</v>
      </c>
      <c r="AQ33" s="3463"/>
      <c r="AR33" s="3463">
        <v>100</v>
      </c>
    </row>
    <row r="34" spans="1:44" s="3185" customFormat="1" ht="12.75">
      <c r="A34" s="2205" t="s">
        <v>3406</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1.0301</v>
      </c>
      <c r="T34" s="3183">
        <f>ROUND(IF(项目基本情况!$B$8="出让",SUMPRODUCT(PRODUCT(1+M34:M$52)),SUMPRODUCT(PRODUCT(1+M34:M$51))),4)</f>
        <v>1.0170999999999999</v>
      </c>
      <c r="U34" s="3183">
        <f>ROUND(IF(项目基本情况!$B$8="出让",SUMPRODUCT(PRODUCT(1+N34:N$52)),SUMPRODUCT(PRODUCT(1+N34:N$51))),4)</f>
        <v>1.0387999999999999</v>
      </c>
      <c r="V34" s="3183"/>
      <c r="W34" s="3183">
        <f t="shared" si="124"/>
        <v>1.0170999999999999</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103.01</v>
      </c>
      <c r="AH34" s="3458">
        <f t="shared" si="130"/>
        <v>101.71</v>
      </c>
      <c r="AI34" s="3458">
        <f t="shared" si="131"/>
        <v>103.88</v>
      </c>
      <c r="AJ34" s="3460"/>
      <c r="AK34" s="3458">
        <f t="shared" si="132"/>
        <v>101.71</v>
      </c>
      <c r="AN34" s="3458">
        <f>AN33/(1+E33/100)</f>
        <v>100</v>
      </c>
      <c r="AO34" s="3458">
        <f t="shared" ref="AO34:AR34" si="140">AO33/(1+F33/100)</f>
        <v>100</v>
      </c>
      <c r="AP34" s="3458">
        <f t="shared" si="140"/>
        <v>100</v>
      </c>
      <c r="AQ34" s="3458"/>
      <c r="AR34" s="3458">
        <f t="shared" si="140"/>
        <v>100</v>
      </c>
    </row>
    <row r="35" spans="1:44" s="3185" customFormat="1" ht="12.75">
      <c r="A35" s="2205" t="s">
        <v>3405</v>
      </c>
      <c r="B35" s="3177">
        <v>2025</v>
      </c>
      <c r="C35" s="3178">
        <v>2</v>
      </c>
      <c r="D35" s="3179"/>
      <c r="E35" s="3179">
        <v>0</v>
      </c>
      <c r="F35" s="3179">
        <v>0</v>
      </c>
      <c r="G35" s="3179">
        <v>0</v>
      </c>
      <c r="H35" s="3179"/>
      <c r="I35" s="3180">
        <f t="shared" ref="I35" si="141">F35</f>
        <v>0</v>
      </c>
      <c r="J35" s="3181"/>
      <c r="K35" s="3182"/>
      <c r="L35" s="3172">
        <f t="shared" ref="L35" si="142">E35/100</f>
        <v>0</v>
      </c>
      <c r="M35" s="3172">
        <f t="shared" ref="M35" si="143">F35/100</f>
        <v>0</v>
      </c>
      <c r="N35" s="3172">
        <f t="shared" ref="N35" si="144">G35/100</f>
        <v>0</v>
      </c>
      <c r="O35" s="3172"/>
      <c r="P35" s="3172">
        <f t="shared" si="123"/>
        <v>0</v>
      </c>
      <c r="Q35" s="3181"/>
      <c r="R35" s="3183"/>
      <c r="S35" s="3183">
        <f>ROUND(IF(项目基本情况!$B$8="出让",SUMPRODUCT(PRODUCT(1+L35:L$52)),SUMPRODUCT(PRODUCT(1+L35:L$51))),4)</f>
        <v>1.0301</v>
      </c>
      <c r="T35" s="3183">
        <f>ROUND(IF(项目基本情况!$B$8="出让",SUMPRODUCT(PRODUCT(1+M35:M$52)),SUMPRODUCT(PRODUCT(1+M35:M$51))),4)</f>
        <v>1.0170999999999999</v>
      </c>
      <c r="U35" s="3183">
        <f>ROUND(IF(项目基本情况!$B$8="出让",SUMPRODUCT(PRODUCT(1+N35:N$52)),SUMPRODUCT(PRODUCT(1+N35:N$51))),4)</f>
        <v>1.0387999999999999</v>
      </c>
      <c r="V35" s="3183"/>
      <c r="W35" s="3183">
        <f t="shared" si="124"/>
        <v>1.0170999999999999</v>
      </c>
      <c r="X35" s="3181"/>
      <c r="Y35" s="3184"/>
      <c r="Z35" s="3212">
        <f t="shared" ref="Z35" si="145">IF(E35=0,0,ROUND(AVERAGE(E35:E48)/100,4))</f>
        <v>0</v>
      </c>
      <c r="AA35" s="3212">
        <f t="shared" ref="AA35" si="146">IF(F35=0,0,ROUND(AVERAGE(F35:F48)/100,4))</f>
        <v>0</v>
      </c>
      <c r="AB35" s="3212">
        <f t="shared" ref="AB35" si="147">IF(G35=0,0,ROUND(AVERAGE(G35:G48)/100,4))</f>
        <v>0</v>
      </c>
      <c r="AC35" s="3213"/>
      <c r="AD35" s="3184">
        <f t="shared" si="128"/>
        <v>0</v>
      </c>
      <c r="AG35" s="3458">
        <f t="shared" si="129"/>
        <v>103.01</v>
      </c>
      <c r="AH35" s="3458">
        <f t="shared" si="130"/>
        <v>101.71</v>
      </c>
      <c r="AI35" s="3458">
        <f t="shared" si="131"/>
        <v>103.88</v>
      </c>
      <c r="AJ35" s="3460"/>
      <c r="AK35" s="3458">
        <f t="shared" si="132"/>
        <v>101.71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5" customFormat="1" ht="12.75">
      <c r="A36" s="2205" t="s">
        <v>3376</v>
      </c>
      <c r="B36" s="3177">
        <v>2025</v>
      </c>
      <c r="C36" s="3178">
        <v>1</v>
      </c>
      <c r="D36" s="3179"/>
      <c r="E36" s="3179">
        <v>0</v>
      </c>
      <c r="F36" s="3179">
        <v>0</v>
      </c>
      <c r="G36" s="3179">
        <v>0</v>
      </c>
      <c r="H36" s="3179"/>
      <c r="I36" s="3180">
        <f t="shared" ref="I36" si="152">F36</f>
        <v>0</v>
      </c>
      <c r="J36" s="3181"/>
      <c r="K36" s="3182"/>
      <c r="L36" s="3172">
        <f t="shared" ref="L36" si="153">E36/100</f>
        <v>0</v>
      </c>
      <c r="M36" s="3172">
        <f t="shared" ref="M36" si="154">F36/100</f>
        <v>0</v>
      </c>
      <c r="N36" s="3172">
        <f t="shared" ref="N36" si="155">G36/100</f>
        <v>0</v>
      </c>
      <c r="O36" s="3172"/>
      <c r="P36" s="3172">
        <f t="shared" si="123"/>
        <v>0</v>
      </c>
      <c r="Q36" s="3181"/>
      <c r="R36" s="3183"/>
      <c r="S36" s="3183">
        <f>ROUND(IF(项目基本情况!$B$8="出让",SUMPRODUCT(PRODUCT(1+L36:L$52)),SUMPRODUCT(PRODUCT(1+L36:L$51))),4)</f>
        <v>1.0301</v>
      </c>
      <c r="T36" s="3183">
        <f>ROUND(IF(项目基本情况!$B$8="出让",SUMPRODUCT(PRODUCT(1+M36:M$52)),SUMPRODUCT(PRODUCT(1+M36:M$51))),4)</f>
        <v>1.0170999999999999</v>
      </c>
      <c r="U36" s="3183">
        <f>ROUND(IF(项目基本情况!$B$8="出让",SUMPRODUCT(PRODUCT(1+N36:N$52)),SUMPRODUCT(PRODUCT(1+N36:N$51))),4)</f>
        <v>1.0387999999999999</v>
      </c>
      <c r="V36" s="3183"/>
      <c r="W36" s="3183">
        <f t="shared" si="124"/>
        <v>1.0170999999999999</v>
      </c>
      <c r="X36" s="3181"/>
      <c r="Y36" s="3184"/>
      <c r="Z36" s="3212">
        <f t="shared" ref="Z36" si="156">IF(E36=0,0,ROUND(AVERAGE(E36:E49)/100,4))</f>
        <v>0</v>
      </c>
      <c r="AA36" s="3212">
        <f t="shared" ref="AA36" si="157">IF(F36=0,0,ROUND(AVERAGE(F36:F49)/100,4))</f>
        <v>0</v>
      </c>
      <c r="AB36" s="3212">
        <f t="shared" ref="AB36" si="158">IF(G36=0,0,ROUND(AVERAGE(G36:G49)/100,4))</f>
        <v>0</v>
      </c>
      <c r="AC36" s="3213"/>
      <c r="AD36" s="3184">
        <f t="shared" si="128"/>
        <v>0</v>
      </c>
      <c r="AG36" s="3458">
        <f t="shared" si="129"/>
        <v>103.01</v>
      </c>
      <c r="AH36" s="3458">
        <f t="shared" si="130"/>
        <v>101.71</v>
      </c>
      <c r="AI36" s="3458">
        <f t="shared" si="131"/>
        <v>103.88</v>
      </c>
      <c r="AJ36" s="3460"/>
      <c r="AK36" s="3458">
        <f t="shared" si="132"/>
        <v>101.71</v>
      </c>
      <c r="AN36" s="3458">
        <f t="shared" si="148"/>
        <v>100</v>
      </c>
      <c r="AO36" s="3458">
        <f t="shared" ref="AO36:AO52" si="159">AO35/(1+F35/100)</f>
        <v>100</v>
      </c>
      <c r="AP36" s="3458">
        <f t="shared" ref="AP36:AP52" si="160">AP35/(1+G35/100)</f>
        <v>100</v>
      </c>
      <c r="AQ36" s="3458"/>
      <c r="AR36" s="3458">
        <f t="shared" ref="AR36:AR52" si="161">AR35/(1+I35/100)</f>
        <v>100</v>
      </c>
    </row>
    <row r="37" spans="1:44" s="3195" customFormat="1" ht="12.75">
      <c r="A37" s="3186" t="s">
        <v>3378</v>
      </c>
      <c r="B37" s="3187">
        <v>2024</v>
      </c>
      <c r="C37" s="3188">
        <v>4</v>
      </c>
      <c r="D37" s="3189"/>
      <c r="E37" s="3189">
        <v>-0.61</v>
      </c>
      <c r="F37" s="3189">
        <v>-0.71</v>
      </c>
      <c r="G37" s="3189">
        <v>-0.88</v>
      </c>
      <c r="H37" s="3190"/>
      <c r="I37" s="3191">
        <f t="shared" ref="I37" si="162">F37</f>
        <v>-0.71</v>
      </c>
      <c r="J37" s="3192"/>
      <c r="K37" s="3193"/>
      <c r="L37" s="3194">
        <f t="shared" ref="L37" si="163">E37/100</f>
        <v>-6.0999999999999995E-3</v>
      </c>
      <c r="M37" s="3194">
        <f t="shared" ref="M37" si="164">F37/100</f>
        <v>-7.0999999999999995E-3</v>
      </c>
      <c r="N37" s="3194">
        <f t="shared" ref="N37" si="165">G37/100</f>
        <v>-8.8000000000000005E-3</v>
      </c>
      <c r="O37" s="3194"/>
      <c r="P37" s="3194">
        <f t="shared" si="123"/>
        <v>-7.0999999999999995E-3</v>
      </c>
      <c r="Q37" s="3192"/>
      <c r="R37" s="3192"/>
      <c r="S37" s="3192">
        <f>ROUND(IF(项目基本情况!$B$8="出让",SUMPRODUCT(PRODUCT(1+L37:L$52)),SUMPRODUCT(PRODUCT(1+L37:L$51))),4)</f>
        <v>1.0301</v>
      </c>
      <c r="T37" s="3192">
        <f>ROUND(IF(项目基本情况!$B$8="出让",SUMPRODUCT(PRODUCT(1+M37:M$52)),SUMPRODUCT(PRODUCT(1+M37:M$51))),4)</f>
        <v>1.0170999999999999</v>
      </c>
      <c r="U37" s="3192">
        <f>ROUND(IF(项目基本情况!$B$8="出让",SUMPRODUCT(PRODUCT(1+N37:N$52)),SUMPRODUCT(PRODUCT(1+N37:N$51))),4)</f>
        <v>1.0387999999999999</v>
      </c>
      <c r="V37" s="3192"/>
      <c r="W37" s="3192">
        <f t="shared" si="124"/>
        <v>1.0170999999999999</v>
      </c>
      <c r="X37" s="3192"/>
      <c r="Y37" s="3194"/>
      <c r="Z37" s="3215">
        <f t="shared" ref="Z37" si="166">IF(E37=0,0,ROUND(AVERAGE(E37:E50)/100,4))</f>
        <v>1.6999999999999999E-3</v>
      </c>
      <c r="AA37" s="3216">
        <f t="shared" ref="AA37" si="167">IF(F37=0,0,ROUND(AVERAGE(F37:F50)/100,4))</f>
        <v>8.9999999999999998E-4</v>
      </c>
      <c r="AB37" s="3194">
        <f t="shared" ref="AB37" si="168">IF(G37=0,0,ROUND(AVERAGE(G37:G50)/100,4))</f>
        <v>2E-3</v>
      </c>
      <c r="AC37" s="3217"/>
      <c r="AD37" s="3194">
        <f t="shared" si="128"/>
        <v>8.9999999999999998E-4</v>
      </c>
      <c r="AG37" s="3458">
        <f t="shared" si="129"/>
        <v>103.01</v>
      </c>
      <c r="AH37" s="3458">
        <f t="shared" si="130"/>
        <v>101.71</v>
      </c>
      <c r="AI37" s="3458">
        <f t="shared" si="131"/>
        <v>103.88</v>
      </c>
      <c r="AJ37" s="3461"/>
      <c r="AK37" s="3458">
        <f t="shared" si="132"/>
        <v>101.71</v>
      </c>
      <c r="AN37" s="3459">
        <f t="shared" si="148"/>
        <v>100</v>
      </c>
      <c r="AO37" s="3459">
        <f t="shared" si="159"/>
        <v>100</v>
      </c>
      <c r="AP37" s="3459">
        <f t="shared" si="160"/>
        <v>100</v>
      </c>
      <c r="AQ37" s="3459"/>
      <c r="AR37" s="3459">
        <f t="shared" si="161"/>
        <v>100</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100.61374383740819</v>
      </c>
      <c r="AO38" s="3458">
        <f t="shared" si="159"/>
        <v>100.71507704703394</v>
      </c>
      <c r="AP38" s="3458">
        <f t="shared" si="160"/>
        <v>100.88781275221953</v>
      </c>
      <c r="AQ38" s="3458"/>
      <c r="AR38" s="3458">
        <f t="shared" si="161"/>
        <v>100.71507704703394</v>
      </c>
    </row>
    <row r="39" spans="1:44" s="3185" customFormat="1" ht="12.75">
      <c r="A39" s="3176" t="s">
        <v>3379</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101.28220639964586</v>
      </c>
      <c r="AO39" s="3458">
        <f t="shared" si="159"/>
        <v>101.24153301873135</v>
      </c>
      <c r="AP39" s="3458">
        <f t="shared" si="160"/>
        <v>103.86884871020233</v>
      </c>
      <c r="AQ39" s="3458"/>
      <c r="AR39" s="3458">
        <f t="shared" si="161"/>
        <v>101.24153301873135</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101.59715758816918</v>
      </c>
      <c r="AO40" s="3458">
        <f t="shared" si="159"/>
        <v>101.63792091028145</v>
      </c>
      <c r="AP40" s="3458">
        <f t="shared" si="160"/>
        <v>102.60678525160756</v>
      </c>
      <c r="AQ40" s="3458"/>
      <c r="AR40" s="3458">
        <f t="shared" si="161"/>
        <v>101.63792091028145</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101.34379809293685</v>
      </c>
      <c r="AO41" s="3458">
        <f t="shared" si="159"/>
        <v>101.23298895446359</v>
      </c>
      <c r="AP41" s="3458">
        <f t="shared" si="160"/>
        <v>103.25730628117898</v>
      </c>
      <c r="AQ41" s="3458"/>
      <c r="AR41" s="3458">
        <f t="shared" si="161"/>
        <v>101.23298895446359</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101.27290705799626</v>
      </c>
      <c r="AO42" s="3458">
        <f t="shared" si="159"/>
        <v>101.14196118939314</v>
      </c>
      <c r="AP42" s="3458">
        <f t="shared" si="160"/>
        <v>103.22633837966509</v>
      </c>
      <c r="AQ42" s="3458"/>
      <c r="AR42" s="3458">
        <f t="shared" si="161"/>
        <v>101.14196118939314</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100.9196881494731</v>
      </c>
      <c r="AO43" s="3458">
        <f t="shared" si="159"/>
        <v>100.97031165957186</v>
      </c>
      <c r="AP43" s="3458">
        <f t="shared" si="160"/>
        <v>102.69233822091633</v>
      </c>
      <c r="AQ43" s="3458"/>
      <c r="AR43" s="3458">
        <f t="shared" si="161"/>
        <v>100.97031165957186</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100.41760014872946</v>
      </c>
      <c r="AO44" s="3458">
        <f t="shared" si="159"/>
        <v>100.51798074621391</v>
      </c>
      <c r="AP44" s="3458">
        <f t="shared" si="160"/>
        <v>101.78643891457661</v>
      </c>
      <c r="AQ44" s="3458"/>
      <c r="AR44" s="3458">
        <f t="shared" si="161"/>
        <v>100.51798074621391</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99.868324364723478</v>
      </c>
      <c r="AO45" s="3458">
        <f t="shared" si="159"/>
        <v>99.928403167525502</v>
      </c>
      <c r="AP45" s="3458">
        <f t="shared" si="160"/>
        <v>101.13914836504036</v>
      </c>
      <c r="AQ45" s="3458"/>
      <c r="AR45" s="3458">
        <f t="shared" si="161"/>
        <v>99.928403167525502</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99.420930178918354</v>
      </c>
      <c r="AO46" s="3458">
        <f t="shared" si="159"/>
        <v>99.728945276971558</v>
      </c>
      <c r="AP46" s="3458">
        <f t="shared" si="160"/>
        <v>100.75627452185729</v>
      </c>
      <c r="AQ46" s="3458"/>
      <c r="AR46" s="3458">
        <f t="shared" si="161"/>
        <v>99.728945276971558</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99.123559500417116</v>
      </c>
      <c r="AO47" s="3458">
        <f t="shared" si="159"/>
        <v>99.440567630842125</v>
      </c>
      <c r="AP47" s="3458">
        <f t="shared" si="160"/>
        <v>99.926881406185956</v>
      </c>
      <c r="AQ47" s="3458"/>
      <c r="AR47" s="3458">
        <f t="shared" si="161"/>
        <v>99.440567630842125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99.232715487453319</v>
      </c>
      <c r="AO48" s="3458">
        <f t="shared" si="159"/>
        <v>99.570008642076829</v>
      </c>
      <c r="AP48" s="3458">
        <f t="shared" si="160"/>
        <v>99.400061082448971</v>
      </c>
      <c r="AQ48" s="3458"/>
      <c r="AR48" s="3458">
        <f t="shared" si="161"/>
        <v>99.570008642076829</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98.640870265858169</v>
      </c>
      <c r="AO49" s="3458">
        <f t="shared" si="159"/>
        <v>99.123950863192462</v>
      </c>
      <c r="AP49" s="3458">
        <f t="shared" si="160"/>
        <v>98.876018186062836</v>
      </c>
      <c r="AQ49" s="3458"/>
      <c r="AR49" s="3458">
        <f t="shared" si="161"/>
        <v>99.123950863192462</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98.072052362157649</v>
      </c>
      <c r="AO50" s="3458">
        <f t="shared" si="159"/>
        <v>99.044715091119571</v>
      </c>
      <c r="AP50" s="3458">
        <f t="shared" si="160"/>
        <v>98.208202409677043</v>
      </c>
      <c r="AQ50" s="3458"/>
      <c r="AR50" s="3458">
        <f t="shared" si="161"/>
        <v>99.044715091119571</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97.613269993189661</v>
      </c>
      <c r="AO51" s="3458">
        <f t="shared" si="159"/>
        <v>98.768164231272024</v>
      </c>
      <c r="AP51" s="3458">
        <f t="shared" si="160"/>
        <v>97.322567049526342</v>
      </c>
      <c r="AQ51" s="3458"/>
      <c r="AR51" s="3458">
        <f t="shared" si="161"/>
        <v>98.768164231272024</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97.079333658070269</v>
      </c>
      <c r="AO52" s="3465">
        <f t="shared" si="159"/>
        <v>98.315911040485801</v>
      </c>
      <c r="AP52" s="3465">
        <f t="shared" si="160"/>
        <v>96.263666715654153</v>
      </c>
      <c r="AQ52" s="3465"/>
      <c r="AR52" s="3465">
        <f t="shared" si="161"/>
        <v>98.315911040485801</v>
      </c>
    </row>
    <row r="53" spans="1:44" ht="14.25" thickTop="1"/>
    <row r="54" spans="1:44">
      <c r="A54" s="3448" t="s">
        <v>3382</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2839</v>
      </c>
      <c r="B1" s="3804"/>
      <c r="C1" s="3804"/>
      <c r="D1" s="3804"/>
      <c r="E1" s="3804"/>
      <c r="F1" s="3804"/>
      <c r="G1" s="3805"/>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2"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3"/>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45749</v>
      </c>
      <c r="D1" s="1302" t="s">
        <v>603</v>
      </c>
      <c r="E1" s="1297">
        <f>'数据-取费表'!B22</f>
        <v>0</v>
      </c>
      <c r="F1" s="1302" t="s">
        <v>604</v>
      </c>
      <c r="G1" s="1298" t="e">
        <f ca="1">INDIRECT("d"&amp;$K$1)/100</f>
        <v>#VALUE!</v>
      </c>
      <c r="H1" s="1302" t="s">
        <v>634</v>
      </c>
      <c r="I1" s="1298">
        <f ca="1">F4/100</f>
        <v>1.4999999999999999E-2</v>
      </c>
      <c r="J1" s="1303">
        <f>IF(C1&gt;C13,0,MATCH(C1,C$13:C$114,-1))+IF(SUMIF(C13:C114,C1,D13:D114)=0,13,12)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4" t="s">
        <v>925</v>
      </c>
      <c r="E3" s="854" t="s">
        <v>931</v>
      </c>
      <c r="F3" s="854" t="s">
        <v>925</v>
      </c>
      <c r="G3" s="854" t="s">
        <v>926</v>
      </c>
      <c r="H3" s="854" t="s">
        <v>925</v>
      </c>
      <c r="I3" s="854" t="s">
        <v>926</v>
      </c>
    </row>
    <row r="4" spans="1:9" ht="15">
      <c r="A4" s="1505" t="str">
        <f>项目基本情况!S2</f>
        <v>房地产</v>
      </c>
      <c r="B4" s="854">
        <f>项目基本情况!C17</f>
        <v>237.74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0" t="s">
        <v>927</v>
      </c>
      <c r="B5" s="3480"/>
      <c r="C5" s="3480"/>
      <c r="D5" s="3480" t="e">
        <f ca="1">结果表!D119</f>
        <v>#REF!</v>
      </c>
      <c r="E5" s="3480"/>
      <c r="F5" s="3480" t="e">
        <f ca="1">结果表!F119</f>
        <v>#REF!</v>
      </c>
      <c r="G5" s="3480"/>
      <c r="H5" s="3480" t="e">
        <f ca="1">结果表!H119</f>
        <v>#REF!</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t="e">
        <f ca="1">结果表!D122</f>
        <v>#REF!</v>
      </c>
      <c r="E8" s="3481"/>
      <c r="F8" s="3481"/>
      <c r="G8" s="3481"/>
      <c r="H8" s="3481"/>
      <c r="I8" s="3481"/>
    </row>
    <row r="9" spans="1:9" ht="15">
      <c r="A9" s="3480" t="s">
        <v>927</v>
      </c>
      <c r="B9" s="3480"/>
      <c r="C9" s="3480"/>
      <c r="D9" s="3480" t="e">
        <f ca="1">结果表!D123</f>
        <v>#REF!</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45749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2025-04-02T08:06:33Z</dcterms:modified>
</cp:coreProperties>
</file>