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85" yWindow="-15" windowWidth="10830" windowHeight="9615" tabRatio="875" firstSheet="7"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地图" sheetId="69" r:id="rId33"/>
    <sheet name="土地比较法" sheetId="70" r:id="rId34"/>
    <sheet name="收购补偿方案" sheetId="72" r:id="rId35"/>
    <sheet name="土地案例（原）" sheetId="68" r:id="rId36"/>
    <sheet name="土地案例（新）" sheetId="71"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s>
  <definedNames>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36" hidden="1">'土地案例（新）'!$A$2:$S$8</definedName>
    <definedName name="_xlnm._FilterDatabase" localSheetId="9" hidden="1">项目基本情况!$A$48:$N$48</definedName>
    <definedName name="a">'[1]不动产比较法-办公'!$B$115:$M$115</definedName>
    <definedName name="_xlnm.Print_Area" localSheetId="33">土地比较法!$A$4:$L$29</definedName>
    <definedName name="八级">区片价!$P$1:$P$40</definedName>
    <definedName name="办公层高" localSheetId="33">'[2]不动产比较法-办公'!$B$119:$M$119</definedName>
    <definedName name="办公层高">'不动产比较法-办公'!$B$119:$M$119</definedName>
    <definedName name="办公朝向" localSheetId="33">'[2]不动产比较法-办公'!$B$91:$M$91</definedName>
    <definedName name="办公朝向">'不动产比较法-办公'!$B$91:$M$91</definedName>
    <definedName name="办公道路级别" localSheetId="33">'[2]不动产比较法-办公'!$B$87:$M$87</definedName>
    <definedName name="办公道路级别">'不动产比较法-办公'!$B$87:$M$87</definedName>
    <definedName name="办公公共部分装修" localSheetId="33">'[2]不动产比较法-办公'!$B$108:$M$108</definedName>
    <definedName name="办公公共部分装修">'不动产比较法-办公'!$B$108:$M$108</definedName>
    <definedName name="办公基础设施水平" localSheetId="33">'[2]不动产比较法-办公'!$B$117:$M$117</definedName>
    <definedName name="办公基础设施水平">'不动产比较法-办公'!$B$117:$M$117</definedName>
    <definedName name="办公集聚程度" localSheetId="33">[2]定义!$M$1:$M$6</definedName>
    <definedName name="办公集聚程度">定义!$M$1:$M$6</definedName>
    <definedName name="办公建筑结构" localSheetId="33">'[2]不动产比较法-办公'!$B$106:$M$106</definedName>
    <definedName name="办公建筑结构">'不动产比较法-办公'!$B$106:$M$106</definedName>
    <definedName name="办公建筑类型" localSheetId="33">'[2]不动产比较法-办公'!$B$101:$M$101</definedName>
    <definedName name="办公建筑类型">'不动产比较法-办公'!$B$101:$M$101</definedName>
    <definedName name="办公交易情况" localSheetId="33">'[2]不动产比较法-办公'!$A$62:$M$62</definedName>
    <definedName name="办公交易情况">'不动产比较法-办公'!$A$62:$M$62</definedName>
    <definedName name="办公楼层" localSheetId="33">'[2]不动产比较法-办公'!$B$89:$M$89</definedName>
    <definedName name="办公楼层">'不动产比较法-办公'!$B$89:$M$89</definedName>
    <definedName name="办公内部装修" localSheetId="33">'[2]不动产比较法-办公'!$B$123:$M$123</definedName>
    <definedName name="办公内部装修">'不动产比较法-办公'!$B$123:$M$123</definedName>
    <definedName name="办公物业管理" localSheetId="33">'[2]不动产比较法-办公'!$B$115:$M$115</definedName>
    <definedName name="办公物业管理">'不动产比较法-办公'!$B$115:$M$115</definedName>
    <definedName name="办公用途" localSheetId="33">'[2]不动产比较法-办公'!$B$64:$M$64</definedName>
    <definedName name="办公用途">'不动产比较法-办公'!$B$64:$M$64</definedName>
    <definedName name="仓储公共部分装修" localSheetId="33">'[2]不动产比较法-仓储'!$B$77:$M$77</definedName>
    <definedName name="仓储公共部分装修">'不动产比较法-仓储'!$B$77:$M$77</definedName>
    <definedName name="仓储交易情况" localSheetId="33">'[2]不动产比较法-仓储'!$A$49:$M$49</definedName>
    <definedName name="仓储交易情况">'不动产比较法-仓储'!$A$49:$M$49</definedName>
    <definedName name="仓储楼层" localSheetId="33">'[2]不动产比较法-仓储'!$B$69:$M$69</definedName>
    <definedName name="仓储楼层">'不动产比较法-仓储'!$B$69:$M$69</definedName>
    <definedName name="仓储物业等级" localSheetId="33">'[2]不动产比较法-仓储'!$B$82:$M$82</definedName>
    <definedName name="仓储物业等级">'不动产比较法-仓储'!$B$82:$M$82</definedName>
    <definedName name="仓储用途" localSheetId="33">'[2]不动产比较法-仓储'!$B$51:$M$51</definedName>
    <definedName name="仓储用途">'不动产比较法-仓储'!$B$51:$M$51</definedName>
    <definedName name="产业集聚程度" localSheetId="33">[2]定义!$N$1:$N$6</definedName>
    <definedName name="产业集聚程度">定义!$N$1:$N$6</definedName>
    <definedName name="车位公共部分装修" localSheetId="33">'[2]不动产比较法-车位'!$B$83:$M$83</definedName>
    <definedName name="车位公共部分装修">'不动产比较法-车位'!$B$83:$M$83</definedName>
    <definedName name="车位交易情况" localSheetId="33">'[2]不动产比较法-车位'!$A$51:$M$51</definedName>
    <definedName name="车位交易情况">'不动产比较法-车位'!$A$51:$M$51</definedName>
    <definedName name="车位类型" localSheetId="33">'[2]不动产比较法-车位'!$B$93:$M$93</definedName>
    <definedName name="车位类型">'不动产比较法-车位'!$B$93:$M$93</definedName>
    <definedName name="车位楼层" localSheetId="33">'[2]不动产比较法-车位'!$B$71:$M$71</definedName>
    <definedName name="车位楼层">'不动产比较法-车位'!$B$71:$M$71</definedName>
    <definedName name="车位配套类型" localSheetId="33">'[2]不动产比较法-车位'!$B$79:$M$79</definedName>
    <definedName name="车位配套类型">'不动产比较法-车位'!$B$79:$M$79</definedName>
    <definedName name="车位物业等级" localSheetId="33">'[2]不动产比较法-车位'!$B$88:$M$88</definedName>
    <definedName name="车位物业等级">'不动产比较法-车位'!$B$88:$M$88</definedName>
    <definedName name="车位用途" localSheetId="33">'[2]不动产比较法-车位'!$B$53:$M$53</definedName>
    <definedName name="车位用途">'不动产比较法-车位'!$B$53:$M$53</definedName>
    <definedName name="城镇土地纳税等级分级范围" localSheetId="33">'[2]数据-取费表'!$A$53:$A$63</definedName>
    <definedName name="城镇土地纳税等级分级范围">'数据-取费表'!$A$53:$A$63</definedName>
    <definedName name="单价内涵" localSheetId="33">[2]定义!$V$1:$V$3</definedName>
    <definedName name="单价内涵">定义!$V$1:$V$3</definedName>
    <definedName name="地类判定" localSheetId="33">[2]定义!$H$1:$H$9</definedName>
    <definedName name="地类判定">定义!$H$1:$H$9</definedName>
    <definedName name="二级">区片价!$J$1:$J$20</definedName>
    <definedName name="二级分类" localSheetId="33">[2]修正!$C$17:$C$39</definedName>
    <definedName name="二级分类">修正!$C$17:$C$39</definedName>
    <definedName name="法定最高年限" localSheetId="33">[2]定义!$G$2:$G$4</definedName>
    <definedName name="法定最高年限">定义!$G$2:$G$4</definedName>
    <definedName name="工业公共部分装修" localSheetId="33">'[2]不动产比较法-工业'!$B$95:$M$95</definedName>
    <definedName name="工业公共部分装修">'不动产比较法-工业'!$B$95:$M$95</definedName>
    <definedName name="工业基础设施水平" localSheetId="33">'[2]不动产比较法-工业'!$B$102:$M$102</definedName>
    <definedName name="工业基础设施水平">'不动产比较法-工业'!$B$102:$M$102</definedName>
    <definedName name="工业建筑结构" localSheetId="33">'[2]不动产比较法-工业'!$B$93:$M$93</definedName>
    <definedName name="工业建筑结构">'不动产比较法-工业'!$B$93:$M$93</definedName>
    <definedName name="工业建筑类型" localSheetId="33">'[2]不动产比较法-工业'!$B$88:$M$88</definedName>
    <definedName name="工业建筑类型">'不动产比较法-工业'!$B$88:$M$88</definedName>
    <definedName name="工业交易情况" localSheetId="33">'[2]不动产比较法-工业'!$A$55:$M$55</definedName>
    <definedName name="工业交易情况">'不动产比较法-工业'!$A$55:$M$55</definedName>
    <definedName name="工业内部装修" localSheetId="33">'[2]不动产比较法-工业'!$B$104:$M$104</definedName>
    <definedName name="工业内部装修">'不动产比较法-工业'!$B$104:$M$104</definedName>
    <definedName name="工业物业管理" localSheetId="33">'[2]不动产比较法-工业'!$B$100:$M$100</definedName>
    <definedName name="工业物业管理">'不动产比较法-工业'!$B$100:$M$100</definedName>
    <definedName name="工业用途" localSheetId="33">'[2]不动产比较法-工业'!$B$57:$M$57</definedName>
    <definedName name="工业用途">'不动产比较法-工业'!$B$57:$M$57</definedName>
    <definedName name="公共配套设施" localSheetId="33">[2]定义!$Q$1:$Q$6</definedName>
    <definedName name="公共配套设施">定义!$Q$1:$Q$6</definedName>
    <definedName name="公用设施及基础设施水平">[1]定义!$Q$1:$Q$6</definedName>
    <definedName name="估价方法" localSheetId="33">[2]定义!$B$1:$B$50</definedName>
    <definedName name="估价方法">定义!$B$1:$B$50</definedName>
    <definedName name="环境" localSheetId="33">[2]定义!$S$1:$S$6</definedName>
    <definedName name="环境">定义!$S$1:$S$6</definedName>
    <definedName name="基础设施水平" localSheetId="33">[2]定义!$R$1:$R$6</definedName>
    <definedName name="基础设施水平">定义!$R$1:$R$6</definedName>
    <definedName name="季度">基准地价!$N$19:$AB$19</definedName>
    <definedName name="季度2014">地价!$A$2:$A$30</definedName>
    <definedName name="价值类型2" localSheetId="33">[2]定义!$B$54:$B$56</definedName>
    <definedName name="价值类型2">定义!$B$54:$B$56</definedName>
    <definedName name="交通便捷度" localSheetId="33">[2]定义!$O$1:$O$6</definedName>
    <definedName name="交通便捷度">定义!$O$1:$O$6</definedName>
    <definedName name="九级">区片价!$Q$1:$Q$46</definedName>
    <definedName name="居住社区成熟度" localSheetId="33">[2]定义!$K$1:$K$6</definedName>
    <definedName name="居住社区成熟度">定义!$K$1:$K$6</definedName>
    <definedName name="类别" localSheetId="33">[2]定义!$J$1:$J$3</definedName>
    <definedName name="类别">定义!$J$1:$J$3</definedName>
    <definedName name="临街状况" localSheetId="33">[2]定义!$T$1:$T$5</definedName>
    <definedName name="临街状况">定义!$T$1:$T$5</definedName>
    <definedName name="六级">区片价!$N$1:$N$49</definedName>
    <definedName name="内部装修维护情况" localSheetId="33">[2]定义!$U$1:$U$6</definedName>
    <definedName name="内部装修维护情况">定义!$U$1:$U$6</definedName>
    <definedName name="判定" localSheetId="33">[2]定义!$D$1:$D$4</definedName>
    <definedName name="判定">定义!$D$1:$D$4</definedName>
    <definedName name="七级">区片价!$O$1:$O$49</definedName>
    <definedName name="七通一平" localSheetId="33">[2]修正!$A$6:$A$14</definedName>
    <definedName name="七通一平">修正!$A$6:$A$14</definedName>
    <definedName name="区域土地利用方向" localSheetId="33">[2]定义!$P$1:$P$6</definedName>
    <definedName name="区域土地利用方向">定义!$P$1:$P$6</definedName>
    <definedName name="三级">区片价!$K$1:$K$21</definedName>
    <definedName name="商业层高" localSheetId="33">'[2]不动产比较法-商业'!$B$116:$M$116</definedName>
    <definedName name="商业层高">'不动产比较法-商业'!$B$116:$M$116</definedName>
    <definedName name="商业成新度">'不动产比较法-商业'!$B$109:$M$109</definedName>
    <definedName name="商业繁华度" localSheetId="33">[2]定义!$L$1:$L$6</definedName>
    <definedName name="商业繁华度">定义!$L$1:$L$6</definedName>
    <definedName name="商业公共部分装修" localSheetId="33">'[2]不动产比较法-商业'!$B$107:$M$107</definedName>
    <definedName name="商业公共部分装修">'不动产比较法-商业'!$B$107:$M$107</definedName>
    <definedName name="商业基础设施水平" localSheetId="33">'[2]不动产比较法-商业'!$B$112:$M$112</definedName>
    <definedName name="商业基础设施水平">'不动产比较法-商业'!$B$112:$M$112</definedName>
    <definedName name="商业建筑结构" localSheetId="33">'[2]不动产比较法-商业'!$B$105:$M$105</definedName>
    <definedName name="商业建筑结构">'不动产比较法-商业'!$B$105:$M$105</definedName>
    <definedName name="商业交易情况" localSheetId="33">'[2]不动产比较法-商业'!$A$61:$M$61</definedName>
    <definedName name="商业交易情况">'不动产比较法-商业'!$A$61:$M$61</definedName>
    <definedName name="商业街名称" localSheetId="33">[2]修正!$C$59:$C$119</definedName>
    <definedName name="商业街名称">修正!$C$59:$C$119</definedName>
    <definedName name="商业进深比" localSheetId="33">'[2]不动产比较法-商业'!$B$120:$M$120</definedName>
    <definedName name="商业进深比">'不动产比较法-商业'!$B$120:$M$120</definedName>
    <definedName name="商业类型" localSheetId="33">'[2]不动产比较法-商业'!$B$100:$M$100</definedName>
    <definedName name="商业类型">'不动产比较法-商业'!$B$100:$M$100</definedName>
    <definedName name="商业临街状况" localSheetId="33">'[2]不动产比较法-商业'!$B$86:$M$86</definedName>
    <definedName name="商业临街状况">'不动产比较法-商业'!$B$86:$M$86</definedName>
    <definedName name="商业楼层" localSheetId="33">'[2]不动产比较法-商业'!$B$92:$M$92</definedName>
    <definedName name="商业楼层">'不动产比较法-商业'!$B$92:$M$92</definedName>
    <definedName name="商业内部装修" localSheetId="33">'[2]不动产比较法-商业'!$B$122:$M$122</definedName>
    <definedName name="商业内部装修">'不动产比较法-商业'!$B$122:$M$122</definedName>
    <definedName name="商业人流量" localSheetId="33">'[2]不动产比较法-商业'!$B$90:$M$90</definedName>
    <definedName name="商业人流量">'不动产比较法-商业'!$B$90:$M$90</definedName>
    <definedName name="商业业态" localSheetId="33">'[2]不动产比较法-商业'!$B$114:$M$114</definedName>
    <definedName name="商业业态">'不动产比较法-商业'!$B$114:$M$114</definedName>
    <definedName name="商业用途" localSheetId="33">'[2]不动产比较法-商业'!$B$63:$M$63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3">'[2]不动产比较法-仓储'!$B$89:$M$89</definedName>
    <definedName name="是否封闭">'不动产比较法-仓储'!$B$89:$M$89</definedName>
    <definedName name="是否直接入户" localSheetId="33">'[2]不动产比较法-车位'!$B$95:$M$95</definedName>
    <definedName name="是否直接入户">'不动产比较法-车位'!$B$95:$M$95</definedName>
    <definedName name="四级">区片价!$L$1:$L$28</definedName>
    <definedName name="套工工程地质条件" localSheetId="33">'[2]比较法-工业'!$B$116:$M$116</definedName>
    <definedName name="套工工程地质条件">'比较法-工业'!$B$116:$M$116</definedName>
    <definedName name="套工交易情况" localSheetId="33">'[2]比较法-住宅、综合'!$A$75:$M$75</definedName>
    <definedName name="套工交易情况">'比较法-住宅、综合'!$A$75:$M$75</definedName>
    <definedName name="套工开发程度" localSheetId="33">'[2]比较法-工业'!$B$114:$M$114</definedName>
    <definedName name="套工开发程度">'比较法-工业'!$B$114:$M$114</definedName>
    <definedName name="套工临街等级" localSheetId="33">'[2]比较法-工业'!$B$99:$M$99</definedName>
    <definedName name="套工临街等级">'比较法-工业'!$B$99:$M$99</definedName>
    <definedName name="套工土地级别" localSheetId="33">'[2]比较法-工业'!$B$101:$M$101</definedName>
    <definedName name="套工土地级别">'比较法-工业'!$B$101:$M$101</definedName>
    <definedName name="套工用途" localSheetId="33">'[2]比较法-工业'!$B$72:$M$72</definedName>
    <definedName name="套工用途">'比较法-工业'!$B$72:$M$72</definedName>
    <definedName name="套工宗地形状" localSheetId="33">'[2]比较法-工业'!$B$112:$M$112</definedName>
    <definedName name="套工宗地形状">'比较法-工业'!$B$112:$M$112</definedName>
    <definedName name="套综道路等级" localSheetId="33">'[2]比较法-住宅、综合'!$B$108:$M$108</definedName>
    <definedName name="套综道路等级">'比较法-住宅、综合'!$B$108:$M$108</definedName>
    <definedName name="套综工程地质条件" localSheetId="33">'[2]比较法-住宅、综合'!$B$127:$M$127</definedName>
    <definedName name="套综工程地质条件">'比较法-住宅、综合'!$B$127:$M$127</definedName>
    <definedName name="套综交易情况" localSheetId="33">'[2]比较法-住宅、综合'!$A$75:$M$75</definedName>
    <definedName name="套综交易情况">'比较法-住宅、综合'!$A$75:$M$75</definedName>
    <definedName name="套综临街宽度及深度" localSheetId="33">'[2]比较法-住宅、综合'!$B$123:$M$123</definedName>
    <definedName name="套综临街宽度及深度">'比较法-住宅、综合'!$B$123:$M$123</definedName>
    <definedName name="套综土地级别" localSheetId="33">'[2]比较法-住宅、综合'!$B$110:$M$110</definedName>
    <definedName name="套综土地级别">'比较法-住宅、综合'!$B$110:$M$110</definedName>
    <definedName name="套综用途" localSheetId="33">'[2]比较法-住宅、综合'!$B$77:$M$77</definedName>
    <definedName name="套综用途">'比较法-住宅、综合'!$B$77:$M$77</definedName>
    <definedName name="套综宗地内开发程度" localSheetId="33">'[2]比较法-住宅、综合'!$B$125:$M$125</definedName>
    <definedName name="套综宗地内开发程度">'比较法-住宅、综合'!$B$125:$M$125</definedName>
    <definedName name="套综宗地形状" localSheetId="33">'[2]比较法-住宅、综合'!$B$121:$M$121</definedName>
    <definedName name="套综宗地形状">'比较法-住宅、综合'!$B$121:$M$121</definedName>
    <definedName name="土地估价师" localSheetId="33">[2]估价师及机构信息!$D$3:$D$24</definedName>
    <definedName name="土地估价师">估价师及机构信息!$D$3:$D$24</definedName>
    <definedName name="土地级别" localSheetId="33">[2]定义!$C$1:$C$14</definedName>
    <definedName name="土地级别">定义!$C$1:$C$14</definedName>
    <definedName name="土地利用方向">定义!$P$1:$P$6</definedName>
    <definedName name="土地年限区间" localSheetId="33">[2]定义!$I$1:$I$8</definedName>
    <definedName name="土地年限区间">定义!$I$1:$I$8</definedName>
    <definedName name="位置" localSheetId="33">[2]定义!$E$2:$E$4</definedName>
    <definedName name="位置">定义!$E$2:$E$4</definedName>
    <definedName name="五等判定" localSheetId="33">[2]定义!$W$1:$W$6</definedName>
    <definedName name="五等判定">定义!$W$1:$W$6</definedName>
    <definedName name="五级">区片价!$M$1:$M$35</definedName>
    <definedName name="项目类型" localSheetId="33">'[2]数据-汇总表'!$C$17:$C$26</definedName>
    <definedName name="项目类型">'数据-汇总表'!$C$17:$C$26</definedName>
    <definedName name="写字楼等级" localSheetId="33">'[2]不动产比较法-办公'!$B$113:$M$113</definedName>
    <definedName name="写字楼等级">'不动产比较法-办公'!$B$113:$M$113</definedName>
    <definedName name="一级">区片价!$I$1:$I$6</definedName>
    <definedName name="一修多修正项2" localSheetId="33">[2]典型户型修正!$5:$5</definedName>
    <definedName name="一修多修正项2">典型户型修正!$5:$5</definedName>
    <definedName name="一修多修正项3" localSheetId="33">[2]典型户型修正!$7:$7</definedName>
    <definedName name="一修多修正项3">典型户型修正!$7:$7</definedName>
    <definedName name="一修多修正项4" localSheetId="33">[2]典型户型修正!$9:$9</definedName>
    <definedName name="一修多修正项4">典型户型修正!$9:$9</definedName>
    <definedName name="一修多修正项5" localSheetId="33">[2]典型户型修正!$11:$11</definedName>
    <definedName name="一修多修正项5">典型户型修正!$11:$11</definedName>
    <definedName name="一修多修正项6" localSheetId="33">[2]典型户型修正!$13:$13</definedName>
    <definedName name="一修多修正项6">典型户型修正!$13:$13</definedName>
    <definedName name="一修多修正项7" localSheetId="33">[2]典型户型修正!$15:$15</definedName>
    <definedName name="一修多修正项7">典型户型修正!$15:$15</definedName>
    <definedName name="一修多修正项8" localSheetId="33">[2]典型户型修正!$17:$17</definedName>
    <definedName name="一修多修正项8">典型户型修正!$17:$17</definedName>
    <definedName name="用途类型" localSheetId="33">[2]定义!$A$1:$A$50</definedName>
    <definedName name="用途类型">定义!$A$1:$A$50</definedName>
    <definedName name="有无电梯" localSheetId="33">'[2]不动产比较法-仓储'!$B$84:$M$84</definedName>
    <definedName name="有无电梯">'不动产比较法-仓储'!$B$84:$M$84</definedName>
    <definedName name="主用途" localSheetId="33">[2]定义!$F$1:$F$10</definedName>
    <definedName name="主用途">定义!$F$1:$F$10</definedName>
    <definedName name="住宅朝向" localSheetId="33">'[2]不动产比较法-住宅'!$B$88:$M$88</definedName>
    <definedName name="住宅朝向">'不动产比较法-住宅'!$B$88:$M$88</definedName>
    <definedName name="住宅房型" localSheetId="33">'[2]不动产比较法-住宅'!$B$118:$M$118</definedName>
    <definedName name="住宅房型">'不动产比较法-住宅'!$B$118:$M$118</definedName>
    <definedName name="住宅公共部分装修" localSheetId="33">'[2]不动产比较法-住宅'!$B$109:$M$109</definedName>
    <definedName name="住宅公共部分装修">'不动产比较法-住宅'!$B$109:$M$109</definedName>
    <definedName name="住宅基础设施水平" localSheetId="33">'[2]不动产比较法-住宅'!$B$116:$M$116</definedName>
    <definedName name="住宅基础设施水平">'不动产比较法-住宅'!$B$116:$M$116</definedName>
    <definedName name="住宅建筑结构" localSheetId="33">'[2]不动产比较法-住宅'!$B$105:$M$105</definedName>
    <definedName name="住宅建筑结构">'不动产比较法-住宅'!$B$105:$M$105</definedName>
    <definedName name="住宅建筑类型" localSheetId="33">'[2]不动产比较法-住宅'!$B$100:$M$100</definedName>
    <definedName name="住宅建筑类型">'不动产比较法-住宅'!$B$100:$M$100</definedName>
    <definedName name="住宅建筑品质" localSheetId="33">'[2]不动产比较法-住宅'!$B$107:$M$107</definedName>
    <definedName name="住宅建筑品质">'不动产比较法-住宅'!$B$107:$M$107</definedName>
    <definedName name="住宅交易情况" localSheetId="33">'[2]不动产比较法-住宅'!$A$61:$M$61</definedName>
    <definedName name="住宅交易情况">'不动产比较法-住宅'!$A$61:$M$61</definedName>
    <definedName name="住宅楼层" localSheetId="33">'[2]不动产比较法-住宅'!$B$86:$M$86</definedName>
    <definedName name="住宅楼层">'不动产比较法-住宅'!$B$86:$M$86</definedName>
    <definedName name="住宅内部装修" localSheetId="33">'[2]不动产比较法-住宅'!$B$122:$M$122</definedName>
    <definedName name="住宅内部装修">'不动产比较法-住宅'!$B$122:$M$122</definedName>
    <definedName name="住宅物业管理" localSheetId="33">'[2]不动产比较法-住宅'!$B$114:$M$114</definedName>
    <definedName name="住宅物业管理">'不动产比较法-住宅'!$B$114:$M$114</definedName>
    <definedName name="住宅用途" localSheetId="33">'[2]不动产比较法-住宅'!$B$63:$M$63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1" i="70" l="1"/>
  <c r="J6" i="70"/>
  <c r="H6" i="70"/>
  <c r="H15" i="70"/>
  <c r="G15" i="70"/>
  <c r="J13" i="70"/>
  <c r="O9" i="71" l="1"/>
  <c r="G4" i="70" l="1"/>
  <c r="G25" i="70"/>
  <c r="J9" i="70"/>
  <c r="I17" i="70"/>
  <c r="I6" i="70"/>
  <c r="I25" i="70"/>
  <c r="I4" i="70"/>
  <c r="H10" i="72"/>
  <c r="H9" i="72"/>
  <c r="H8" i="72"/>
  <c r="H7" i="72"/>
  <c r="H6" i="72"/>
  <c r="H5" i="72"/>
  <c r="H4" i="72"/>
  <c r="H3" i="72"/>
  <c r="H2" i="72"/>
  <c r="F19" i="6" l="1"/>
  <c r="I13" i="3"/>
  <c r="K4" i="70"/>
  <c r="K16" i="70"/>
  <c r="I16" i="70"/>
  <c r="E16" i="70"/>
  <c r="K25" i="70"/>
  <c r="K26" i="70" s="1"/>
  <c r="K17" i="70"/>
  <c r="M26" i="70"/>
  <c r="G26" i="70"/>
  <c r="E26" i="70"/>
  <c r="E17" i="70"/>
  <c r="C17" i="70"/>
  <c r="U9" i="70"/>
  <c r="V9" i="70" s="1"/>
  <c r="R9" i="70" s="1"/>
  <c r="Q9" i="70" s="1"/>
  <c r="U8" i="70"/>
  <c r="V8" i="70" s="1"/>
  <c r="R8" i="70" s="1"/>
  <c r="Q8" i="70" s="1"/>
  <c r="U7" i="70"/>
  <c r="V7" i="70" s="1"/>
  <c r="R7" i="70" s="1"/>
  <c r="Q7" i="70" s="1"/>
  <c r="S7" i="70" s="1"/>
  <c r="N7" i="70"/>
  <c r="L7" i="70"/>
  <c r="J7" i="70"/>
  <c r="H7" i="70"/>
  <c r="U6" i="70"/>
  <c r="V6" i="70" s="1"/>
  <c r="I26" i="70"/>
  <c r="U5" i="70"/>
  <c r="V5" i="70" s="1"/>
  <c r="Q5" i="70"/>
  <c r="M5" i="70"/>
  <c r="K5" i="70"/>
  <c r="I5" i="70"/>
  <c r="G5" i="70"/>
  <c r="E5" i="70"/>
  <c r="E4" i="70"/>
  <c r="F1" i="46"/>
  <c r="D29" i="46"/>
  <c r="D3" i="4"/>
  <c r="R6" i="70" l="1"/>
  <c r="Q6" i="70" s="1"/>
  <c r="S6" i="70" s="1"/>
  <c r="R5" i="70"/>
  <c r="S5" i="70" s="1"/>
  <c r="I29" i="70"/>
  <c r="C8" i="11" s="1"/>
  <c r="A27" i="70"/>
  <c r="V6" i="59"/>
  <c r="U6" i="59"/>
  <c r="T6" i="59"/>
  <c r="S6" i="59"/>
  <c r="AH5" i="59" l="1"/>
  <c r="AG5" i="59"/>
  <c r="AE5" i="59"/>
  <c r="AF5" i="59" s="1"/>
  <c r="AD5" i="59"/>
  <c r="Q5" i="59"/>
  <c r="P5" i="59"/>
  <c r="O5" i="59"/>
  <c r="N5" i="59"/>
  <c r="X29" i="59" l="1"/>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Y29" i="59"/>
  <c r="Z29" i="59"/>
  <c r="AA29" i="59"/>
  <c r="AB29" i="59"/>
  <c r="F25" i="12"/>
  <c r="C25" i="12" s="1"/>
  <c r="X10" i="59"/>
  <c r="Y10" i="59"/>
  <c r="Z10" i="59"/>
  <c r="AA10" i="59"/>
  <c r="AB10" i="59"/>
  <c r="N7" i="59"/>
  <c r="X7" i="59"/>
  <c r="O7" i="59"/>
  <c r="Y7" i="59"/>
  <c r="Z7" i="59"/>
  <c r="P7" i="59"/>
  <c r="AA7" i="59"/>
  <c r="Q7" i="59"/>
  <c r="AB7" i="59"/>
  <c r="X8" i="59"/>
  <c r="Y8" i="59"/>
  <c r="Z8" i="59"/>
  <c r="AA8" i="59"/>
  <c r="AB8" i="59"/>
  <c r="X9" i="59"/>
  <c r="Y9" i="59"/>
  <c r="Z9" i="59"/>
  <c r="AA9" i="59"/>
  <c r="AB9" i="59"/>
  <c r="AH6" i="59"/>
  <c r="AG6" i="59"/>
  <c r="AE6" i="59"/>
  <c r="AF6" i="59" s="1"/>
  <c r="AD6" i="59"/>
  <c r="Q6" i="59"/>
  <c r="AB5" i="59" s="1"/>
  <c r="AB6" i="59"/>
  <c r="P6" i="59"/>
  <c r="AA5" i="59" s="1"/>
  <c r="O6" i="59"/>
  <c r="Y5" i="59" s="1"/>
  <c r="Z5" i="59" s="1"/>
  <c r="Y6" i="59"/>
  <c r="Z6" i="59" s="1"/>
  <c r="N6" i="59"/>
  <c r="X5" i="59" s="1"/>
  <c r="X6" i="59"/>
  <c r="F7" i="59"/>
  <c r="F6" i="59"/>
  <c r="F5" i="59" s="1"/>
  <c r="E7" i="59"/>
  <c r="C7" i="59"/>
  <c r="C6" i="59"/>
  <c r="C5" i="59" s="1"/>
  <c r="D5" i="59" s="1"/>
  <c r="B7" i="59"/>
  <c r="B6" i="59"/>
  <c r="B5" i="59" s="1"/>
  <c r="Q8" i="59"/>
  <c r="Q9" i="59"/>
  <c r="P8" i="59"/>
  <c r="P9" i="59"/>
  <c r="O8" i="59"/>
  <c r="O9" i="59"/>
  <c r="N8" i="59"/>
  <c r="N9" i="59"/>
  <c r="B9" i="59"/>
  <c r="B8" i="59"/>
  <c r="C9" i="59"/>
  <c r="C8" i="59"/>
  <c r="D7" i="59"/>
  <c r="E9" i="59"/>
  <c r="E8" i="59"/>
  <c r="F9" i="59"/>
  <c r="F8" i="59"/>
  <c r="AD7" i="59"/>
  <c r="AE7" i="59"/>
  <c r="AF7" i="59"/>
  <c r="AG7" i="59"/>
  <c r="AH7" i="59"/>
  <c r="AH8" i="59"/>
  <c r="AG8" i="59"/>
  <c r="AE8" i="59"/>
  <c r="AF8" i="59"/>
  <c r="AD8" i="59"/>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J3" i="59"/>
  <c r="AE3" i="59"/>
  <c r="AF3" i="59" s="1"/>
  <c r="I3" i="59"/>
  <c r="AD3" i="59" s="1"/>
  <c r="AH11" i="59"/>
  <c r="AG11" i="59"/>
  <c r="AE11" i="59"/>
  <c r="AF11" i="59"/>
  <c r="AD11" i="59"/>
  <c r="Q11" i="59"/>
  <c r="Q12" i="59"/>
  <c r="P11" i="59"/>
  <c r="P12" i="59"/>
  <c r="O11" i="59"/>
  <c r="O12" i="59"/>
  <c r="N11" i="59"/>
  <c r="N12" i="59"/>
  <c r="AH12" i="59"/>
  <c r="AG12" i="59"/>
  <c r="AE12" i="59"/>
  <c r="AF12" i="59"/>
  <c r="AD12" i="59"/>
  <c r="Q13" i="59"/>
  <c r="P13" i="59"/>
  <c r="O13" i="59"/>
  <c r="N13" i="59"/>
  <c r="M19" i="46"/>
  <c r="J50" i="15"/>
  <c r="J51" i="15"/>
  <c r="D15" i="59"/>
  <c r="AH13" i="59"/>
  <c r="AG13" i="59"/>
  <c r="AE13" i="59"/>
  <c r="AF13" i="59"/>
  <c r="AD13" i="59"/>
  <c r="AE14" i="59"/>
  <c r="AF14" i="59"/>
  <c r="AG14" i="59"/>
  <c r="AH14" i="59"/>
  <c r="AD14" i="59"/>
  <c r="Q14" i="59"/>
  <c r="P14" i="59"/>
  <c r="O14" i="59"/>
  <c r="N14" i="59"/>
  <c r="N15" i="59"/>
  <c r="Q15" i="59"/>
  <c r="P15" i="59"/>
  <c r="O15"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6" i="59"/>
  <c r="O16" i="59"/>
  <c r="N17" i="59"/>
  <c r="O17" i="59"/>
  <c r="P17" i="59"/>
  <c r="Q17" i="59"/>
  <c r="N16" i="59"/>
  <c r="P16" i="59"/>
  <c r="B18" i="59"/>
  <c r="C18" i="59"/>
  <c r="D18" i="59"/>
  <c r="E18" i="59"/>
  <c r="F1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8" i="59"/>
  <c r="U18" i="59"/>
  <c r="T18" i="59"/>
  <c r="S18" i="59"/>
  <c r="B17" i="59"/>
  <c r="B16" i="59"/>
  <c r="B14" i="59"/>
  <c r="B13" i="59"/>
  <c r="B12" i="59"/>
  <c r="E17" i="59"/>
  <c r="E16" i="59"/>
  <c r="E14" i="59"/>
  <c r="E13" i="59"/>
  <c r="E12" i="59"/>
  <c r="E11" i="59"/>
  <c r="E10" i="59"/>
  <c r="C17" i="59"/>
  <c r="F17" i="59"/>
  <c r="F16" i="59"/>
  <c r="F14" i="59"/>
  <c r="V14" i="59"/>
  <c r="U14" i="59"/>
  <c r="S14" i="59"/>
  <c r="D17" i="59"/>
  <c r="C16" i="59"/>
  <c r="AG3"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F29" i="59"/>
  <c r="AD29" i="59"/>
  <c r="AD30" i="59"/>
  <c r="AE30" i="59"/>
  <c r="AF30" i="59"/>
  <c r="AG30" i="59"/>
  <c r="AH30" i="59"/>
  <c r="D16" i="59"/>
  <c r="S2" i="31"/>
  <c r="M2" i="31"/>
  <c r="N2" i="31"/>
  <c r="O2" i="31"/>
  <c r="P2" i="31"/>
  <c r="Q2" i="31"/>
  <c r="R2" i="31"/>
  <c r="C14" i="59"/>
  <c r="C13" i="59"/>
  <c r="C3" i="65"/>
  <c r="C1" i="65"/>
  <c r="N1" i="65" s="1"/>
  <c r="T14" i="59"/>
  <c r="D14"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8" i="59"/>
  <c r="P18" i="59"/>
  <c r="O18" i="59"/>
  <c r="N18" i="59"/>
  <c r="D79" i="59"/>
  <c r="F78" i="59"/>
  <c r="E78" i="59"/>
  <c r="E77" i="59"/>
  <c r="E76" i="59"/>
  <c r="C78" i="59"/>
  <c r="D78" i="59"/>
  <c r="B78" i="59"/>
  <c r="F77" i="59"/>
  <c r="F76" i="59"/>
  <c r="B77" i="59"/>
  <c r="B76" i="59"/>
  <c r="D75" i="59"/>
  <c r="F74" i="59"/>
  <c r="E74" i="59"/>
  <c r="E73" i="59"/>
  <c r="E72" i="59"/>
  <c r="C74" i="59"/>
  <c r="D74" i="59"/>
  <c r="B74" i="59"/>
  <c r="F73" i="59"/>
  <c r="F72" i="59"/>
  <c r="B73" i="59"/>
  <c r="B72"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F58" i="59"/>
  <c r="V58" i="59"/>
  <c r="E58" i="59"/>
  <c r="E57" i="59"/>
  <c r="P57" i="59"/>
  <c r="C58" i="59"/>
  <c r="B58" i="59"/>
  <c r="N58" i="59"/>
  <c r="F57" i="59"/>
  <c r="F56" i="59"/>
  <c r="Q56" i="59"/>
  <c r="B57" i="59"/>
  <c r="Q55"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D39" i="59"/>
  <c r="T38" i="59"/>
  <c r="Q38" i="59"/>
  <c r="P38" i="59"/>
  <c r="O38" i="59"/>
  <c r="N38" i="59"/>
  <c r="D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O19" i="59"/>
  <c r="C20" i="59"/>
  <c r="N19" i="59"/>
  <c r="B20" i="59"/>
  <c r="D19" i="59"/>
  <c r="X3" i="59"/>
  <c r="AA3" i="59"/>
  <c r="Y3" i="59"/>
  <c r="Z3" i="59" s="1"/>
  <c r="AB3" i="59"/>
  <c r="B21" i="59"/>
  <c r="B22" i="59"/>
  <c r="S22" i="59"/>
  <c r="E20" i="59"/>
  <c r="E21" i="59"/>
  <c r="E22" i="59"/>
  <c r="U22" i="59"/>
  <c r="B41" i="59"/>
  <c r="B42" i="59"/>
  <c r="S42" i="59"/>
  <c r="E41" i="59"/>
  <c r="E42" i="59"/>
  <c r="U42" i="59"/>
  <c r="S58" i="59"/>
  <c r="F21" i="59"/>
  <c r="F22" i="59"/>
  <c r="V22" i="59"/>
  <c r="F25" i="59"/>
  <c r="F26" i="59"/>
  <c r="V26" i="59"/>
  <c r="F29" i="59"/>
  <c r="F30" i="59"/>
  <c r="V30" i="59"/>
  <c r="F33" i="59"/>
  <c r="F34" i="59"/>
  <c r="V34" i="59"/>
  <c r="F37" i="59"/>
  <c r="F38" i="59"/>
  <c r="V38" i="59"/>
  <c r="F45" i="59"/>
  <c r="F46" i="59"/>
  <c r="V46" i="59"/>
  <c r="F49" i="59"/>
  <c r="F50" i="59"/>
  <c r="V50" i="59"/>
  <c r="F53" i="59"/>
  <c r="F54" i="59"/>
  <c r="V54" i="59"/>
  <c r="C21" i="59"/>
  <c r="D20" i="59"/>
  <c r="C29" i="59"/>
  <c r="D28" i="59"/>
  <c r="C33" i="59"/>
  <c r="D32" i="59"/>
  <c r="C37" i="59"/>
  <c r="D37" i="59"/>
  <c r="D36" i="59"/>
  <c r="C41" i="59"/>
  <c r="D40" i="59"/>
  <c r="C45" i="59"/>
  <c r="D44" i="59"/>
  <c r="C49" i="59"/>
  <c r="D48" i="59"/>
  <c r="C53" i="59"/>
  <c r="D52" i="59"/>
  <c r="C25" i="59"/>
  <c r="D24" i="59"/>
  <c r="E56" i="59"/>
  <c r="N57" i="59"/>
  <c r="B56" i="59"/>
  <c r="Q57" i="59"/>
  <c r="T58" i="59"/>
  <c r="O58" i="59"/>
  <c r="D58" i="59"/>
  <c r="C57" i="59"/>
  <c r="P58" i="59"/>
  <c r="U58" i="59"/>
  <c r="Q58" i="59"/>
  <c r="C61" i="59"/>
  <c r="E61" i="59"/>
  <c r="E60" i="59"/>
  <c r="D62" i="59"/>
  <c r="C65" i="59"/>
  <c r="E65" i="59"/>
  <c r="E64" i="59"/>
  <c r="D66" i="59"/>
  <c r="C69" i="59"/>
  <c r="E69" i="59"/>
  <c r="E68" i="59"/>
  <c r="D70" i="59"/>
  <c r="C73" i="59"/>
  <c r="C77" i="59"/>
  <c r="U16" i="4"/>
  <c r="S16" i="4"/>
  <c r="Q16" i="4"/>
  <c r="O16" i="4"/>
  <c r="M16" i="4"/>
  <c r="K16" i="4"/>
  <c r="P55" i="59"/>
  <c r="P56" i="59"/>
  <c r="D77" i="59"/>
  <c r="C76" i="59"/>
  <c r="D76" i="59"/>
  <c r="D69" i="59"/>
  <c r="C68" i="59"/>
  <c r="D68" i="59"/>
  <c r="D61" i="59"/>
  <c r="C60" i="59"/>
  <c r="D60" i="59"/>
  <c r="C56" i="59"/>
  <c r="O57" i="59"/>
  <c r="D57" i="59"/>
  <c r="D73" i="59"/>
  <c r="C72" i="59"/>
  <c r="D72" i="59"/>
  <c r="D65" i="59"/>
  <c r="C64" i="59"/>
  <c r="D64" i="59"/>
  <c r="N55" i="59"/>
  <c r="N56" i="59"/>
  <c r="C26" i="59"/>
  <c r="D25" i="59"/>
  <c r="C54" i="59"/>
  <c r="D53" i="59"/>
  <c r="D49" i="59"/>
  <c r="C50" i="59"/>
  <c r="C46" i="59"/>
  <c r="D45" i="59"/>
  <c r="C42" i="59"/>
  <c r="D41" i="59"/>
  <c r="C34" i="59"/>
  <c r="D33" i="59"/>
  <c r="C30" i="59"/>
  <c r="D29" i="59"/>
  <c r="C22" i="59"/>
  <c r="D21" i="59"/>
  <c r="N16" i="4"/>
  <c r="L16" i="4"/>
  <c r="T50" i="59"/>
  <c r="D50" i="59"/>
  <c r="T22" i="59"/>
  <c r="D22" i="59"/>
  <c r="T30" i="59"/>
  <c r="D30" i="59"/>
  <c r="T34" i="59"/>
  <c r="D34" i="59"/>
  <c r="T42" i="59"/>
  <c r="D42" i="59"/>
  <c r="T46" i="59"/>
  <c r="D46" i="59"/>
  <c r="T54" i="59"/>
  <c r="D54" i="59"/>
  <c r="T26" i="59"/>
  <c r="D26" i="59"/>
  <c r="O56" i="59"/>
  <c r="D56" i="59"/>
  <c r="O5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s="1"/>
  <c r="D86" i="46"/>
  <c r="K86" i="46"/>
  <c r="J86" i="46"/>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6"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D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 i="3" s="1"/>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A18" i="64"/>
  <c r="B74" i="63"/>
  <c r="C53" i="10"/>
  <c r="A25" i="64"/>
  <c r="A18" i="51"/>
  <c r="B14" i="63"/>
  <c r="BA16" i="3"/>
  <c r="BA17" i="3"/>
  <c r="AZ17" i="3"/>
  <c r="C24" i="12"/>
  <c r="F3" i="35"/>
  <c r="K1" i="43"/>
  <c r="K1" i="12"/>
  <c r="G1" i="44"/>
  <c r="I4" i="6"/>
  <c r="G3" i="46"/>
  <c r="AZ15" i="3"/>
  <c r="G5" i="3"/>
  <c r="B3" i="3" s="1"/>
  <c r="BK5" i="3"/>
  <c r="BO5" i="3"/>
  <c r="BP5" i="3"/>
  <c r="BN5" i="3"/>
  <c r="BL18" i="3"/>
  <c r="AZ18" i="3"/>
  <c r="BC5" i="3"/>
  <c r="E8" i="6"/>
  <c r="E53" i="40" s="1"/>
  <c r="BD5" i="3"/>
  <c r="BR5" i="3"/>
  <c r="G28" i="6" s="1"/>
  <c r="G30" i="6" s="1"/>
  <c r="G31" i="6" s="1"/>
  <c r="BS5" i="3"/>
  <c r="F28" i="6" s="1"/>
  <c r="BQ5" i="3"/>
  <c r="BL16" i="3"/>
  <c r="BM5" i="3"/>
  <c r="BA13" i="3"/>
  <c r="G28" i="12"/>
  <c r="G22" i="43"/>
  <c r="G26" i="12"/>
  <c r="D24" i="44"/>
  <c r="D26" i="44"/>
  <c r="G27" i="12"/>
  <c r="G23" i="43"/>
  <c r="G21" i="43"/>
  <c r="N8" i="46"/>
  <c r="N4" i="46"/>
  <c r="N1" i="46"/>
  <c r="F47" i="46"/>
  <c r="H53" i="46" s="1"/>
  <c r="M9" i="46"/>
  <c r="M2" i="46"/>
  <c r="N11" i="46"/>
  <c r="N9" i="46"/>
  <c r="M4" i="46"/>
  <c r="M12" i="46"/>
  <c r="M8" i="46"/>
  <c r="C6" i="46" s="1"/>
  <c r="M3" i="46"/>
  <c r="M5" i="46"/>
  <c r="H6" i="48"/>
  <c r="H15" i="48"/>
  <c r="H5" i="48"/>
  <c r="H14" i="48"/>
  <c r="F36" i="46"/>
  <c r="K17" i="46"/>
  <c r="F39" i="46"/>
  <c r="H13" i="48"/>
  <c r="H11" i="48"/>
  <c r="D17" i="46"/>
  <c r="D71" i="46"/>
  <c r="D84" i="46"/>
  <c r="E80" i="46" s="1"/>
  <c r="B78" i="46" s="1"/>
  <c r="C24" i="46" s="1"/>
  <c r="D69" i="46"/>
  <c r="E69" i="46" s="1"/>
  <c r="B67" i="46" s="1"/>
  <c r="E47" i="46"/>
  <c r="E58" i="46"/>
  <c r="B56" i="46" s="1"/>
  <c r="A4" i="64"/>
  <c r="A4" i="51"/>
  <c r="C51" i="10"/>
  <c r="I100" i="46"/>
  <c r="N100" i="46"/>
  <c r="H100" i="46"/>
  <c r="F108" i="46"/>
  <c r="B45" i="46"/>
  <c r="E100" i="46"/>
  <c r="G100" i="46"/>
  <c r="C100" i="46"/>
  <c r="J100" i="46"/>
  <c r="M100" i="46"/>
  <c r="AA12" i="36"/>
  <c r="U12" i="35"/>
  <c r="AB12" i="35"/>
  <c r="W11" i="35"/>
  <c r="AA11" i="35"/>
  <c r="S14" i="37"/>
  <c r="U13" i="37"/>
  <c r="S13" i="21"/>
  <c r="C24" i="9"/>
  <c r="C25" i="9"/>
  <c r="G9" i="1"/>
  <c r="G8" i="1"/>
  <c r="I20" i="46"/>
  <c r="B6" i="63"/>
  <c r="L5" i="54"/>
  <c r="B39" i="63"/>
  <c r="K5" i="54"/>
  <c r="B38" i="63"/>
  <c r="T41" i="4"/>
  <c r="A17" i="64"/>
  <c r="B46" i="50"/>
  <c r="B4" i="63" s="1"/>
  <c r="C46" i="36"/>
  <c r="C48" i="35"/>
  <c r="D48" i="35"/>
  <c r="C52" i="37"/>
  <c r="D52" i="37"/>
  <c r="O19" i="46"/>
  <c r="K17" i="4"/>
  <c r="A22" i="51"/>
  <c r="B16" i="63" s="1"/>
  <c r="H10" i="48"/>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 i="6" s="1"/>
  <c r="K15" i="1" s="1"/>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283" i="3"/>
  <c r="E23" i="3"/>
  <c r="E535" i="3"/>
  <c r="A17" i="51"/>
  <c r="B13" i="63"/>
  <c r="E443" i="3"/>
  <c r="E156" i="3"/>
  <c r="E265" i="3"/>
  <c r="E381" i="3"/>
  <c r="E194" i="3"/>
  <c r="E49" i="3"/>
  <c r="AM6" i="3"/>
  <c r="E427" i="3"/>
  <c r="E78" i="3"/>
  <c r="E193" i="3"/>
  <c r="E337" i="3"/>
  <c r="E278" i="3"/>
  <c r="E390" i="3"/>
  <c r="E104" i="3"/>
  <c r="E158" i="3"/>
  <c r="E94" i="3"/>
  <c r="E296" i="3"/>
  <c r="E58" i="39"/>
  <c r="F27" i="6"/>
  <c r="E5" i="6"/>
  <c r="D21" i="12" s="1"/>
  <c r="C21" i="12"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AZ16" i="3"/>
  <c r="H16" i="1"/>
  <c r="A9" i="64"/>
  <c r="A9" i="51"/>
  <c r="B9" i="63"/>
  <c r="A3" i="55"/>
  <c r="B56" i="63"/>
  <c r="G66" i="36"/>
  <c r="J18" i="36"/>
  <c r="AE8" i="1"/>
  <c r="AE7" i="1"/>
  <c r="AE6" i="1"/>
  <c r="W18" i="36"/>
  <c r="AC18" i="36"/>
  <c r="AG6" i="1"/>
  <c r="L20" i="6"/>
  <c r="AZ5" i="3"/>
  <c r="E3" i="6"/>
  <c r="D16" i="43" s="1"/>
  <c r="C16" i="43" s="1"/>
  <c r="L19" i="6"/>
  <c r="S7" i="1"/>
  <c r="S6" i="1"/>
  <c r="S8" i="1"/>
  <c r="S9" i="1"/>
  <c r="D16" i="12"/>
  <c r="D19" i="12" s="1"/>
  <c r="C19" i="12" s="1"/>
  <c r="R9" i="1"/>
  <c r="R7" i="1"/>
  <c r="R8" i="1"/>
  <c r="C45" i="9"/>
  <c r="H14" i="66"/>
  <c r="B7" i="66"/>
  <c r="C44" i="9"/>
  <c r="G14" i="66"/>
  <c r="B6" i="66"/>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s="1"/>
  <c r="D58" i="21"/>
  <c r="C72" i="39"/>
  <c r="D58" i="33"/>
  <c r="E58" i="33"/>
  <c r="D65" i="40"/>
  <c r="E65" i="40" s="1"/>
  <c r="E67" i="40" s="1"/>
  <c r="H58" i="46"/>
  <c r="J17" i="46"/>
  <c r="C17" i="46"/>
  <c r="F34" i="46"/>
  <c r="F38" i="46"/>
  <c r="F37" i="46"/>
  <c r="H113" i="46"/>
  <c r="H49" i="46"/>
  <c r="D13" i="59"/>
  <c r="C12" i="59"/>
  <c r="D12" i="59"/>
  <c r="U10" i="59"/>
  <c r="F13" i="59"/>
  <c r="F12" i="59"/>
  <c r="F11" i="59"/>
  <c r="F10" i="59"/>
  <c r="C21" i="4"/>
  <c r="O5" i="54" s="1"/>
  <c r="B45" i="63"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H6" i="3" s="1"/>
  <c r="E430" i="3"/>
  <c r="E103" i="3"/>
  <c r="E82" i="3"/>
  <c r="E548" i="3"/>
  <c r="E146" i="3"/>
  <c r="E200" i="3"/>
  <c r="E164" i="3"/>
  <c r="Z6" i="3"/>
  <c r="E77" i="3"/>
  <c r="E62" i="3"/>
  <c r="E99" i="3"/>
  <c r="E454" i="3"/>
  <c r="E434" i="3"/>
  <c r="E389" i="3"/>
  <c r="E262" i="3"/>
  <c r="E520" i="3"/>
  <c r="E552" i="3"/>
  <c r="E230" i="3"/>
  <c r="E101" i="3"/>
  <c r="AK6" i="3"/>
  <c r="E57" i="3"/>
  <c r="E143" i="3"/>
  <c r="C29" i="12"/>
  <c r="C27" i="43"/>
  <c r="C28" i="15"/>
  <c r="H1" i="65"/>
  <c r="Q16" i="1"/>
  <c r="F18" i="11" s="1"/>
  <c r="C18" i="11" s="1"/>
  <c r="X7" i="46"/>
  <c r="E17" i="46"/>
  <c r="N17" i="46"/>
  <c r="O17" i="46"/>
  <c r="M17" i="46"/>
  <c r="L17" i="46"/>
  <c r="H22" i="46"/>
  <c r="Y11" i="46"/>
  <c r="Y13" i="46" s="1"/>
  <c r="H101" i="46"/>
  <c r="H102" i="46" s="1"/>
  <c r="G22" i="46"/>
  <c r="J22" i="46"/>
  <c r="F101" i="46"/>
  <c r="F106" i="46" s="1"/>
  <c r="D101" i="46"/>
  <c r="D106" i="46" s="1"/>
  <c r="P12" i="1"/>
  <c r="AY6" i="3"/>
  <c r="AY129" i="3" s="1"/>
  <c r="AP7" i="1"/>
  <c r="G13" i="1"/>
  <c r="E52" i="37"/>
  <c r="D46" i="36"/>
  <c r="E48" i="35"/>
  <c r="D59" i="34"/>
  <c r="G6" i="1"/>
  <c r="H70" i="46"/>
  <c r="H50" i="46"/>
  <c r="F35" i="46"/>
  <c r="I17" i="46"/>
  <c r="H63" i="46"/>
  <c r="I101" i="46"/>
  <c r="I102" i="46" s="1"/>
  <c r="M101" i="46"/>
  <c r="M104" i="46" s="1"/>
  <c r="N101" i="46"/>
  <c r="AC11" i="46"/>
  <c r="AC13" i="46" s="1"/>
  <c r="AD11" i="46"/>
  <c r="AD13" i="46" s="1"/>
  <c r="AJ11" i="46"/>
  <c r="AJ13" i="46" s="1"/>
  <c r="H64" i="46"/>
  <c r="H66" i="46"/>
  <c r="D100" i="46"/>
  <c r="H62" i="46"/>
  <c r="AF12" i="46"/>
  <c r="K100" i="46"/>
  <c r="AB12" i="46"/>
  <c r="AJ12" i="46"/>
  <c r="F103" i="46"/>
  <c r="C101" i="46"/>
  <c r="C109" i="46" s="1"/>
  <c r="G101" i="46"/>
  <c r="J101" i="46"/>
  <c r="J106" i="46" s="1"/>
  <c r="B113" i="46"/>
  <c r="N104" i="45"/>
  <c r="L101" i="46"/>
  <c r="F22" i="46"/>
  <c r="E101" i="46"/>
  <c r="Z7" i="46"/>
  <c r="K101" i="46"/>
  <c r="E22" i="46"/>
  <c r="AG11" i="46"/>
  <c r="AG13" i="46" s="1"/>
  <c r="Z11" i="46"/>
  <c r="Z13" i="46" s="1"/>
  <c r="AH11" i="46"/>
  <c r="AH13" i="46" s="1"/>
  <c r="AA11" i="46"/>
  <c r="AA13" i="46" s="1"/>
  <c r="AI11" i="46"/>
  <c r="AI13" i="46" s="1"/>
  <c r="AF11" i="46"/>
  <c r="AF13" i="46" s="1"/>
  <c r="AE11" i="46"/>
  <c r="AE13" i="46" s="1"/>
  <c r="H60" i="46"/>
  <c r="H59" i="46"/>
  <c r="H74" i="46"/>
  <c r="H65" i="46"/>
  <c r="AB11" i="46"/>
  <c r="AB13" i="46" s="1"/>
  <c r="E10" i="46"/>
  <c r="E9" i="46"/>
  <c r="E11" i="46"/>
  <c r="E8" i="46"/>
  <c r="H72" i="46"/>
  <c r="H77" i="46"/>
  <c r="H55" i="46"/>
  <c r="H52" i="46"/>
  <c r="AD12" i="46"/>
  <c r="AH12" i="46"/>
  <c r="C11" i="59"/>
  <c r="C10" i="59"/>
  <c r="T10" i="59"/>
  <c r="B11" i="59"/>
  <c r="B10" i="59"/>
  <c r="S10" i="59"/>
  <c r="D11" i="59"/>
  <c r="D67" i="40"/>
  <c r="E70" i="39"/>
  <c r="F70" i="39" s="1"/>
  <c r="G70" i="39" s="1"/>
  <c r="V10" i="59"/>
  <c r="D10" i="59"/>
  <c r="H109" i="46"/>
  <c r="AY74" i="3"/>
  <c r="AY422" i="3"/>
  <c r="AY258" i="3"/>
  <c r="AY295" i="3"/>
  <c r="AY253" i="3"/>
  <c r="AY103" i="3"/>
  <c r="AY432" i="3"/>
  <c r="AY172" i="3"/>
  <c r="AY394" i="3"/>
  <c r="AY544" i="3"/>
  <c r="AY207" i="3"/>
  <c r="AY52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487" i="3"/>
  <c r="AY571" i="3"/>
  <c r="AY509" i="3"/>
  <c r="AY554" i="3"/>
  <c r="AY539" i="3"/>
  <c r="AY532" i="3"/>
  <c r="AY564" i="3"/>
  <c r="AY212" i="3"/>
  <c r="BB6" i="3"/>
  <c r="AY251" i="3"/>
  <c r="AY296" i="3"/>
  <c r="AY353" i="3"/>
  <c r="AY338" i="3"/>
  <c r="AY284" i="3"/>
  <c r="AY79" i="3"/>
  <c r="AY419" i="3"/>
  <c r="AY243" i="3"/>
  <c r="AY426" i="3"/>
  <c r="AY373" i="3"/>
  <c r="AY301" i="3"/>
  <c r="AY466" i="3"/>
  <c r="AY255" i="3"/>
  <c r="AY496" i="3"/>
  <c r="AY521" i="3"/>
  <c r="AY474" i="3"/>
  <c r="AY354" i="3"/>
  <c r="AY482" i="3"/>
  <c r="BE6" i="3"/>
  <c r="AY441" i="3"/>
  <c r="AY121" i="3"/>
  <c r="AY491" i="3"/>
  <c r="AY508" i="3"/>
  <c r="F48" i="35"/>
  <c r="E46" i="36"/>
  <c r="F46" i="36" s="1"/>
  <c r="E59" i="34"/>
  <c r="F59" i="34" s="1"/>
  <c r="G59" i="34" s="1"/>
  <c r="H59" i="34" s="1"/>
  <c r="I59" i="34" s="1"/>
  <c r="J59" i="34" s="1"/>
  <c r="K59" i="34" s="1"/>
  <c r="L59" i="34" s="1"/>
  <c r="M59" i="34" s="1"/>
  <c r="N59" i="34" s="1"/>
  <c r="O59" i="34" s="1"/>
  <c r="F52" i="37"/>
  <c r="I104" i="46"/>
  <c r="N107" i="46"/>
  <c r="I103" i="46"/>
  <c r="N109" i="46"/>
  <c r="N106" i="46"/>
  <c r="N103" i="46"/>
  <c r="N102" i="46"/>
  <c r="I105" i="46"/>
  <c r="I107"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3" i="46"/>
  <c r="C103" i="46"/>
  <c r="E109" i="46"/>
  <c r="C7" i="46"/>
  <c r="E72" i="39"/>
  <c r="F65" i="40"/>
  <c r="G65" i="40" s="1"/>
  <c r="D9" i="59"/>
  <c r="D8" i="59"/>
  <c r="G52" i="37"/>
  <c r="G48" i="35"/>
  <c r="G46" i="36"/>
  <c r="H46" i="36" s="1"/>
  <c r="I46" i="36" s="1"/>
  <c r="F72" i="39"/>
  <c r="H48" i="35"/>
  <c r="H52" i="37"/>
  <c r="H70" i="39"/>
  <c r="G72" i="39"/>
  <c r="H65" i="40"/>
  <c r="G67" i="40"/>
  <c r="I52" i="37"/>
  <c r="I48" i="35"/>
  <c r="H67" i="40"/>
  <c r="I65" i="40"/>
  <c r="J65" i="40" s="1"/>
  <c r="J67" i="40" s="1"/>
  <c r="I70" i="39"/>
  <c r="H72" i="39"/>
  <c r="J52" i="37"/>
  <c r="I67" i="40"/>
  <c r="J70" i="39"/>
  <c r="I72" i="39"/>
  <c r="J72" i="39"/>
  <c r="K70" i="39"/>
  <c r="K65" i="40"/>
  <c r="K67" i="40" s="1"/>
  <c r="L70" i="39"/>
  <c r="K72" i="39"/>
  <c r="L65" i="40"/>
  <c r="M65" i="40" s="1"/>
  <c r="L67" i="40"/>
  <c r="L72" i="39"/>
  <c r="M70" i="39"/>
  <c r="N70" i="39"/>
  <c r="N72" i="39"/>
  <c r="M72" i="39"/>
  <c r="F9" i="39"/>
  <c r="S9" i="39" s="1"/>
  <c r="J9" i="39"/>
  <c r="W9" i="39" s="1"/>
  <c r="H9" i="39"/>
  <c r="U9" i="39" s="1"/>
  <c r="N65" i="40"/>
  <c r="N67" i="40"/>
  <c r="M67" i="40"/>
  <c r="AC9" i="39"/>
  <c r="V49" i="39" s="1"/>
  <c r="I49" i="39" s="1"/>
  <c r="F9" i="15"/>
  <c r="F13" i="15"/>
  <c r="B9" i="67"/>
  <c r="N4" i="65"/>
  <c r="E8" i="67"/>
  <c r="M27" i="15"/>
  <c r="L47" i="15"/>
  <c r="L49" i="44"/>
  <c r="M23" i="15"/>
  <c r="F11" i="67"/>
  <c r="E11" i="67"/>
  <c r="J36" i="15"/>
  <c r="J5" i="65"/>
  <c r="J4" i="65"/>
  <c r="E9" i="67"/>
  <c r="E10" i="67"/>
  <c r="F36" i="15"/>
  <c r="M28" i="15"/>
  <c r="F9" i="44"/>
  <c r="F28" i="44"/>
  <c r="M29" i="15"/>
  <c r="I5" i="65"/>
  <c r="M10" i="44"/>
  <c r="B12" i="67"/>
  <c r="F14" i="67"/>
  <c r="M24" i="15"/>
  <c r="F41" i="15"/>
  <c r="M24" i="44"/>
  <c r="F37" i="15"/>
  <c r="F42" i="15"/>
  <c r="C19" i="44"/>
  <c r="F8" i="67"/>
  <c r="B14" i="67"/>
  <c r="F8" i="15"/>
  <c r="J17" i="44"/>
  <c r="M22" i="15"/>
  <c r="L48" i="15"/>
  <c r="I3" i="65"/>
  <c r="B10" i="67"/>
  <c r="N6" i="65"/>
  <c r="F15" i="44"/>
  <c r="F40" i="15"/>
  <c r="I6" i="65"/>
  <c r="F39" i="44"/>
  <c r="N7" i="65"/>
  <c r="F12" i="67"/>
  <c r="F43" i="15"/>
  <c r="F6" i="15"/>
  <c r="M26" i="44"/>
  <c r="F38" i="15"/>
  <c r="E14" i="67"/>
  <c r="F8" i="44"/>
  <c r="M26" i="15"/>
  <c r="M8" i="44"/>
  <c r="J15" i="15"/>
  <c r="M11" i="44"/>
  <c r="L48" i="44"/>
  <c r="J6" i="65"/>
  <c r="F10" i="67"/>
  <c r="F13" i="67"/>
  <c r="B11" i="67"/>
  <c r="I4" i="65"/>
  <c r="F35" i="15"/>
  <c r="I7" i="65"/>
  <c r="B8" i="67"/>
  <c r="F43" i="44"/>
  <c r="M8" i="15"/>
  <c r="B13" i="67"/>
  <c r="M25" i="44"/>
  <c r="M28" i="44"/>
  <c r="M23" i="44"/>
  <c r="N3" i="65"/>
  <c r="E13" i="67"/>
  <c r="F16" i="15"/>
  <c r="F40" i="44"/>
  <c r="M9" i="15"/>
  <c r="M21" i="15"/>
  <c r="E12" i="67"/>
  <c r="M31" i="44"/>
  <c r="F38" i="44"/>
  <c r="F26" i="15"/>
  <c r="F37" i="44"/>
  <c r="F46" i="44"/>
  <c r="J3" i="65"/>
  <c r="M30" i="44"/>
  <c r="F45" i="44"/>
  <c r="M29" i="44"/>
  <c r="F7" i="15"/>
  <c r="N5" i="65"/>
  <c r="F11" i="44"/>
  <c r="M6" i="15"/>
  <c r="F18" i="44"/>
  <c r="F9" i="67"/>
  <c r="F10" i="44"/>
  <c r="J7" i="65"/>
  <c r="C106" i="46" l="1"/>
  <c r="C104" i="46"/>
  <c r="J102" i="46"/>
  <c r="L27" i="6"/>
  <c r="AY523" i="3"/>
  <c r="AY452" i="3"/>
  <c r="AY535" i="3"/>
  <c r="AY292" i="3"/>
  <c r="AY517" i="3"/>
  <c r="AY477" i="3"/>
  <c r="BJ6" i="3"/>
  <c r="AY180" i="3"/>
  <c r="AY536" i="3"/>
  <c r="AY439" i="3"/>
  <c r="AY511" i="3"/>
  <c r="AY570" i="3"/>
  <c r="AY165" i="3"/>
  <c r="AY196" i="3"/>
  <c r="BG6" i="3"/>
  <c r="AY261" i="3"/>
  <c r="AY134" i="3"/>
  <c r="AY444" i="3"/>
  <c r="AY312" i="3"/>
  <c r="AY460" i="3"/>
  <c r="AY54" i="3"/>
  <c r="AY451" i="3"/>
  <c r="AY568" i="3"/>
  <c r="AY488" i="3"/>
  <c r="AY566" i="3"/>
  <c r="AY18" i="3"/>
  <c r="AY228" i="3"/>
  <c r="AY423" i="3"/>
  <c r="AY260" i="3"/>
  <c r="BM6" i="3"/>
  <c r="AY252" i="3"/>
  <c r="AY205" i="3"/>
  <c r="AY377" i="3"/>
  <c r="AY468" i="3"/>
  <c r="AY297" i="3"/>
  <c r="AY210" i="3"/>
  <c r="AY490" i="3"/>
  <c r="BO6" i="3"/>
  <c r="AY393" i="3"/>
  <c r="AY189" i="3"/>
  <c r="AY395" i="3"/>
  <c r="AY322" i="3"/>
  <c r="AY281" i="3"/>
  <c r="AY40" i="3"/>
  <c r="AY475" i="3"/>
  <c r="AY60" i="3"/>
  <c r="AY240" i="3"/>
  <c r="AY108" i="3"/>
  <c r="AY506" i="3"/>
  <c r="AY483" i="3"/>
  <c r="AY559" i="3"/>
  <c r="AY185" i="3"/>
  <c r="AY375" i="3"/>
  <c r="AY447" i="3"/>
  <c r="AY153" i="3"/>
  <c r="AY299" i="3"/>
  <c r="AY78" i="3"/>
  <c r="AY208" i="3"/>
  <c r="AY20" i="3"/>
  <c r="AY503" i="3"/>
  <c r="AY247" i="3"/>
  <c r="AY415" i="3"/>
  <c r="AY112" i="3"/>
  <c r="AY518" i="3"/>
  <c r="AY456" i="3"/>
  <c r="AY388" i="3"/>
  <c r="AY370" i="3"/>
  <c r="AY323" i="3"/>
  <c r="BT6" i="3"/>
  <c r="AY319" i="3"/>
  <c r="AY413" i="3"/>
  <c r="AY166" i="3"/>
  <c r="AY367" i="3"/>
  <c r="AY29" i="3"/>
  <c r="AY316" i="3"/>
  <c r="AY138" i="3"/>
  <c r="AY471" i="3"/>
  <c r="AY365" i="3"/>
  <c r="AY171" i="3"/>
  <c r="AY409" i="3"/>
  <c r="AY368" i="3"/>
  <c r="AY259" i="3"/>
  <c r="AY75" i="3"/>
  <c r="AY154" i="3"/>
  <c r="AY494" i="3"/>
  <c r="AY24" i="3"/>
  <c r="AY282" i="3"/>
  <c r="BS6" i="3"/>
  <c r="AY280" i="3"/>
  <c r="AY150" i="3"/>
  <c r="AY99" i="3"/>
  <c r="AY16" i="3"/>
  <c r="AY168" i="3"/>
  <c r="AY324" i="3"/>
  <c r="AY291" i="3"/>
  <c r="AY82" i="3"/>
  <c r="AY104" i="3"/>
  <c r="AY106" i="3"/>
  <c r="AY361" i="3"/>
  <c r="AY146" i="3"/>
  <c r="AY39" i="3"/>
  <c r="AY315" i="3"/>
  <c r="AY464" i="3"/>
  <c r="AY194" i="3"/>
  <c r="AY278" i="3"/>
  <c r="AY501" i="3"/>
  <c r="AY481" i="3"/>
  <c r="AY204" i="3"/>
  <c r="AY216" i="3"/>
  <c r="AY28" i="3"/>
  <c r="AY311" i="3"/>
  <c r="AY257" i="3"/>
  <c r="AY254" i="3"/>
  <c r="AY359" i="3"/>
  <c r="AY437" i="3"/>
  <c r="AY493" i="3"/>
  <c r="BN6" i="3"/>
  <c r="BD6" i="3"/>
  <c r="AY510"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AC6" i="3"/>
  <c r="BL6" i="3"/>
  <c r="D12" i="11"/>
  <c r="C12" i="11" s="1"/>
  <c r="O9" i="1"/>
  <c r="P9" i="1" s="1"/>
  <c r="O7" i="1"/>
  <c r="P7" i="1" s="1"/>
  <c r="O11" i="1"/>
  <c r="P11" i="1" s="1"/>
  <c r="F102" i="46"/>
  <c r="F109" i="46"/>
  <c r="S16" i="1"/>
  <c r="F80" i="46"/>
  <c r="H47" i="46"/>
  <c r="H54" i="46"/>
  <c r="H76" i="46"/>
  <c r="H69" i="46"/>
  <c r="H75" i="46"/>
  <c r="H48" i="46"/>
  <c r="H73" i="46"/>
  <c r="H51" i="46"/>
  <c r="J109" i="46"/>
  <c r="C23" i="46" s="1"/>
  <c r="C105" i="46"/>
  <c r="C102" i="46"/>
  <c r="C107" i="46"/>
  <c r="J105" i="46"/>
  <c r="J104" i="46"/>
  <c r="H106" i="46"/>
  <c r="D109" i="46"/>
  <c r="D102" i="46"/>
  <c r="H107" i="46"/>
  <c r="D107" i="46"/>
  <c r="H81" i="46"/>
  <c r="H80" i="46"/>
  <c r="H84" i="46"/>
  <c r="H86" i="46"/>
  <c r="H85" i="46"/>
  <c r="H82" i="46"/>
  <c r="H87" i="46"/>
  <c r="H83" i="46"/>
  <c r="H17" i="46"/>
  <c r="G17" i="46" s="1"/>
  <c r="C16" i="46" s="1"/>
  <c r="A30" i="64"/>
  <c r="A30" i="51"/>
  <c r="B22" i="63" s="1"/>
  <c r="D23" i="15"/>
  <c r="F33" i="12"/>
  <c r="C34" i="12" s="1"/>
  <c r="D33" i="12" s="1"/>
  <c r="G16" i="1"/>
  <c r="H12" i="40" s="1"/>
  <c r="N105" i="46"/>
  <c r="N104" i="46"/>
  <c r="O6" i="1"/>
  <c r="P6" i="1" s="1"/>
  <c r="F30" i="6"/>
  <c r="F31" i="6" s="1"/>
  <c r="E28" i="6"/>
  <c r="E15" i="6"/>
  <c r="E12" i="6"/>
  <c r="E11" i="6"/>
  <c r="E14" i="6"/>
  <c r="E13" i="6"/>
  <c r="E10" i="6"/>
  <c r="BI6" i="3"/>
  <c r="O13" i="1"/>
  <c r="P13" i="1" s="1"/>
  <c r="I109" i="46"/>
  <c r="I106" i="46"/>
  <c r="M107" i="46"/>
  <c r="M103" i="46"/>
  <c r="M109" i="46"/>
  <c r="M106" i="46"/>
  <c r="M102" i="46"/>
  <c r="M105" i="46"/>
  <c r="O10" i="1"/>
  <c r="P10" i="1" s="1"/>
  <c r="O8" i="1"/>
  <c r="P8" i="1" s="1"/>
  <c r="D104" i="46"/>
  <c r="D105" i="46"/>
  <c r="F24" i="43"/>
  <c r="C26" i="43" s="1"/>
  <c r="D24" i="43" s="1"/>
  <c r="H104" i="46"/>
  <c r="D103" i="46"/>
  <c r="H105" i="46"/>
  <c r="H103" i="46"/>
  <c r="D22" i="46"/>
  <c r="F105" i="46"/>
  <c r="F104" i="46"/>
  <c r="F107" i="46"/>
  <c r="D10" i="11"/>
  <c r="D45" i="9"/>
  <c r="L38" i="9"/>
  <c r="B14" i="66" s="1"/>
  <c r="B1" i="66" s="1"/>
  <c r="E6" i="6"/>
  <c r="AP16" i="1"/>
  <c r="F22" i="11" s="1"/>
  <c r="AY530" i="3"/>
  <c r="AY486" i="3"/>
  <c r="AY80" i="3"/>
  <c r="AY67" i="3"/>
  <c r="AY58"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D3" i="6"/>
  <c r="AY37" i="3"/>
  <c r="AY203"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D113" i="46"/>
  <c r="AY428" i="3"/>
  <c r="AY273" i="3"/>
  <c r="AY431" i="3"/>
  <c r="AY86" i="3"/>
  <c r="BH6" i="3"/>
  <c r="AY465" i="3"/>
  <c r="AY321" i="3"/>
  <c r="AY76" i="3"/>
  <c r="AY197" i="3"/>
  <c r="AY341" i="3"/>
  <c r="AY25" i="3"/>
  <c r="AY337" i="3"/>
  <c r="AY183" i="3"/>
  <c r="AY123" i="3"/>
  <c r="AY374" i="3"/>
  <c r="AY117" i="3"/>
  <c r="AY408" i="3"/>
  <c r="AY333" i="3"/>
  <c r="AY246" i="3"/>
  <c r="AY36" i="3"/>
  <c r="AY52" i="3"/>
  <c r="AY516" i="3"/>
  <c r="AY236" i="3"/>
  <c r="AY528" i="3"/>
  <c r="AY352" i="3"/>
  <c r="AY336" i="3"/>
  <c r="AY438" i="3"/>
  <c r="AY279" i="3"/>
  <c r="AY342" i="3"/>
  <c r="AY81" i="3"/>
  <c r="AY256" i="3"/>
  <c r="AY548" i="3"/>
  <c r="AY366" i="3"/>
  <c r="AY116" i="3"/>
  <c r="AY476" i="3"/>
  <c r="AY214" i="3"/>
  <c r="AY170" i="3"/>
  <c r="AY427" i="3"/>
  <c r="AY383" i="3"/>
  <c r="AY217" i="3"/>
  <c r="AY98" i="3"/>
  <c r="AY53" i="3"/>
  <c r="AY529" i="3"/>
  <c r="AY41" i="3"/>
  <c r="E6" i="3"/>
  <c r="AY198" i="3"/>
  <c r="AY26" i="3"/>
  <c r="AY109" i="3"/>
  <c r="AY88" i="3"/>
  <c r="AY97" i="3"/>
  <c r="AY69" i="3"/>
  <c r="AY87" i="3"/>
  <c r="AY549" i="3"/>
  <c r="K52" i="37"/>
  <c r="J48" i="35"/>
  <c r="J46" i="36"/>
  <c r="K46" i="36" s="1"/>
  <c r="L46" i="36" s="1"/>
  <c r="M46" i="36" s="1"/>
  <c r="N46" i="36" s="1"/>
  <c r="O46" i="36" s="1"/>
  <c r="F7" i="36"/>
  <c r="H7" i="36"/>
  <c r="J7" i="36"/>
  <c r="H12" i="39"/>
  <c r="J12" i="39"/>
  <c r="J12" i="40"/>
  <c r="F67" i="40"/>
  <c r="H7" i="34"/>
  <c r="J7" i="34"/>
  <c r="F7" i="34"/>
  <c r="F58" i="33"/>
  <c r="E58" i="21"/>
  <c r="C30" i="44"/>
  <c r="C15" i="43"/>
  <c r="C31" i="43"/>
  <c r="C15" i="12"/>
  <c r="E21" i="52"/>
  <c r="B4" i="52"/>
  <c r="E4" i="52"/>
  <c r="E13" i="52"/>
  <c r="B13" i="52"/>
  <c r="E7" i="52"/>
  <c r="E6" i="52"/>
  <c r="E4" i="4" s="1"/>
  <c r="B21" i="55" s="1"/>
  <c r="B72" i="63" s="1"/>
  <c r="E10" i="52"/>
  <c r="C4" i="4" s="1"/>
  <c r="B20" i="55" s="1"/>
  <c r="B70" i="63" s="1"/>
  <c r="E11" i="52"/>
  <c r="B7" i="52"/>
  <c r="E9" i="52"/>
  <c r="AB9" i="39"/>
  <c r="T49" i="39" s="1"/>
  <c r="G49" i="39" s="1"/>
  <c r="G53" i="39" s="1"/>
  <c r="H53" i="39" s="1"/>
  <c r="E22" i="52"/>
  <c r="E8" i="52"/>
  <c r="B9" i="52"/>
  <c r="B11" i="52"/>
  <c r="E14" i="52"/>
  <c r="B10" i="52"/>
  <c r="B8" i="52"/>
  <c r="B14" i="52"/>
  <c r="B22" i="52"/>
  <c r="AA9" i="39"/>
  <c r="R49" i="39" s="1"/>
  <c r="R50" i="39" s="1"/>
  <c r="C50" i="39" s="1"/>
  <c r="E6" i="59"/>
  <c r="E5" i="59" s="1"/>
  <c r="M20" i="46" s="1"/>
  <c r="D6" i="59"/>
  <c r="AA6" i="59"/>
  <c r="C19" i="46"/>
  <c r="P23" i="46"/>
  <c r="P24" i="46"/>
  <c r="B68" i="40" s="1"/>
  <c r="P25" i="46"/>
  <c r="B73" i="39" s="1"/>
  <c r="P21" i="46"/>
  <c r="P22" i="46"/>
  <c r="I53" i="39"/>
  <c r="J53" i="39" s="1"/>
  <c r="C16" i="12"/>
  <c r="J1" i="65"/>
  <c r="F65" i="15"/>
  <c r="M9" i="44"/>
  <c r="J8" i="44" s="1"/>
  <c r="L59" i="15"/>
  <c r="L58" i="15"/>
  <c r="C34" i="15"/>
  <c r="F62" i="15"/>
  <c r="C61" i="15" s="1"/>
  <c r="J22" i="44"/>
  <c r="F50" i="15"/>
  <c r="F67" i="15"/>
  <c r="F64" i="15"/>
  <c r="Q73" i="44"/>
  <c r="J57" i="15"/>
  <c r="J55" i="15" s="1"/>
  <c r="J58" i="15" s="1"/>
  <c r="Q51" i="15" s="1"/>
  <c r="L56" i="15"/>
  <c r="J53" i="15"/>
  <c r="I54" i="15"/>
  <c r="M7" i="15"/>
  <c r="F49" i="15"/>
  <c r="C29" i="44"/>
  <c r="Q72" i="15"/>
  <c r="C8" i="44"/>
  <c r="F70" i="15"/>
  <c r="F63" i="15"/>
  <c r="C4" i="65"/>
  <c r="B39" i="1" s="1"/>
  <c r="J20" i="15"/>
  <c r="F68" i="15"/>
  <c r="J54" i="44"/>
  <c r="I55" i="44"/>
  <c r="J60" i="44"/>
  <c r="J61" i="44"/>
  <c r="Q50" i="44" s="1"/>
  <c r="L57" i="44"/>
  <c r="J58" i="44"/>
  <c r="J56" i="44" s="1"/>
  <c r="J59" i="44" s="1"/>
  <c r="Q52" i="44" s="1"/>
  <c r="C27" i="15"/>
  <c r="L59" i="44"/>
  <c r="L60" i="44"/>
  <c r="E20" i="46"/>
  <c r="I1" i="65"/>
  <c r="C36" i="44"/>
  <c r="C6" i="15"/>
  <c r="M19" i="44"/>
  <c r="M17" i="15"/>
  <c r="F58" i="15"/>
  <c r="C17" i="15"/>
  <c r="F31" i="15"/>
  <c r="C16" i="15"/>
  <c r="F33" i="44"/>
  <c r="C18" i="44"/>
  <c r="E2" i="65"/>
  <c r="E3" i="65"/>
  <c r="F12" i="40" l="1"/>
  <c r="F12" i="39"/>
  <c r="E16" i="6"/>
  <c r="C21" i="46"/>
  <c r="S3" i="46"/>
  <c r="D5" i="46"/>
  <c r="C5" i="46"/>
  <c r="E49" i="39"/>
  <c r="I54" i="39" s="1"/>
  <c r="J54" i="39" s="1"/>
  <c r="G54" i="39"/>
  <c r="H54" i="39" s="1"/>
  <c r="C49" i="39"/>
  <c r="S2" i="46"/>
  <c r="S7" i="46"/>
  <c r="S4" i="46"/>
  <c r="S6" i="46"/>
  <c r="S5" i="46"/>
  <c r="D22" i="12"/>
  <c r="C22" i="12" s="1"/>
  <c r="C20" i="12" s="1"/>
  <c r="D13" i="11"/>
  <c r="C13" i="11" s="1"/>
  <c r="E65" i="39"/>
  <c r="E60" i="40"/>
  <c r="E58" i="40"/>
  <c r="E63" i="39"/>
  <c r="E62" i="40"/>
  <c r="E67" i="39"/>
  <c r="C7" i="66"/>
  <c r="C6" i="66"/>
  <c r="C8" i="66"/>
  <c r="E66" i="39"/>
  <c r="E61" i="40"/>
  <c r="E59" i="40"/>
  <c r="E64" i="39"/>
  <c r="K20" i="6"/>
  <c r="M20" i="6" s="1"/>
  <c r="I20" i="6" s="1"/>
  <c r="S20" i="6" s="1"/>
  <c r="K14" i="1"/>
  <c r="K19" i="6"/>
  <c r="K23" i="6"/>
  <c r="M23" i="6" s="1"/>
  <c r="I23" i="6" s="1"/>
  <c r="S23" i="6" s="1"/>
  <c r="K25" i="6"/>
  <c r="M25" i="6" s="1"/>
  <c r="I25" i="6" s="1"/>
  <c r="S25" i="6" s="1"/>
  <c r="K21" i="6"/>
  <c r="M21" i="6" s="1"/>
  <c r="I21" i="6" s="1"/>
  <c r="S21" i="6" s="1"/>
  <c r="K26" i="6"/>
  <c r="M26" i="6" s="1"/>
  <c r="I26" i="6" s="1"/>
  <c r="S26" i="6" s="1"/>
  <c r="K24" i="6"/>
  <c r="M24" i="6" s="1"/>
  <c r="I24" i="6" s="1"/>
  <c r="S24" i="6" s="1"/>
  <c r="K22" i="6"/>
  <c r="M22" i="6" s="1"/>
  <c r="I22" i="6" s="1"/>
  <c r="S22" i="6" s="1"/>
  <c r="E30" i="6"/>
  <c r="E31" i="6" s="1"/>
  <c r="E63" i="40"/>
  <c r="D19" i="6"/>
  <c r="D25" i="6"/>
  <c r="D13" i="6"/>
  <c r="D23" i="6"/>
  <c r="D28" i="6"/>
  <c r="D30" i="6" s="1"/>
  <c r="D8" i="6"/>
  <c r="E45" i="9"/>
  <c r="F44" i="9"/>
  <c r="K38" i="9"/>
  <c r="C14" i="66" s="1"/>
  <c r="B2" i="66" s="1"/>
  <c r="D24" i="6"/>
  <c r="D11" i="6"/>
  <c r="H20" i="6"/>
  <c r="D9" i="6"/>
  <c r="D29" i="6"/>
  <c r="D15" i="6"/>
  <c r="E44" i="9"/>
  <c r="E46" i="9"/>
  <c r="C22" i="4"/>
  <c r="D21" i="6"/>
  <c r="D10" i="6"/>
  <c r="D6" i="6"/>
  <c r="D14" i="6"/>
  <c r="D20" i="6"/>
  <c r="R20" i="6" s="1"/>
  <c r="F45" i="9"/>
  <c r="E68" i="39"/>
  <c r="D26" i="6"/>
  <c r="D22" i="6"/>
  <c r="D12" i="6"/>
  <c r="H25" i="6"/>
  <c r="D5" i="6"/>
  <c r="H22" i="6"/>
  <c r="H26" i="6"/>
  <c r="F46" i="9"/>
  <c r="F58" i="21"/>
  <c r="AA7" i="34"/>
  <c r="R49" i="34" s="1"/>
  <c r="S7" i="34"/>
  <c r="U7" i="34"/>
  <c r="AB7" i="34"/>
  <c r="T49" i="34" s="1"/>
  <c r="G49" i="34" s="1"/>
  <c r="S12" i="40"/>
  <c r="AA12" i="40"/>
  <c r="AA12" i="39"/>
  <c r="S12" i="39"/>
  <c r="AB12" i="40"/>
  <c r="U12" i="40"/>
  <c r="W7" i="36"/>
  <c r="AC7" i="36"/>
  <c r="V36" i="36" s="1"/>
  <c r="I36" i="36" s="1"/>
  <c r="S7" i="36"/>
  <c r="AA7" i="36"/>
  <c r="R36" i="36" s="1"/>
  <c r="G58" i="33"/>
  <c r="W7" i="34"/>
  <c r="AC7" i="34"/>
  <c r="V49" i="34" s="1"/>
  <c r="I49" i="34" s="1"/>
  <c r="J9" i="40"/>
  <c r="F9" i="40"/>
  <c r="H9" i="40"/>
  <c r="AC12" i="40"/>
  <c r="W12" i="40"/>
  <c r="AC12" i="39"/>
  <c r="W12" i="39"/>
  <c r="U12" i="39"/>
  <c r="AB12" i="39"/>
  <c r="U7" i="36"/>
  <c r="AB7" i="36"/>
  <c r="T36" i="36" s="1"/>
  <c r="G36" i="36" s="1"/>
  <c r="K48" i="35"/>
  <c r="L52" i="37"/>
  <c r="E53" i="39"/>
  <c r="F53" i="39" s="1"/>
  <c r="E54" i="39"/>
  <c r="F54" i="39" s="1"/>
  <c r="B61" i="39"/>
  <c r="F61" i="39" s="1"/>
  <c r="B67" i="39"/>
  <c r="F67" i="39" s="1"/>
  <c r="B60" i="39"/>
  <c r="F60" i="39" s="1"/>
  <c r="B62" i="39"/>
  <c r="F62" i="39" s="1"/>
  <c r="F68" i="39"/>
  <c r="B2" i="39" s="1"/>
  <c r="B58" i="39"/>
  <c r="F58" i="39" s="1"/>
  <c r="B59" i="39"/>
  <c r="F59" i="39" s="1"/>
  <c r="B65" i="39"/>
  <c r="F65" i="39" s="1"/>
  <c r="B63" i="39"/>
  <c r="F63" i="39" s="1"/>
  <c r="B64" i="39"/>
  <c r="F64" i="39" s="1"/>
  <c r="B66" i="39"/>
  <c r="F66" i="39" s="1"/>
  <c r="B40" i="1"/>
  <c r="F17" i="11"/>
  <c r="C17" i="11" s="1"/>
  <c r="C19" i="11" s="1"/>
  <c r="O28" i="46"/>
  <c r="P28" i="46"/>
  <c r="G20" i="46" s="1"/>
  <c r="M28" i="46"/>
  <c r="N28" i="46"/>
  <c r="C32" i="15"/>
  <c r="M13" i="44"/>
  <c r="J12" i="44" s="1"/>
  <c r="J7" i="44" s="1"/>
  <c r="F11" i="15"/>
  <c r="M11" i="15"/>
  <c r="J10" i="15" s="1"/>
  <c r="F13" i="44"/>
  <c r="C12" i="44" s="1"/>
  <c r="C7" i="44" s="1"/>
  <c r="J6" i="15"/>
  <c r="Q62" i="44"/>
  <c r="Q75" i="44"/>
  <c r="F1" i="44"/>
  <c r="Q54" i="44"/>
  <c r="J20" i="44"/>
  <c r="Q62" i="15"/>
  <c r="Q75" i="15"/>
  <c r="Q63" i="44"/>
  <c r="Q76" i="44"/>
  <c r="C34" i="44"/>
  <c r="Q53" i="15"/>
  <c r="F1" i="15"/>
  <c r="C48" i="15"/>
  <c r="Q74" i="15"/>
  <c r="Q61" i="15"/>
  <c r="H23" i="6" l="1"/>
  <c r="H21" i="6"/>
  <c r="H24" i="6"/>
  <c r="D16" i="6"/>
  <c r="D27" i="6"/>
  <c r="E41" i="46"/>
  <c r="C41" i="46" s="1"/>
  <c r="C38" i="46" s="1"/>
  <c r="C20" i="46"/>
  <c r="K16" i="1"/>
  <c r="M14" i="1"/>
  <c r="R24" i="6"/>
  <c r="M19" i="6"/>
  <c r="K27" i="6"/>
  <c r="R26" i="6"/>
  <c r="A20" i="64"/>
  <c r="A6" i="64"/>
  <c r="N5" i="54"/>
  <c r="B43" i="63" s="1"/>
  <c r="A6" i="51"/>
  <c r="B7" i="63" s="1"/>
  <c r="A20" i="51"/>
  <c r="B15" i="63" s="1"/>
  <c r="R23" i="6"/>
  <c r="D31" i="6"/>
  <c r="R22" i="6"/>
  <c r="R21" i="6"/>
  <c r="D6" i="66"/>
  <c r="D8" i="66"/>
  <c r="D7" i="66"/>
  <c r="R25" i="6"/>
  <c r="G40" i="36"/>
  <c r="H40" i="36" s="1"/>
  <c r="G41" i="36"/>
  <c r="H41" i="36" s="1"/>
  <c r="AB9" i="40"/>
  <c r="T44" i="40" s="1"/>
  <c r="G44" i="40" s="1"/>
  <c r="U9" i="40"/>
  <c r="AC9" i="40"/>
  <c r="V44" i="40" s="1"/>
  <c r="I44" i="40" s="1"/>
  <c r="W9" i="40"/>
  <c r="H58" i="33"/>
  <c r="E36" i="36"/>
  <c r="R37" i="36"/>
  <c r="I41" i="36"/>
  <c r="J41" i="36" s="1"/>
  <c r="I40" i="36"/>
  <c r="J40" i="36" s="1"/>
  <c r="G54" i="34"/>
  <c r="H54" i="34" s="1"/>
  <c r="G53" i="34"/>
  <c r="H53" i="34" s="1"/>
  <c r="G58" i="21"/>
  <c r="M52" i="37"/>
  <c r="L48" i="35"/>
  <c r="S9" i="40"/>
  <c r="AA9" i="40"/>
  <c r="R44" i="40" s="1"/>
  <c r="I53" i="34"/>
  <c r="J53" i="34" s="1"/>
  <c r="E49" i="34"/>
  <c r="R50" i="34"/>
  <c r="B3" i="39"/>
  <c r="B4" i="39"/>
  <c r="B5" i="39"/>
  <c r="J28" i="44"/>
  <c r="J31" i="44" s="1"/>
  <c r="J26" i="44"/>
  <c r="J5" i="15"/>
  <c r="J18" i="15"/>
  <c r="C40" i="44"/>
  <c r="C52" i="15"/>
  <c r="C47" i="15" s="1"/>
  <c r="C10" i="15"/>
  <c r="C5" i="15" s="1"/>
  <c r="F24" i="15"/>
  <c r="C24" i="15" s="1"/>
  <c r="F26" i="44"/>
  <c r="C26" i="44" s="1"/>
  <c r="F21" i="43"/>
  <c r="F26" i="12"/>
  <c r="C20" i="11"/>
  <c r="C21" i="11" s="1"/>
  <c r="C22" i="11" s="1"/>
  <c r="C23" i="11" s="1"/>
  <c r="B2" i="11" s="1"/>
  <c r="D19" i="9"/>
  <c r="E38" i="46" l="1"/>
  <c r="G38" i="46"/>
  <c r="I38" i="46" s="1"/>
  <c r="C34" i="46"/>
  <c r="T11" i="46"/>
  <c r="V11" i="46" s="1"/>
  <c r="T12" i="46"/>
  <c r="V12" i="46" s="1"/>
  <c r="T5" i="46"/>
  <c r="V5" i="46" s="1"/>
  <c r="T2" i="46"/>
  <c r="V2" i="46" s="1"/>
  <c r="T7" i="46"/>
  <c r="V7" i="46" s="1"/>
  <c r="C29" i="46"/>
  <c r="T16" i="46"/>
  <c r="V16" i="46" s="1"/>
  <c r="T9" i="46"/>
  <c r="V9" i="46" s="1"/>
  <c r="C36" i="46"/>
  <c r="C33" i="46"/>
  <c r="T13" i="46"/>
  <c r="V13" i="46" s="1"/>
  <c r="T15" i="46"/>
  <c r="V15" i="46" s="1"/>
  <c r="C35" i="46"/>
  <c r="C37" i="46"/>
  <c r="T6" i="46"/>
  <c r="V6" i="46" s="1"/>
  <c r="T14" i="46"/>
  <c r="V14" i="46" s="1"/>
  <c r="T8" i="46"/>
  <c r="V8" i="46" s="1"/>
  <c r="T4" i="46"/>
  <c r="V4" i="46" s="1"/>
  <c r="T3" i="46"/>
  <c r="V3" i="46" s="1"/>
  <c r="T10" i="46"/>
  <c r="V10" i="46" s="1"/>
  <c r="C39" i="46"/>
  <c r="L44" i="9"/>
  <c r="I19" i="6"/>
  <c r="M27" i="6"/>
  <c r="T13" i="1"/>
  <c r="T9" i="1"/>
  <c r="T12" i="1"/>
  <c r="O14" i="1"/>
  <c r="O16" i="1" s="1"/>
  <c r="T7" i="1"/>
  <c r="T6" i="1"/>
  <c r="M16" i="1"/>
  <c r="T11" i="1"/>
  <c r="P14" i="1"/>
  <c r="P16" i="1" s="1"/>
  <c r="C13" i="12" s="1"/>
  <c r="T10" i="1"/>
  <c r="T16" i="1" s="1"/>
  <c r="T8" i="1"/>
  <c r="I5" i="6"/>
  <c r="I6" i="6"/>
  <c r="C49" i="34"/>
  <c r="C50" i="34"/>
  <c r="B3" i="34" s="1"/>
  <c r="B2" i="34" s="1"/>
  <c r="R45" i="40"/>
  <c r="E44" i="40"/>
  <c r="I49" i="40" s="1"/>
  <c r="J49" i="40" s="1"/>
  <c r="E53" i="34"/>
  <c r="F53" i="34" s="1"/>
  <c r="E54" i="34"/>
  <c r="F54" i="34" s="1"/>
  <c r="I54" i="34"/>
  <c r="J54" i="34" s="1"/>
  <c r="M48" i="35"/>
  <c r="N52" i="37"/>
  <c r="H58" i="21"/>
  <c r="E40" i="36"/>
  <c r="F40" i="36" s="1"/>
  <c r="E41" i="36"/>
  <c r="F41" i="36" s="1"/>
  <c r="C36" i="36"/>
  <c r="C37" i="36"/>
  <c r="B3" i="36" s="1"/>
  <c r="B2" i="36" s="1"/>
  <c r="I58" i="33"/>
  <c r="I48" i="40"/>
  <c r="J48" i="40" s="1"/>
  <c r="G48" i="40"/>
  <c r="H48" i="40" s="1"/>
  <c r="G49" i="40"/>
  <c r="H49" i="40" s="1"/>
  <c r="B3" i="11"/>
  <c r="B5" i="11"/>
  <c r="B4" i="11"/>
  <c r="C27" i="12"/>
  <c r="D26" i="12" s="1"/>
  <c r="C32" i="12" s="1"/>
  <c r="D30" i="12" s="1"/>
  <c r="C23" i="43"/>
  <c r="D21" i="43" s="1"/>
  <c r="J24" i="15"/>
  <c r="J26" i="15"/>
  <c r="J29" i="15" s="1"/>
  <c r="C38" i="15"/>
  <c r="C59" i="15"/>
  <c r="C65" i="15"/>
  <c r="Q49" i="44"/>
  <c r="Q55" i="44" s="1"/>
  <c r="Q67" i="44"/>
  <c r="Q58" i="44"/>
  <c r="C16" i="44"/>
  <c r="D20" i="9"/>
  <c r="D21" i="9"/>
  <c r="C14" i="15"/>
  <c r="G39" i="46" l="1"/>
  <c r="I39" i="46" s="1"/>
  <c r="E39" i="46"/>
  <c r="G35" i="46"/>
  <c r="I35" i="46" s="1"/>
  <c r="E35" i="46"/>
  <c r="E36" i="46"/>
  <c r="G36" i="46"/>
  <c r="I36" i="46" s="1"/>
  <c r="E37" i="46"/>
  <c r="G37" i="46"/>
  <c r="I37" i="46" s="1"/>
  <c r="G33" i="46"/>
  <c r="I33" i="46" s="1"/>
  <c r="E33" i="46"/>
  <c r="C30" i="46"/>
  <c r="E30" i="46" s="1"/>
  <c r="E29" i="46"/>
  <c r="G34" i="46"/>
  <c r="I34" i="46" s="1"/>
  <c r="E34" i="46"/>
  <c r="C17" i="44"/>
  <c r="C20" i="44"/>
  <c r="C15" i="15"/>
  <c r="C18" i="15"/>
  <c r="C17" i="12"/>
  <c r="C14" i="12"/>
  <c r="L16" i="1"/>
  <c r="N16" i="1"/>
  <c r="C29" i="43" s="1"/>
  <c r="C13" i="43"/>
  <c r="S19" i="6"/>
  <c r="S27" i="6" s="1"/>
  <c r="I27" i="6"/>
  <c r="H19" i="6"/>
  <c r="I58" i="21"/>
  <c r="N48" i="35"/>
  <c r="E49" i="40"/>
  <c r="F49" i="40" s="1"/>
  <c r="E48" i="40"/>
  <c r="F48" i="40" s="1"/>
  <c r="J58" i="33"/>
  <c r="O52" i="37"/>
  <c r="C45" i="40"/>
  <c r="C44" i="40"/>
  <c r="F7" i="67"/>
  <c r="C27" i="46" l="1"/>
  <c r="C18" i="12"/>
  <c r="C23" i="12" s="1"/>
  <c r="C35" i="12" s="1"/>
  <c r="C33" i="12" s="1"/>
  <c r="C21" i="44"/>
  <c r="C22" i="44" s="1"/>
  <c r="C28" i="44" s="1"/>
  <c r="E4" i="67"/>
  <c r="C26" i="46"/>
  <c r="C19" i="15"/>
  <c r="C20" i="15" s="1"/>
  <c r="C26" i="15" s="1"/>
  <c r="C17" i="43"/>
  <c r="C14" i="43"/>
  <c r="H27" i="6"/>
  <c r="R19" i="6"/>
  <c r="B53" i="40"/>
  <c r="F53" i="40" s="1"/>
  <c r="B60" i="40"/>
  <c r="F60" i="40" s="1"/>
  <c r="B54" i="40"/>
  <c r="F54" i="40" s="1"/>
  <c r="B57" i="40"/>
  <c r="F57" i="40" s="1"/>
  <c r="B61" i="40"/>
  <c r="F61" i="40" s="1"/>
  <c r="B62" i="40"/>
  <c r="F62" i="40" s="1"/>
  <c r="B58" i="40"/>
  <c r="F58" i="40" s="1"/>
  <c r="B55" i="40"/>
  <c r="F55" i="40" s="1"/>
  <c r="B56" i="40"/>
  <c r="F56" i="40" s="1"/>
  <c r="B59" i="40"/>
  <c r="F59" i="40" s="1"/>
  <c r="F63" i="40"/>
  <c r="B2" i="40" s="1"/>
  <c r="J7" i="37"/>
  <c r="H7" i="37"/>
  <c r="F7" i="37"/>
  <c r="K58" i="33"/>
  <c r="O48" i="35"/>
  <c r="F7" i="35" s="1"/>
  <c r="J7" i="35"/>
  <c r="H7" i="35"/>
  <c r="J58" i="21"/>
  <c r="E7" i="67"/>
  <c r="R27" i="6" l="1"/>
  <c r="R6" i="1"/>
  <c r="R16" i="1" s="1"/>
  <c r="E3" i="67"/>
  <c r="B2" i="46"/>
  <c r="C25" i="44"/>
  <c r="C31" i="44" s="1"/>
  <c r="C35" i="44" s="1"/>
  <c r="C33" i="44" s="1"/>
  <c r="C28" i="12"/>
  <c r="C26" i="12" s="1"/>
  <c r="C31" i="12" s="1"/>
  <c r="C30" i="12" s="1"/>
  <c r="C18" i="43"/>
  <c r="C19" i="43" s="1"/>
  <c r="C25" i="43" s="1"/>
  <c r="C24" i="43" s="1"/>
  <c r="C36" i="12"/>
  <c r="B2" i="12" s="1"/>
  <c r="C23" i="15"/>
  <c r="C29" i="15" s="1"/>
  <c r="K58" i="21"/>
  <c r="W7" i="35"/>
  <c r="AC7" i="35"/>
  <c r="V38" i="35" s="1"/>
  <c r="I38" i="35" s="1"/>
  <c r="AA7" i="37"/>
  <c r="R42" i="37" s="1"/>
  <c r="S7" i="37"/>
  <c r="AC7" i="37"/>
  <c r="V42" i="37" s="1"/>
  <c r="I42" i="37" s="1"/>
  <c r="W7" i="37"/>
  <c r="AB7" i="35"/>
  <c r="T38" i="35" s="1"/>
  <c r="G38" i="35" s="1"/>
  <c r="U7" i="35"/>
  <c r="AA7" i="35"/>
  <c r="R38" i="35" s="1"/>
  <c r="S7" i="35"/>
  <c r="L58" i="33"/>
  <c r="U7" i="37"/>
  <c r="AB7" i="37"/>
  <c r="T42" i="37" s="1"/>
  <c r="G42" i="37" s="1"/>
  <c r="B5" i="40"/>
  <c r="B4" i="40"/>
  <c r="B3" i="40"/>
  <c r="B7" i="67"/>
  <c r="C19" i="9"/>
  <c r="C38" i="44" l="1"/>
  <c r="Q51" i="44"/>
  <c r="J21" i="44"/>
  <c r="J19" i="44" s="1"/>
  <c r="C15" i="44"/>
  <c r="C39" i="44" s="1"/>
  <c r="J16" i="44"/>
  <c r="J15" i="44" s="1"/>
  <c r="J25" i="44" s="1"/>
  <c r="L43" i="9"/>
  <c r="G19" i="9"/>
  <c r="D22" i="9"/>
  <c r="B2" i="67"/>
  <c r="B4" i="46"/>
  <c r="B3" i="46"/>
  <c r="D4" i="46"/>
  <c r="B4" i="12"/>
  <c r="B5" i="12"/>
  <c r="B3" i="12"/>
  <c r="C22" i="43"/>
  <c r="C21" i="43" s="1"/>
  <c r="C28" i="43" s="1"/>
  <c r="C30" i="43" s="1"/>
  <c r="C32" i="43" s="1"/>
  <c r="B2" i="43" s="1"/>
  <c r="J19" i="15"/>
  <c r="J17" i="15" s="1"/>
  <c r="C33" i="15"/>
  <c r="C31" i="15" s="1"/>
  <c r="C56" i="15"/>
  <c r="J59" i="15"/>
  <c r="J60" i="15" s="1"/>
  <c r="C13" i="15"/>
  <c r="J14" i="15"/>
  <c r="C36" i="15"/>
  <c r="Q50" i="15"/>
  <c r="G46" i="37"/>
  <c r="H46" i="37" s="1"/>
  <c r="G47" i="37"/>
  <c r="H47" i="37" s="1"/>
  <c r="M58" i="33"/>
  <c r="E38" i="35"/>
  <c r="R39" i="35"/>
  <c r="G42" i="35"/>
  <c r="H42" i="35" s="1"/>
  <c r="G43" i="35"/>
  <c r="H43" i="35" s="1"/>
  <c r="I42" i="35"/>
  <c r="J42" i="35" s="1"/>
  <c r="I43" i="35"/>
  <c r="J43" i="35" s="1"/>
  <c r="I46" i="37"/>
  <c r="J46" i="37" s="1"/>
  <c r="R43" i="37"/>
  <c r="E42" i="37"/>
  <c r="L58" i="21"/>
  <c r="C21" i="9"/>
  <c r="C20" i="9"/>
  <c r="Q72" i="44" l="1"/>
  <c r="C43" i="44"/>
  <c r="C32" i="44"/>
  <c r="C42" i="44" s="1"/>
  <c r="J24" i="44"/>
  <c r="G20" i="9"/>
  <c r="L17" i="69" s="1"/>
  <c r="G21" i="9"/>
  <c r="B3" i="67"/>
  <c r="B4" i="67"/>
  <c r="N43" i="9"/>
  <c r="C32" i="9"/>
  <c r="G22" i="9"/>
  <c r="J18" i="44"/>
  <c r="J27" i="44" s="1"/>
  <c r="Q71" i="44"/>
  <c r="Q70" i="44" s="1"/>
  <c r="J35" i="15"/>
  <c r="Q71" i="15"/>
  <c r="C37" i="15"/>
  <c r="C30" i="15" s="1"/>
  <c r="C39" i="15" s="1"/>
  <c r="C55" i="15"/>
  <c r="C64" i="15" s="1"/>
  <c r="C63" i="15"/>
  <c r="C60" i="15"/>
  <c r="C58" i="15" s="1"/>
  <c r="J13" i="15"/>
  <c r="J23" i="15" s="1"/>
  <c r="J22" i="15"/>
  <c r="Q49" i="15"/>
  <c r="B5" i="43"/>
  <c r="B3" i="43"/>
  <c r="B4" i="43"/>
  <c r="E47" i="37"/>
  <c r="F47" i="37" s="1"/>
  <c r="E46" i="37"/>
  <c r="F46" i="37" s="1"/>
  <c r="I47" i="37"/>
  <c r="J47" i="37" s="1"/>
  <c r="C39" i="35"/>
  <c r="B3" i="35" s="1"/>
  <c r="B2" i="35" s="1"/>
  <c r="C38" i="35"/>
  <c r="M58" i="21"/>
  <c r="N58" i="21" s="1"/>
  <c r="O58" i="21" s="1"/>
  <c r="J7" i="21" s="1"/>
  <c r="H7" i="21"/>
  <c r="F7" i="21"/>
  <c r="C42" i="37"/>
  <c r="C43" i="37"/>
  <c r="B3" i="37" s="1"/>
  <c r="B2" i="37" s="1"/>
  <c r="E43" i="35"/>
  <c r="F43" i="35" s="1"/>
  <c r="E42" i="35"/>
  <c r="F42" i="35" s="1"/>
  <c r="N58" i="33"/>
  <c r="L51" i="15"/>
  <c r="C44" i="44" l="1"/>
  <c r="C45" i="44" s="1"/>
  <c r="L52" i="44" s="1"/>
  <c r="J16" i="15"/>
  <c r="J25" i="15" s="1"/>
  <c r="C57" i="15"/>
  <c r="C66" i="15" s="1"/>
  <c r="C67" i="15" s="1"/>
  <c r="C35" i="9"/>
  <c r="F42" i="9" s="1"/>
  <c r="C42" i="9"/>
  <c r="C33" i="9"/>
  <c r="O38" i="9"/>
  <c r="C34" i="9"/>
  <c r="O43" i="9"/>
  <c r="L57" i="15"/>
  <c r="L60" i="15" s="1"/>
  <c r="L46" i="15" s="1"/>
  <c r="Q68" i="15"/>
  <c r="Q70" i="15"/>
  <c r="Q69" i="15" s="1"/>
  <c r="C40" i="15"/>
  <c r="C46" i="15" s="1"/>
  <c r="J39" i="15"/>
  <c r="J40" i="15" s="1"/>
  <c r="C70" i="15"/>
  <c r="AA7" i="21"/>
  <c r="R48" i="21" s="1"/>
  <c r="S7" i="21"/>
  <c r="W7" i="21"/>
  <c r="AC7" i="21"/>
  <c r="V48" i="21" s="1"/>
  <c r="I48" i="21" s="1"/>
  <c r="O58" i="33"/>
  <c r="F7" i="33"/>
  <c r="U7" i="21"/>
  <c r="AB7" i="21"/>
  <c r="T48" i="21" s="1"/>
  <c r="G48" i="21" s="1"/>
  <c r="B2" i="44" l="1"/>
  <c r="B5" i="44" s="1"/>
  <c r="K26" i="9"/>
  <c r="K25" i="9"/>
  <c r="D14" i="66"/>
  <c r="R5" i="54"/>
  <c r="B48" i="63" s="1"/>
  <c r="N68" i="9"/>
  <c r="D63" i="9"/>
  <c r="E42" i="9"/>
  <c r="P5" i="54" s="1"/>
  <c r="B46" i="63" s="1"/>
  <c r="M38" i="9"/>
  <c r="K27" i="9" s="1"/>
  <c r="N38" i="9"/>
  <c r="K28" i="9" s="1"/>
  <c r="D42" i="9"/>
  <c r="Q5" i="54" s="1"/>
  <c r="B47" i="63" s="1"/>
  <c r="L58" i="44"/>
  <c r="L61" i="44" s="1"/>
  <c r="L47" i="44" s="1"/>
  <c r="Q69" i="44"/>
  <c r="Q66" i="15"/>
  <c r="Q57" i="15"/>
  <c r="Q48" i="15"/>
  <c r="Q54" i="15" s="1"/>
  <c r="B2" i="15"/>
  <c r="B3" i="15" s="1"/>
  <c r="C43" i="15"/>
  <c r="J42" i="15"/>
  <c r="J43" i="15" s="1"/>
  <c r="B4" i="44"/>
  <c r="Q58" i="15"/>
  <c r="Q63" i="15" s="1"/>
  <c r="Q67" i="15"/>
  <c r="Q76" i="15" s="1"/>
  <c r="AA7" i="33"/>
  <c r="R48" i="33" s="1"/>
  <c r="S7" i="33"/>
  <c r="I52" i="21"/>
  <c r="J52" i="21" s="1"/>
  <c r="G52" i="21"/>
  <c r="H52" i="21" s="1"/>
  <c r="G53" i="21"/>
  <c r="H53" i="21" s="1"/>
  <c r="J7" i="33"/>
  <c r="H7" i="33"/>
  <c r="R49" i="21"/>
  <c r="E48" i="21"/>
  <c r="B3" i="44" l="1"/>
  <c r="C82" i="9"/>
  <c r="C81" i="9" s="1"/>
  <c r="C85" i="9" s="1"/>
  <c r="C86" i="9" s="1"/>
  <c r="D72" i="9" s="1"/>
  <c r="C103" i="9"/>
  <c r="D71" i="9"/>
  <c r="D66" i="9" s="1"/>
  <c r="N72" i="9" s="1"/>
  <c r="C96" i="9"/>
  <c r="C91" i="9" s="1"/>
  <c r="C90" i="9"/>
  <c r="D77" i="9"/>
  <c r="N75" i="9" s="1"/>
  <c r="D70" i="9"/>
  <c r="C111" i="9"/>
  <c r="C104" i="9" s="1"/>
  <c r="F14" i="66"/>
  <c r="E14" i="66"/>
  <c r="B5" i="66"/>
  <c r="Q68" i="44"/>
  <c r="Q77" i="44" s="1"/>
  <c r="Q59" i="44"/>
  <c r="Q64" i="44" s="1"/>
  <c r="E53" i="21"/>
  <c r="F53" i="21" s="1"/>
  <c r="E52" i="21"/>
  <c r="F52" i="21" s="1"/>
  <c r="AB7" i="33"/>
  <c r="T48" i="33" s="1"/>
  <c r="G48" i="33" s="1"/>
  <c r="U7" i="33"/>
  <c r="I53" i="21"/>
  <c r="J53" i="21" s="1"/>
  <c r="C48" i="21"/>
  <c r="C49" i="21"/>
  <c r="B3" i="21" s="1"/>
  <c r="B2" i="21" s="1"/>
  <c r="W7" i="33"/>
  <c r="AC7" i="33"/>
  <c r="V48" i="33" s="1"/>
  <c r="I48" i="33" s="1"/>
  <c r="E48" i="33"/>
  <c r="R49" i="33"/>
  <c r="C97" i="9" l="1"/>
  <c r="C113" i="9"/>
  <c r="D5" i="66"/>
  <c r="C5" i="66"/>
  <c r="C98" i="9"/>
  <c r="E98" i="9" s="1"/>
  <c r="E99" i="9" s="1"/>
  <c r="I52" i="33"/>
  <c r="J52" i="33" s="1"/>
  <c r="I53" i="33"/>
  <c r="J53" i="33" s="1"/>
  <c r="E52" i="33"/>
  <c r="F52" i="33" s="1"/>
  <c r="E53" i="33"/>
  <c r="F53" i="33" s="1"/>
  <c r="C48" i="33"/>
  <c r="C49" i="33"/>
  <c r="B3" i="33" s="1"/>
  <c r="B2" i="33" s="1"/>
  <c r="G52" i="33"/>
  <c r="H52" i="33" s="1"/>
  <c r="G53" i="33"/>
  <c r="H53" i="33" s="1"/>
  <c r="C99" i="9" l="1"/>
  <c r="C114" i="9"/>
  <c r="E114" i="9" s="1"/>
  <c r="E115" i="9" s="1"/>
  <c r="C115" i="9" l="1"/>
  <c r="D76" i="9" s="1"/>
  <c r="D74" i="9" s="1"/>
  <c r="N74" i="9" s="1"/>
  <c r="O77" i="9" s="1"/>
  <c r="O79" i="9" s="1"/>
  <c r="Q77" i="9" l="1"/>
  <c r="O78"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<sst xmlns="http://schemas.openxmlformats.org/spreadsheetml/2006/main" count="7295" uniqueCount="3297">
  <si>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</si>
  <si>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</si>
  <si>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</si>
  <si>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</si>
  <si>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</si>
  <si>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</si>
  <si>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</si>
  <si>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</si>
  <si>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</si>
  <si>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</si>
  <si>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</si>
  <si>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</si>
  <si>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</si>
  <si>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</si>
  <si>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</si>
  <si>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</si>
  <si>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</si>
  <si>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</si>
  <si>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</si>
  <si>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</si>
  <si>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</si>
  <si>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</si>
  <si>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</si>
  <si>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</si>
  <si>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</si>
  <si>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</si>
  <si>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</si>
  <si>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</si>
  <si>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</si>
  <si>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</si>
  <si>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</si>
  <si>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</si>
  <si>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</si>
  <si>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</si>
  <si>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</si>
  <si>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</si>
  <si>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</si>
  <si>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</si>
  <si>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</si>
  <si>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</si>
  <si>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</si>
  <si>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</si>
  <si>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</si>
  <si>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</si>
  <si>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</si>
  <si>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</si>
  <si>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</si>
  <si>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</si>
  <si>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</si>
  <si>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</si>
  <si>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</si>
  <si>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</si>
  <si>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</si>
  <si>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</si>
  <si>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</si>
  <si>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</si>
  <si>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</si>
  <si>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</si>
  <si>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</si>
  <si>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</si>
  <si>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</si>
  <si>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</si>
  <si>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</si>
  <si>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</si>
  <si>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</si>
  <si>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</si>
  <si>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</si>
  <si>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</si>
  <si>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</si>
  <si>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</si>
  <si>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</si>
  <si>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</si>
  <si>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</si>
  <si>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</si>
  <si>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</si>
  <si>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</si>
  <si>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</si>
  <si>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</si>
  <si>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</si>
  <si>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</si>
  <si>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</si>
  <si>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</si>
  <si>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</si>
  <si>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</si>
  <si>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</si>
  <si>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</si>
  <si>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</si>
  <si>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</si>
  <si>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</si>
  <si>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</si>
  <si>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</si>
  <si>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</si>
  <si>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</si>
  <si>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</si>
  <si>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</si>
  <si>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</si>
  <si>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</si>
  <si>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</si>
  <si>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</si>
  <si>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</si>
  <si>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</si>
  <si>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</si>
  <si>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</si>
  <si>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</si>
  <si>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</si>
  <si>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</si>
  <si>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</si>
  <si>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</si>
  <si>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</si>
  <si>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</si>
  <si>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</si>
  <si>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</si>
  <si>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</si>
  <si>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</si>
  <si>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</si>
  <si>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</si>
  <si>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</si>
  <si>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</si>
  <si>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</si>
  <si>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</si>
  <si>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</si>
  <si>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</si>
  <si>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</si>
  <si>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</si>
  <si>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</si>
  <si>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</si>
  <si>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</si>
  <si>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</si>
  <si>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</si>
  <si>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</si>
  <si>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</si>
  <si>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</si>
  <si>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</si>
  <si>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</si>
  <si>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</si>
  <si>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</si>
  <si>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</si>
  <si>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</si>
  <si>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</si>
  <si>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</si>
  <si>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</si>
  <si>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</si>
  <si>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</si>
  <si>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</si>
  <si>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</si>
  <si>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</si>
  <si>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</si>
  <si>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</si>
  <si>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</si>
  <si>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</si>
  <si>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</si>
  <si>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</si>
  <si>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</si>
  <si>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</si>
  <si>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</si>
  <si>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</si>
  <si>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</si>
  <si>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</si>
  <si>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</si>
  <si>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</si>
  <si>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</si>
  <si>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</si>
  <si>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</si>
  <si>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</si>
  <si>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</si>
  <si>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</si>
  <si>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</si>
  <si>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</si>
  <si>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</si>
  <si>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</si>
  <si>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</si>
  <si>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</si>
  <si>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</si>
  <si>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</si>
  <si>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</si>
  <si>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</si>
  <si>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</si>
  <si>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</si>
  <si>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</si>
  <si>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</si>
  <si>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</si>
  <si>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</si>
  <si>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</si>
  <si>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</si>
  <si>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</si>
  <si>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</si>
  <si>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</si>
  <si>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</si>
  <si>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</si>
  <si>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</si>
  <si>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</si>
  <si>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</si>
  <si>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</si>
  <si>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</si>
  <si>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</si>
  <si>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</si>
  <si>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</si>
  <si>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</si>
  <si>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</si>
  <si>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</si>
  <si>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</si>
  <si>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</si>
  <si>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</si>
  <si>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</si>
  <si>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</si>
  <si>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</si>
  <si>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</si>
  <si>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</si>
  <si>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</si>
  <si>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</si>
  <si>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</si>
  <si>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</si>
  <si>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</si>
  <si>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</si>
  <si>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</si>
  <si>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</si>
  <si>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</si>
  <si>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</si>
  <si>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</si>
  <si>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</si>
  <si>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</si>
  <si>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</si>
  <si>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</si>
  <si>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</si>
  <si>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</si>
  <si>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</si>
  <si>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</si>
  <si>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</si>
  <si>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</si>
  <si>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</si>
  <si>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</si>
  <si>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</si>
  <si>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</si>
  <si>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</si>
  <si>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</si>
  <si>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</si>
  <si>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</si>
  <si>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</si>
  <si>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</si>
  <si>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</si>
  <si>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</si>
  <si>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</si>
  <si>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</si>
  <si>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</si>
  <si>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</si>
  <si>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</si>
  <si>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</si>
  <si>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</si>
  <si>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</si>
  <si>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</si>
  <si>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</si>
  <si>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</si>
  <si>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</si>
  <si>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</si>
  <si>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</si>
  <si>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</si>
  <si>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</si>
  <si>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</si>
  <si>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</si>
  <si>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</si>
  <si>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</si>
  <si>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</si>
  <si>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</si>
  <si>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</si>
  <si>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</si>
  <si>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</si>
  <si>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</si>
  <si>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</si>
  <si>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</si>
  <si>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</si>
  <si>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</si>
  <si>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</si>
  <si>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</si>
  <si>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</si>
  <si>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</si>
  <si>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</si>
  <si>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</si>
  <si>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</si>
  <si>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</si>
  <si>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</si>
  <si>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</si>
  <si>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</si>
  <si>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</si>
  <si>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</si>
  <si>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</si>
  <si>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</si>
  <si>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</si>
  <si>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</si>
  <si>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</si>
  <si>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</si>
  <si>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</si>
  <si>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</si>
  <si>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</si>
  <si>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</si>
  <si>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</si>
  <si>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</si>
  <si>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</si>
  <si>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</si>
  <si>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</si>
  <si>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</si>
  <si>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</si>
  <si>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</si>
  <si>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</si>
  <si>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</si>
  <si>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</si>
  <si>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</si>
  <si>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</si>
  <si>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</si>
  <si>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</si>
  <si>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</si>
  <si>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</si>
  <si>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</si>
  <si>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</si>
  <si>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</si>
  <si>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</si>
  <si>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</si>
  <si>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</si>
  <si>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</si>
  <si>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</si>
  <si>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</si>
  <si>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</si>
  <si>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</si>
  <si>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</si>
  <si>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</si>
  <si>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</si>
  <si>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</si>
  <si>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</si>
  <si>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</si>
  <si>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</si>
  <si>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</si>
  <si>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</si>
  <si>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</si>
  <si>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</si>
  <si>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</si>
  <si>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</si>
  <si>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</si>
  <si>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</si>
  <si>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</si>
  <si>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</si>
  <si>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</si>
  <si>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</si>
  <si>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</si>
  <si>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</si>
  <si>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</si>
  <si>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</si>
  <si>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</si>
  <si>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</si>
  <si>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</si>
  <si>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</si>
  <si>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</si>
  <si>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</si>
  <si>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</si>
  <si>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</si>
  <si>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</si>
  <si>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</si>
  <si>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</si>
  <si>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</si>
  <si>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</si>
  <si>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</si>
  <si>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</si>
  <si>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</si>
  <si>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</si>
  <si>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</si>
  <si>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</si>
  <si>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</si>
  <si>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</si>
  <si>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</si>
  <si>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</si>
  <si>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</si>
  <si>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</si>
  <si>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</si>
  <si>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</si>
  <si>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</si>
  <si>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</si>
  <si>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</si>
  <si>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</si>
  <si>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</si>
  <si>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</si>
  <si>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</si>
  <si>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</si>
  <si>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</si>
  <si>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</si>
  <si>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</si>
  <si>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</si>
  <si>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</si>
  <si>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</si>
  <si>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</si>
  <si>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</si>
  <si>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</si>
  <si>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</si>
  <si>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</si>
  <si>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</si>
  <si>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</si>
  <si>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</si>
  <si>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</si>
  <si>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</si>
  <si>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</si>
  <si>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</si>
  <si>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</si>
  <si>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</si>
  <si>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</si>
  <si>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</si>
  <si>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</si>
  <si>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</si>
  <si>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</si>
  <si>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</si>
  <si>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</si>
  <si>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</si>
  <si>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</si>
  <si>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</si>
  <si>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</si>
  <si>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</si>
  <si>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</si>
  <si>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</si>
  <si>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</si>
  <si>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</si>
  <si>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</si>
  <si>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</si>
  <si>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</si>
  <si>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</si>
  <si>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</si>
  <si>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</si>
  <si>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</si>
  <si>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</si>
  <si>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</si>
  <si>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</si>
  <si>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</si>
  <si>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</si>
  <si>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</si>
  <si>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</si>
  <si>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</si>
  <si>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</si>
  <si>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</si>
  <si>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</si>
  <si>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</si>
  <si>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</si>
  <si>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</si>
  <si>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</si>
  <si>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</si>
  <si>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</si>
  <si>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</si>
  <si>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</si>
  <si>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</si>
  <si>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</si>
  <si>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</si>
  <si>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</si>
  <si>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</si>
  <si>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</si>
  <si>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</si>
  <si>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</si>
  <si>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</si>
  <si>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</si>
  <si>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</si>
  <si>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</si>
  <si>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</si>
  <si>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</si>
  <si>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</si>
  <si>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</si>
  <si>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</si>
  <si>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</si>
  <si>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</si>
  <si>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</si>
  <si>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</si>
  <si>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</si>
  <si>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</si>
  <si>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</si>
  <si>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</si>
  <si>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</si>
  <si>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</si>
  <si>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</si>
  <si>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</si>
  <si>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</si>
  <si>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</si>
  <si>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</si>
  <si>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</si>
  <si>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</si>
  <si>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</si>
  <si>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</si>
  <si>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</si>
  <si>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</si>
  <si>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</si>
  <si>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</si>
  <si>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</si>
  <si>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</si>
  <si>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</si>
  <si>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</si>
  <si>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</si>
  <si>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</si>
  <si>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</si>
  <si>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</si>
  <si>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</si>
  <si>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</si>
  <si>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</si>
  <si>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</si>
  <si>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</si>
  <si>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</si>
  <si>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</si>
  <si>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</si>
  <si>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</si>
  <si>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</si>
  <si>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</si>
  <si>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</si>
  <si>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</si>
  <si>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</si>
  <si>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</si>
  <si>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</si>
  <si>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</si>
  <si>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</si>
  <si>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</si>
  <si>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</si>
  <si>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</si>
  <si>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</si>
  <si>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</si>
  <si>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</si>
  <si>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</si>
  <si>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</si>
  <si>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</si>
  <si>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</si>
  <si>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</si>
  <si>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</si>
  <si>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</si>
  <si>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</si>
  <si>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</si>
  <si>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</si>
  <si>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</si>
  <si>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</si>
  <si>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</si>
  <si>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</si>
  <si>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</si>
  <si>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</si>
  <si>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</si>
  <si>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</si>
  <si>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</si>
  <si>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</si>
  <si>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</si>
  <si>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</si>
  <si>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</si>
  <si>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</si>
  <si>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</si>
  <si>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</si>
  <si>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</si>
  <si>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</si>
  <si>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</si>
  <si>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</si>
  <si>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</si>
  <si>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</si>
  <si>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</si>
  <si>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</si>
  <si>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</si>
  <si>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</si>
  <si>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</si>
  <si>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</si>
  <si>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</si>
  <si>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</si>
  <si>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</si>
  <si>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</si>
  <si>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</si>
  <si>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</si>
  <si>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</si>
  <si>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</si>
  <si>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</si>
  <si>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</si>
  <si>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</si>
  <si>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</si>
  <si>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</si>
  <si>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</si>
  <si>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</si>
  <si>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</si>
  <si>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</si>
  <si>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</si>
  <si>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</si>
  <si>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</si>
  <si>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</si>
  <si>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</si>
  <si>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</si>
  <si>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</si>
  <si>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</si>
  <si>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</si>
  <si>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</si>
  <si>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</si>
  <si>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</si>
  <si>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</si>
  <si>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</si>
  <si>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</si>
  <si>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</si>
  <si>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</si>
  <si>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</si>
  <si>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</si>
  <si>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</si>
  <si>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</si>
  <si>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</si>
  <si>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</si>
  <si>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</si>
  <si>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</si>
  <si>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</si>
  <si>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</si>
  <si>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</si>
  <si>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</si>
  <si>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</si>
  <si>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</si>
  <si>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</si>
  <si>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</si>
  <si>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</si>
  <si>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</si>
  <si>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</si>
  <si>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</si>
  <si>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</si>
  <si>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</si>
  <si>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</si>
  <si>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</si>
  <si>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</si>
  <si>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</si>
  <si>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</si>
  <si>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</si>
  <si>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</si>
  <si>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</si>
  <si>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</si>
  <si>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</si>
  <si>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</si>
  <si>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</si>
  <si>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</si>
  <si>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</si>
  <si>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</si>
  <si>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</si>
  <si>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</si>
  <si>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</si>
  <si>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</si>
  <si>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</si>
  <si>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</si>
  <si>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</si>
  <si>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</si>
  <si>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</si>
  <si>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</si>
  <si>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</si>
  <si>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</si>
  <si>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</si>
  <si>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</si>
  <si>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</si>
  <si>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</si>
  <si>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</si>
  <si>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</si>
  <si>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</si>
  <si>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</si>
  <si>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</si>
  <si>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</si>
  <si>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</si>
  <si>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</si>
  <si>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</si>
  <si>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</si>
  <si>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</si>
  <si>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</si>
  <si>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</si>
  <si>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</si>
  <si>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</si>
  <si>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</si>
  <si>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</si>
  <si>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</si>
  <si>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</si>
  <si>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</si>
  <si>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</si>
  <si>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</si>
  <si>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</si>
  <si>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</si>
  <si>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</si>
  <si>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</si>
  <si>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</si>
  <si>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</si>
  <si>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</si>
  <si>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</si>
  <si>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</si>
  <si>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</si>
  <si>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</si>
  <si>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</si>
  <si>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</si>
  <si>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</si>
  <si>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</si>
  <si>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</si>
  <si>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</si>
  <si>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</si>
  <si>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</si>
  <si>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</si>
  <si>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</si>
  <si>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</si>
  <si>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</si>
  <si>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</si>
  <si>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</si>
  <si>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</si>
  <si>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</si>
  <si>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</si>
  <si>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</si>
  <si>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</si>
  <si>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</si>
  <si>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</si>
  <si>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</si>
  <si>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</si>
  <si>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</si>
  <si>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</si>
  <si>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</si>
  <si>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</si>
  <si>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</si>
  <si>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</si>
  <si>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</si>
  <si>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</si>
  <si>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</si>
  <si>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</si>
  <si>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</si>
  <si>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</si>
  <si>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</si>
  <si>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</si>
  <si>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</si>
  <si>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</si>
  <si>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</si>
  <si>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</si>
  <si>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</si>
  <si>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</si>
  <si>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</si>
  <si>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</si>
  <si>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</si>
  <si>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</si>
  <si>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</si>
  <si>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</si>
  <si>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</si>
  <si>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</si>
  <si>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</si>
  <si>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</si>
  <si>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</si>
  <si>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</si>
  <si>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</si>
  <si>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</si>
  <si>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</si>
  <si>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</si>
  <si>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</si>
  <si>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</si>
  <si>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</si>
  <si>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</si>
  <si>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</si>
  <si>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</si>
  <si>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</si>
  <si>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</si>
  <si>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</si>
  <si>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</si>
  <si>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</si>
  <si>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</si>
  <si>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</si>
  <si>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</si>
  <si>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</si>
  <si>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</si>
  <si>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</si>
  <si>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</si>
  <si>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</si>
  <si>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</si>
  <si>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</si>
  <si>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</si>
  <si>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</si>
  <si>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</si>
  <si>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</si>
  <si>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</si>
  <si>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</si>
  <si>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</si>
  <si>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</si>
  <si>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</si>
  <si>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</si>
  <si>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</si>
  <si>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</si>
  <si>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</si>
  <si>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</si>
  <si>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</si>
  <si>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</si>
  <si>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</si>
  <si>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</si>
  <si>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</si>
  <si>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</si>
  <si>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</si>
  <si>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</si>
  <si>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</si>
  <si>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</si>
  <si>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</si>
  <si>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</si>
  <si>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</si>
  <si>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</si>
  <si>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</si>
  <si>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</si>
  <si>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</si>
  <si>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</si>
  <si>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</si>
  <si>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</si>
  <si>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</si>
  <si>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</si>
  <si>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</si>
  <si>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</si>
  <si>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</si>
  <si>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</si>
  <si>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</si>
  <si>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</si>
  <si>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</si>
  <si>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</si>
  <si>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</si>
  <si>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</si>
  <si>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</si>
  <si>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</si>
  <si>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</si>
  <si>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</si>
  <si>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</si>
  <si>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</si>
  <si>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</si>
  <si>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</si>
  <si>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</si>
  <si>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</si>
  <si>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</si>
  <si>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</si>
  <si>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</si>
  <si>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</si>
  <si>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</si>
  <si>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</si>
  <si>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</si>
  <si>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</si>
  <si>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</si>
  <si>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</si>
  <si>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</si>
  <si>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</si>
  <si>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</si>
  <si>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</si>
  <si>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</si>
  <si>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</si>
  <si>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</si>
  <si>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</si>
  <si>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</si>
  <si>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</si>
  <si>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</si>
  <si>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</si>
  <si>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</si>
  <si>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</si>
  <si>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</si>
  <si>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</si>
  <si>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</si>
  <si>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</si>
  <si>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</si>
  <si>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</si>
  <si>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</si>
  <si>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</si>
  <si>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</si>
  <si>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</si>
  <si>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</si>
  <si>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</si>
  <si>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</si>
  <si>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</si>
  <si>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</si>
  <si>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</si>
  <si>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</si>
  <si>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</si>
  <si>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</si>
  <si>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</si>
  <si>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</si>
  <si>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</si>
  <si>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</si>
  <si>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</si>
  <si>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</si>
  <si>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</si>
  <si>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</si>
  <si>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</si>
  <si>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</si>
  <si>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</si>
  <si>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</si>
  <si>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</si>
  <si>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</si>
  <si>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</si>
  <si>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</si>
  <si>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</si>
  <si>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</si>
  <si>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</si>
  <si>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</si>
  <si>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</si>
  <si>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</si>
  <si>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</si>
  <si>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</si>
  <si>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</si>
  <si>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</si>
  <si>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</si>
  <si>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</si>
  <si>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</si>
  <si>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</si>
  <si>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</si>
  <si>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</si>
  <si>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</si>
  <si>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</si>
  <si>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</si>
  <si>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</si>
  <si>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</si>
  <si>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</si>
  <si>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</si>
  <si>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</si>
  <si>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</si>
  <si>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</si>
  <si>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</si>
  <si>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</si>
  <si>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</si>
  <si>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</si>
  <si>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</si>
  <si>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</si>
  <si>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</si>
  <si>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</si>
  <si>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</si>
  <si>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</si>
  <si>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</si>
  <si>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</si>
  <si>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</si>
  <si>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</si>
  <si>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</si>
  <si>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</si>
  <si>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</si>
  <si>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</si>
  <si>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</si>
  <si>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</si>
  <si>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</si>
  <si>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</si>
  <si>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</si>
  <si>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</si>
  <si>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</si>
  <si>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</si>
  <si>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</si>
  <si>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</si>
  <si>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</si>
  <si>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</si>
  <si>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</si>
  <si>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</si>
  <si>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</si>
  <si>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</si>
  <si>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</si>
  <si>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</si>
  <si>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</si>
  <si>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</si>
  <si>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</si>
  <si>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</si>
  <si>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</si>
  <si>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</si>
  <si>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</si>
  <si>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</si>
  <si>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</si>
  <si>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</si>
  <si>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</si>
  <si>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</si>
  <si>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</si>
  <si>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</si>
  <si>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</si>
  <si>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</si>
  <si>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</si>
  <si>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</si>
  <si>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</si>
  <si>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</si>
  <si>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</si>
  <si>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</si>
  <si>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</si>
  <si>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</si>
  <si>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</si>
  <si>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</si>
  <si>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</si>
  <si>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</si>
  <si>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</si>
  <si>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</si>
  <si>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</si>
  <si>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</si>
  <si>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</si>
  <si>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</si>
  <si>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</si>
  <si>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</si>
  <si>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</si>
  <si>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</si>
  <si>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</si>
  <si>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</si>
  <si>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</si>
  <si>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</si>
  <si>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</si>
  <si>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</si>
  <si>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</si>
  <si>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</si>
  <si>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</si>
  <si>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</si>
  <si>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</si>
  <si>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</si>
  <si>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</si>
  <si>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</si>
  <si>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</si>
  <si>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</si>
  <si>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</si>
  <si>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</si>
  <si>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</si>
  <si>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</si>
  <si>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</si>
  <si>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</si>
  <si>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</si>
  <si>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</si>
  <si>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</si>
  <si>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</si>
  <si>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</si>
  <si>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</si>
  <si>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</si>
  <si>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</si>
  <si>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</si>
  <si>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</si>
  <si>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</si>
  <si>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</si>
  <si>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</si>
  <si>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</si>
  <si>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</si>
  <si>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</si>
  <si>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</si>
  <si>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</si>
  <si>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</si>
  <si>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</si>
  <si>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</si>
  <si>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</si>
  <si>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</si>
  <si>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</si>
  <si>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</si>
  <si>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</si>
  <si>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</si>
  <si>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</si>
  <si>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</si>
  <si>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</si>
  <si>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</si>
  <si>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</si>
  <si>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</si>
  <si>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</si>
  <si>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</si>
  <si>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</si>
  <si>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</si>
  <si>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</si>
  <si>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</si>
  <si>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</si>
  <si>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</si>
  <si>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</si>
  <si>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</si>
  <si>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</si>
  <si>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</si>
  <si>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</si>
  <si>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</si>
  <si>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</si>
  <si>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</si>
  <si>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</si>
  <si>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</si>
  <si>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</si>
  <si>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</si>
  <si>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</si>
  <si>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</si>
  <si>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</si>
  <si>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</si>
  <si>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</si>
  <si>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</si>
  <si>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</si>
  <si>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</si>
  <si>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</si>
  <si>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</si>
  <si>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</si>
  <si>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</si>
  <si>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</si>
  <si>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</si>
  <si>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</si>
  <si>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</si>
  <si>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</si>
  <si>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</si>
  <si>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</si>
  <si>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</si>
  <si>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</si>
  <si>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</si>
  <si>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</si>
  <si>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</si>
  <si>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</si>
  <si>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</si>
  <si>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</si>
  <si>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</si>
  <si>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</si>
  <si>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</si>
  <si>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</si>
  <si>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</si>
  <si>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</si>
  <si>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</si>
  <si>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</si>
  <si>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</si>
  <si>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</si>
  <si>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</si>
  <si>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</si>
  <si>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</si>
  <si>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</si>
  <si>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</si>
  <si>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</si>
  <si>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</si>
  <si>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</si>
  <si>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</si>
  <si>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</si>
  <si>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</si>
  <si>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</si>
  <si>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</si>
  <si>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</si>
  <si>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</si>
  <si>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</si>
  <si>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</si>
  <si>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</si>
  <si>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</si>
  <si>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</si>
  <si>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</si>
  <si>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</si>
  <si>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</si>
  <si>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</si>
  <si>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</si>
  <si>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</si>
  <si>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</si>
  <si>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</si>
  <si>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</si>
  <si>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</si>
  <si>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</si>
  <si>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</si>
  <si>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</si>
  <si>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</si>
  <si>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</si>
  <si>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</si>
  <si>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</si>
  <si>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</si>
  <si>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</si>
  <si>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</si>
  <si>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</si>
  <si>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</si>
  <si>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</si>
  <si>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</si>
  <si>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</si>
  <si>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</si>
  <si>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</si>
  <si>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</si>
  <si>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</si>
  <si>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</si>
  <si>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</si>
  <si>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</si>
  <si>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</si>
  <si>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</si>
  <si>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</si>
  <si>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</si>
  <si>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</si>
  <si>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</si>
  <si>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</si>
  <si>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</si>
  <si>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</si>
  <si>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</si>
  <si>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</si>
  <si>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</si>
  <si>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</si>
  <si>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</si>
  <si>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</si>
  <si>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</si>
  <si>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</si>
  <si>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</si>
  <si>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</si>
  <si>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</si>
  <si>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</si>
  <si>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</si>
  <si>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</si>
  <si>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</si>
  <si>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</si>
  <si>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</si>
  <si>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</si>
  <si>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</si>
  <si>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</si>
  <si>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</si>
  <si>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</si>
  <si>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</si>
  <si>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</si>
  <si>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</si>
  <si>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</si>
  <si>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</si>
  <si>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</si>
  <si>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</si>
  <si>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</si>
  <si>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</si>
  <si>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</si>
  <si>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</si>
  <si>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</si>
  <si>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</si>
  <si>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</si>
  <si>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</si>
  <si>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</si>
  <si>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</si>
  <si>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</si>
  <si>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</si>
  <si>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</si>
  <si>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</si>
  <si>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</si>
  <si>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</si>
  <si>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</si>
  <si>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</si>
  <si>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</si>
  <si>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</si>
  <si>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</si>
  <si>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</si>
  <si>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</si>
  <si>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</si>
  <si>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</si>
  <si>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</si>
  <si>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</si>
  <si>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</si>
  <si>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</si>
  <si>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</si>
  <si>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</si>
  <si>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</si>
  <si>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</si>
  <si>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</si>
  <si>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</si>
  <si>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</si>
  <si>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</si>
  <si>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</si>
  <si>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</si>
  <si>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</si>
  <si>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</si>
  <si>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</si>
  <si>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</si>
  <si>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</si>
  <si>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</si>
  <si>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</si>
  <si>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</si>
  <si>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</si>
  <si>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</si>
  <si>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</si>
  <si>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</si>
  <si>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</si>
  <si>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</si>
  <si>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</si>
  <si>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</si>
  <si>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</si>
  <si>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</si>
  <si>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</si>
  <si>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</si>
  <si>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</si>
  <si>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</si>
  <si>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</si>
  <si>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</si>
  <si>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</si>
  <si>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</si>
  <si>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</si>
  <si>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</si>
  <si>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</si>
  <si>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</si>
  <si>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</si>
  <si>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</si>
  <si>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</si>
  <si>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</si>
  <si>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</si>
  <si>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</si>
  <si>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</si>
  <si>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</si>
  <si>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</si>
  <si>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</si>
  <si>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</si>
  <si>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</si>
  <si>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</si>
  <si>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</si>
  <si>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</si>
  <si>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</si>
  <si>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</si>
  <si>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</si>
  <si>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</si>
  <si>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</si>
  <si>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</si>
  <si>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</si>
  <si>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</si>
  <si>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</si>
  <si>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</si>
  <si>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</si>
  <si>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</si>
  <si>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</si>
  <si>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</si>
  <si>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</si>
  <si>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</si>
  <si>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</si>
  <si>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</si>
  <si>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</si>
  <si>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</si>
  <si>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</si>
  <si>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</si>
  <si>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</si>
  <si>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</si>
  <si>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</si>
  <si>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</si>
  <si>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</si>
  <si>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</si>
  <si>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</si>
  <si>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</si>
  <si>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</si>
  <si>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</si>
  <si>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</si>
  <si>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</si>
  <si>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</si>
  <si>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</si>
  <si>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</si>
  <si>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</si>
  <si>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</si>
  <si>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</si>
  <si>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</si>
  <si>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</si>
  <si>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</si>
  <si>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</si>
  <si>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</si>
  <si>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</si>
  <si>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</si>
  <si>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</si>
  <si>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</si>
  <si>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</si>
  <si>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</si>
  <si>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</si>
  <si>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</si>
  <si>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</si>
  <si>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</si>
  <si>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</si>
  <si>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</si>
  <si>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</si>
  <si>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</si>
  <si>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</si>
  <si>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</si>
  <si>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</si>
  <si>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</si>
  <si>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</si>
  <si>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</si>
  <si>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</si>
  <si>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</si>
  <si>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</si>
  <si>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</si>
  <si>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</si>
  <si>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</si>
  <si>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</si>
  <si>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</si>
  <si>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</si>
  <si>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</si>
  <si>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</si>
  <si>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</si>
  <si>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</si>
  <si>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</si>
  <si>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</si>
  <si>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</si>
  <si>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</si>
  <si>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</si>
  <si>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</si>
  <si>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</si>
  <si>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</si>
  <si>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</si>
  <si>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</si>
  <si>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</si>
  <si>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</si>
  <si>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</si>
  <si>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</si>
  <si>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</si>
  <si>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</si>
  <si>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</si>
  <si>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</si>
  <si>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</si>
  <si>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</si>
  <si>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</si>
  <si>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</si>
  <si>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</si>
  <si>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</si>
  <si>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</si>
  <si>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</si>
  <si>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</si>
  <si>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</si>
  <si>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</si>
  <si>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</si>
  <si>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</si>
  <si>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</si>
  <si>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</si>
  <si>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</si>
  <si>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</si>
  <si>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</si>
  <si>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</si>
  <si>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</si>
  <si>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</si>
  <si>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</si>
  <si>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</si>
  <si>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</si>
  <si>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</si>
  <si>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</si>
  <si>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</si>
  <si>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</si>
  <si>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</si>
  <si>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</si>
  <si>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</si>
  <si>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</si>
  <si>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</si>
  <si>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</si>
  <si>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</si>
  <si>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</si>
  <si>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</si>
  <si>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</si>
  <si>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</si>
  <si>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</si>
  <si>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</si>
  <si>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</si>
  <si>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</si>
  <si>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</si>
  <si>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</si>
  <si>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</si>
  <si>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</si>
  <si>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</si>
  <si>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</si>
  <si>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</si>
  <si>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</si>
  <si>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</si>
  <si>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</si>
  <si>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</si>
  <si>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</si>
  <si>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</si>
  <si>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</si>
  <si>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</si>
  <si>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</si>
  <si>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</si>
  <si>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</si>
  <si>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</si>
  <si>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</si>
  <si>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</si>
  <si>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</si>
  <si>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</si>
  <si>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</si>
  <si>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</si>
  <si>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</si>
  <si>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</si>
  <si>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</si>
  <si>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</si>
  <si>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</si>
  <si>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</si>
  <si>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</si>
  <si>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</si>
  <si>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</si>
  <si>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</si>
  <si>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</si>
  <si>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</si>
  <si>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</si>
  <si>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</si>
  <si>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</si>
  <si>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</si>
  <si>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</si>
  <si>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</si>
  <si>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</si>
  <si>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</si>
  <si>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</si>
  <si>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</si>
  <si>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</si>
  <si>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</si>
  <si>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</si>
  <si>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</si>
  <si>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</si>
  <si>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</si>
  <si>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</si>
  <si>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</si>
  <si>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</si>
  <si>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</si>
  <si>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</si>
  <si>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</si>
  <si>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</si>
  <si>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</si>
  <si>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</si>
  <si>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</si>
  <si>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</si>
  <si>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</si>
  <si>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</si>
  <si>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</si>
  <si>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</si>
  <si>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</si>
  <si>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</si>
  <si>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</si>
  <si>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</si>
  <si>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</si>
  <si>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</si>
  <si>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</si>
  <si>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</si>
  <si>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</si>
  <si>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</si>
  <si>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</si>
  <si>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</si>
  <si>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</si>
  <si>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</si>
  <si>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</si>
  <si>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</si>
  <si>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</si>
  <si>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</si>
  <si>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</si>
  <si>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</si>
  <si>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</si>
  <si>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</si>
  <si>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</si>
  <si>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</si>
  <si>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</si>
  <si>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</si>
  <si>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</si>
  <si>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</si>
  <si>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</si>
  <si>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</si>
  <si>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</si>
  <si>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</si>
  <si>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</si>
  <si>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</si>
  <si>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</si>
  <si>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</si>
  <si>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</si>
  <si>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</si>
  <si>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</si>
  <si>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</si>
  <si>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</si>
  <si>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</si>
  <si>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</si>
  <si>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</si>
  <si>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</si>
  <si>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</si>
  <si>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</si>
  <si>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</si>
  <si>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</si>
  <si>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</si>
  <si>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</si>
  <si>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</si>
  <si>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</si>
  <si>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</si>
  <si>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</si>
  <si>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</si>
  <si>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</si>
  <si>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</si>
  <si>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</si>
  <si>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</si>
  <si>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</si>
  <si>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</si>
  <si>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</si>
  <si>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</si>
  <si>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</si>
  <si>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</si>
  <si>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</si>
  <si>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</si>
  <si>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</si>
  <si>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</si>
  <si>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</si>
  <si>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</si>
  <si>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</si>
  <si>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</si>
  <si>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</si>
  <si>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</si>
  <si>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</si>
  <si>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</si>
  <si>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</si>
  <si>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</si>
  <si>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</si>
  <si>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</si>
  <si>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</si>
  <si>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</si>
  <si>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</si>
  <si>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</si>
  <si>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</si>
  <si>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</si>
  <si>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</si>
  <si>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</si>
  <si>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</si>
  <si>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</si>
  <si>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</si>
  <si>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</si>
  <si>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</si>
  <si>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</si>
  <si>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</si>
  <si>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</si>
  <si>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</si>
  <si>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</si>
  <si>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</si>
  <si>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</si>
  <si>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</si>
  <si>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</si>
  <si>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</si>
  <si>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</si>
  <si>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</si>
  <si>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</si>
  <si>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</si>
  <si>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</si>
  <si>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</si>
  <si>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</si>
  <si>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</si>
  <si>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</si>
  <si>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</si>
  <si>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</si>
  <si>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</si>
  <si>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</si>
  <si>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</si>
  <si>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</si>
  <si>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</si>
  <si>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</si>
  <si>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</si>
  <si>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</si>
  <si>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</si>
  <si>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</si>
  <si>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</si>
  <si>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</si>
  <si>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</si>
  <si>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</si>
  <si>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</si>
  <si>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</si>
  <si>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</si>
  <si>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</si>
  <si>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</si>
  <si>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</si>
  <si>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</si>
  <si>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</si>
  <si>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</si>
  <si>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</si>
  <si>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</si>
  <si>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</si>
  <si>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</si>
  <si>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</si>
  <si>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</si>
  <si>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</si>
  <si>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</si>
  <si>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</si>
  <si>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</si>
  <si>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</si>
  <si>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</si>
  <si>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</si>
  <si>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</si>
  <si>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</si>
  <si>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</si>
  <si>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</si>
  <si>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</si>
  <si>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</si>
  <si>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</si>
  <si>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</si>
  <si>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</si>
  <si>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</si>
  <si>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</si>
  <si>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</si>
  <si>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</si>
  <si>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</si>
  <si>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</si>
  <si>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</si>
  <si>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</si>
  <si>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</si>
  <si>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</si>
  <si>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</si>
  <si>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</si>
  <si>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</si>
  <si>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</si>
  <si>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</si>
  <si>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</si>
  <si>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</si>
  <si>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</si>
  <si>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</si>
  <si>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</si>
  <si>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</si>
  <si>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</si>
  <si>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</si>
  <si>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</si>
  <si>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</si>
  <si>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</si>
  <si>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</si>
  <si>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</si>
  <si>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</si>
  <si>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</si>
  <si>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</si>
  <si>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</si>
  <si>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</si>
  <si>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</si>
  <si>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</si>
  <si>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</si>
  <si>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</si>
  <si>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</si>
  <si>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</si>
  <si>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</si>
  <si>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</si>
  <si>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</si>
  <si>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</si>
  <si>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</si>
  <si>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</si>
  <si>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</si>
  <si>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</si>
  <si>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</si>
  <si>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</si>
  <si>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</si>
  <si>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</si>
  <si>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</si>
  <si>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</si>
  <si>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</si>
  <si>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</si>
  <si>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</si>
  <si>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</si>
  <si>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</si>
  <si>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</si>
  <si>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</si>
  <si>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</si>
  <si>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</si>
  <si>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</si>
  <si>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</si>
  <si>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</si>
  <si>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</si>
  <si>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</si>
  <si>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</si>
  <si>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</si>
  <si>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</si>
  <si>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</si>
  <si>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</si>
  <si>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</si>
  <si>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</si>
  <si>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</si>
  <si>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</si>
  <si>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</si>
  <si>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</si>
  <si>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</si>
  <si>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</si>
  <si>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</si>
  <si>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</si>
  <si>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</si>
  <si>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</si>
  <si>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</si>
  <si>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</si>
  <si>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</si>
  <si>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</si>
  <si>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</si>
  <si>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</si>
  <si>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</si>
  <si>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</si>
  <si>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</si>
  <si>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</si>
  <si>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</si>
  <si>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</si>
  <si>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</si>
  <si>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</si>
  <si>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</si>
  <si>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</si>
  <si>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</si>
  <si>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</si>
  <si>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</si>
  <si>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</si>
  <si>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</si>
  <si>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</si>
  <si>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</si>
  <si>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</si>
  <si>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</si>
  <si>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</si>
  <si>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</si>
  <si>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</si>
  <si>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</si>
  <si>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</si>
  <si>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</si>
  <si>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</si>
  <si>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</si>
  <si>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</si>
  <si>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</si>
  <si>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</si>
  <si>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</si>
  <si>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</si>
  <si>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</si>
  <si>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</si>
  <si>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</si>
  <si>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</si>
  <si>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</si>
  <si>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</si>
  <si>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</si>
  <si>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</si>
  <si>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</si>
  <si>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</si>
  <si>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</si>
  <si>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</si>
  <si>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</si>
  <si>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</si>
  <si>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</si>
  <si>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</si>
  <si>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</si>
  <si>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</si>
  <si>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</si>
  <si>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</si>
  <si>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</si>
  <si>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</si>
  <si>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</si>
  <si>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</si>
  <si>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</si>
  <si>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</si>
  <si>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</si>
  <si>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</si>
  <si>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</si>
  <si>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</si>
  <si>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</si>
  <si>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</si>
  <si>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</si>
  <si>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</si>
  <si>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</si>
  <si>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</si>
  <si>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</si>
  <si>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</si>
  <si>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</si>
  <si>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</si>
  <si>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</si>
  <si>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</si>
  <si>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</si>
  <si>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</si>
  <si>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</si>
  <si>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</si>
  <si>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</si>
  <si>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</si>
  <si>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</si>
  <si>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</si>
  <si>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</si>
  <si>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</si>
  <si>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</si>
  <si>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</si>
  <si>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</si>
  <si>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</si>
  <si>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</si>
  <si>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</si>
  <si>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</si>
  <si>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</si>
  <si>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</si>
  <si>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</si>
  <si>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</si>
  <si>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</si>
  <si>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</si>
  <si>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</si>
  <si>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</si>
  <si>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</si>
  <si>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</si>
  <si>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</si>
  <si>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</si>
  <si>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</si>
  <si>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</si>
  <si>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</si>
  <si>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</si>
  <si>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</si>
  <si>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</si>
  <si>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</si>
  <si>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</si>
  <si>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</si>
  <si>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</si>
  <si>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</si>
  <si>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</si>
  <si>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</si>
  <si>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</si>
  <si>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</si>
  <si>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</si>
  <si>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</si>
  <si>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</si>
  <si>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</si>
  <si>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</si>
  <si>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</si>
  <si>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</si>
  <si>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</si>
  <si>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</si>
  <si>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</si>
  <si>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</si>
  <si>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</si>
  <si>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</si>
  <si>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</si>
  <si>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</si>
  <si>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</si>
  <si>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</si>
  <si>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</si>
  <si>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</si>
  <si>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</si>
  <si>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</si>
  <si>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</si>
  <si>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</si>
  <si>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</si>
  <si>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</si>
  <si>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</si>
  <si>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</si>
  <si>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</si>
  <si>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</si>
  <si>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</si>
  <si>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</si>
  <si>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</si>
  <si>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</si>
  <si>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</si>
  <si>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</si>
  <si>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</si>
  <si>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</si>
  <si>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</si>
  <si>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</si>
  <si>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</si>
  <si>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</si>
  <si>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</si>
  <si>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</si>
  <si>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</si>
  <si>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</si>
  <si>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</si>
  <si>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</si>
  <si>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</si>
  <si>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</si>
  <si>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</si>
  <si>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</si>
  <si>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</si>
  <si>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</si>
  <si>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</si>
  <si>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</si>
  <si>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</si>
  <si>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</si>
  <si>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</si>
  <si>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</si>
  <si>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</si>
  <si>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</si>
  <si>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</si>
  <si>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</si>
  <si>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</si>
  <si>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</si>
  <si>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</si>
  <si>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</si>
  <si>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</si>
  <si>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</si>
  <si>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</si>
  <si>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</si>
  <si>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</si>
  <si>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</si>
  <si>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</si>
  <si>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</si>
  <si>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</si>
  <si>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</si>
  <si>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</si>
  <si>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</si>
  <si>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</si>
  <si>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</si>
  <si>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</si>
  <si>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</si>
  <si>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</si>
  <si>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</si>
  <si>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</si>
  <si>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</si>
  <si>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</si>
  <si>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</si>
  <si>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</si>
  <si>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</si>
  <si>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</si>
  <si>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</si>
  <si>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</si>
  <si>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</si>
  <si>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</si>
  <si>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</si>
  <si>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</si>
  <si>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</si>
  <si>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</si>
  <si>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</si>
  <si>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</si>
  <si>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</si>
  <si>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</si>
  <si>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</si>
  <si>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</si>
  <si>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</si>
  <si>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</si>
  <si>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</si>
  <si>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</si>
  <si>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</si>
  <si>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</si>
  <si>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</si>
  <si>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</si>
  <si>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</si>
  <si>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</si>
  <si>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</si>
  <si>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</si>
  <si>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</si>
  <si>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</si>
  <si>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</si>
  <si>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</si>
  <si>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</si>
  <si>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</si>
  <si>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</si>
  <si>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</si>
  <si>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</si>
  <si>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</si>
  <si>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</si>
  <si>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</si>
  <si>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</si>
  <si>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</si>
  <si>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</si>
  <si>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</si>
  <si>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</si>
  <si>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</si>
  <si>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</si>
  <si>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</si>
  <si>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</si>
  <si>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</si>
  <si>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</si>
  <si>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</si>
  <si>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</si>
  <si>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</si>
  <si>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</si>
  <si>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</si>
  <si>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</si>
  <si>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</si>
  <si>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</si>
  <si>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</si>
  <si>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</si>
  <si>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</si>
  <si>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</si>
  <si>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</si>
  <si>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</si>
  <si>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</si>
  <si>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</si>
  <si>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</si>
  <si>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</si>
  <si>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</si>
  <si>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</si>
  <si>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</si>
  <si>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</si>
  <si>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</si>
  <si>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</si>
  <si>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</si>
  <si>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</si>
  <si>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</si>
  <si>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</si>
  <si>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</si>
  <si>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</si>
  <si>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</si>
  <si>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</si>
  <si>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</si>
  <si>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</si>
  <si>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</si>
  <si>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</si>
  <si>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</si>
  <si>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</si>
  <si>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</si>
  <si>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</si>
  <si>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</si>
  <si>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</si>
  <si>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</si>
  <si>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</si>
  <si>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</si>
  <si>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</si>
  <si>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</si>
  <si>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</si>
  <si>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</si>
  <si>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</si>
  <si>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</si>
  <si>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</si>
  <si>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</si>
  <si>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</si>
  <si>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</si>
  <si>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</si>
  <si>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</si>
  <si>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</si>
  <si>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</si>
  <si>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</si>
  <si>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</si>
  <si>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</si>
  <si>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</si>
  <si>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</si>
  <si>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</si>
  <si>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</si>
  <si>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</si>
  <si>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</si>
  <si>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</si>
  <si>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</si>
  <si>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</si>
  <si>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</si>
  <si>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</si>
  <si>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</si>
  <si>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</si>
  <si>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</si>
  <si>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</si>
  <si>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</si>
  <si>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</si>
  <si>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</si>
  <si>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</si>
  <si>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</si>
  <si>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</si>
  <si>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</si>
  <si>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</si>
  <si>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</si>
  <si>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</si>
  <si>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</si>
  <si>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</si>
  <si>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</si>
  <si>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</si>
  <si>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</si>
  <si>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</si>
  <si>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</si>
  <si>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</si>
  <si>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</si>
  <si>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</si>
  <si>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</si>
  <si>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</si>
  <si>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</si>
  <si>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</si>
  <si>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</si>
  <si>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</si>
  <si>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</si>
  <si>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</si>
  <si>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</si>
  <si>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</si>
  <si>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</si>
  <si>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</si>
  <si>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</si>
  <si>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</si>
  <si>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</si>
  <si>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</si>
  <si>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</si>
  <si>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</si>
  <si>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</si>
  <si>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</si>
  <si>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</si>
  <si>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</si>
  <si>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</si>
  <si>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</si>
  <si>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</si>
  <si>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</si>
  <si>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</si>
  <si>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</si>
  <si>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</si>
  <si>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</si>
  <si>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</si>
  <si>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</si>
  <si>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</si>
  <si>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</si>
  <si>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</si>
  <si>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</si>
  <si>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</si>
  <si>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</si>
  <si>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</si>
  <si>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</si>
  <si>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</si>
  <si>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</si>
  <si>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</si>
  <si>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</si>
  <si>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</si>
  <si>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</si>
  <si>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</si>
  <si>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</si>
  <si>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</si>
  <si>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</si>
  <si>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</si>
  <si>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</si>
  <si>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</si>
  <si>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</si>
  <si>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</si>
  <si>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</si>
  <si>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</si>
  <si>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</si>
  <si>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</si>
  <si>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</si>
  <si>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</si>
  <si>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</si>
  <si>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</si>
  <si>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</si>
  <si>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</si>
  <si>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</si>
  <si>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</si>
  <si>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</si>
  <si>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</si>
  <si>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</si>
  <si>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</si>
  <si>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</si>
  <si>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</si>
  <si>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</si>
  <si>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</si>
  <si>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</si>
  <si>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</si>
  <si>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</si>
  <si>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</si>
  <si>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</si>
  <si>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</si>
  <si>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</si>
  <si>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</si>
  <si>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</si>
  <si>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</si>
  <si>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</si>
  <si>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</si>
  <si>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</si>
  <si>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</si>
  <si>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</si>
  <si>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</si>
  <si>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</si>
  <si>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</si>
  <si>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</si>
  <si>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</si>
  <si>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</si>
  <si>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</si>
  <si>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</si>
  <si>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</si>
  <si>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</si>
  <si>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</si>
  <si>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</si>
  <si>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</si>
  <si>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</si>
  <si>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</si>
  <si>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</si>
  <si>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</si>
  <si>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</si>
  <si>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</si>
  <si>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</si>
  <si>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</si>
  <si>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</si>
  <si>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</si>
  <si>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</si>
  <si>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</si>
  <si>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</si>
  <si>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</si>
  <si>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</si>
  <si>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</si>
  <si>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</si>
  <si>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</si>
  <si>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</si>
  <si>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</si>
  <si>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</si>
  <si>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</si>
  <si>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</si>
  <si>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</si>
  <si>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</si>
  <si>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</si>
  <si>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</si>
  <si>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</si>
  <si>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</si>
  <si>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</si>
  <si>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</si>
  <si>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</si>
  <si>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</si>
  <si>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</si>
  <si>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</si>
  <si>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</si>
  <si>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</si>
  <si>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</si>
  <si>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</si>
  <si>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</si>
  <si>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</si>
  <si>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</si>
  <si>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</si>
  <si>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</si>
  <si>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</si>
  <si>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</si>
  <si>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</si>
  <si>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</si>
  <si>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</si>
  <si>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</si>
  <si>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</si>
  <si>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</si>
  <si>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</si>
  <si>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</si>
  <si>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</si>
  <si>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</si>
  <si>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</si>
  <si>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</si>
  <si>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</si>
  <si>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</si>
  <si>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</si>
  <si>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</si>
  <si>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</si>
  <si>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</si>
  <si>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</si>
  <si>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</si>
  <si>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</si>
  <si>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</si>
  <si>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</si>
  <si>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</si>
  <si>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</si>
  <si>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</si>
  <si>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</si>
  <si>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</si>
  <si>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</si>
  <si>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</si>
  <si>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</si>
  <si>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</si>
  <si>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</si>
  <si>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</si>
  <si>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</si>
  <si>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</si>
  <si>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</si>
  <si>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</si>
  <si>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</si>
  <si>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</si>
  <si>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</si>
  <si>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</si>
  <si>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</si>
  <si>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</si>
  <si>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</si>
  <si>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</si>
  <si>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</si>
  <si>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</si>
  <si>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</si>
  <si>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</si>
  <si>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</si>
  <si>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</si>
  <si>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</si>
  <si>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</si>
  <si>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</si>
  <si>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</si>
  <si>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</si>
  <si>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</si>
  <si>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</si>
  <si>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</si>
  <si>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</si>
  <si>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</si>
  <si>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</si>
  <si>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</si>
  <si>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</si>
  <si>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</si>
  <si>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</si>
  <si>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</si>
  <si>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</si>
  <si>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</si>
  <si>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</si>
  <si>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</si>
  <si>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</si>
  <si>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</si>
  <si>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</si>
  <si>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</si>
  <si>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</si>
  <si>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</si>
  <si>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</si>
  <si>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</si>
  <si>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</si>
  <si>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</si>
  <si>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</si>
  <si>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</si>
  <si>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</si>
  <si>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</si>
  <si>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</si>
  <si>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</si>
  <si>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</si>
  <si>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</si>
  <si>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</si>
  <si>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</si>
  <si>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</si>
  <si>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</si>
  <si>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</si>
  <si>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</si>
  <si>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</si>
  <si>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</si>
  <si>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</si>
  <si>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</si>
  <si>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</si>
  <si>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</si>
  <si>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</si>
  <si>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</si>
  <si>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</si>
  <si>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</si>
  <si>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</si>
  <si>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</si>
  <si>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</si>
  <si>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</si>
  <si>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</si>
  <si>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</si>
  <si>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</si>
  <si>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</si>
  <si>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</si>
  <si>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</si>
  <si>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</si>
  <si>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</si>
  <si>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</si>
  <si>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</si>
  <si>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</si>
  <si>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</si>
  <si>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</si>
  <si>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</si>
  <si>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</si>
  <si>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</si>
  <si>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</si>
  <si>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</si>
  <si>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</si>
  <si>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</si>
  <si>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</si>
  <si>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</si>
  <si>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</si>
  <si>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</si>
  <si>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</si>
  <si>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</si>
  <si>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</si>
  <si>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</si>
  <si>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</si>
  <si>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</si>
  <si>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</si>
  <si>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</si>
  <si>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</si>
  <si>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</si>
  <si>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</si>
  <si>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</si>
  <si>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</si>
  <si>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</si>
  <si>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</si>
  <si>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</si>
  <si>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</si>
  <si>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</si>
  <si>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</si>
  <si>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</si>
  <si>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</si>
  <si>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</si>
  <si>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</si>
  <si>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</si>
  <si>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</si>
  <si>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</si>
  <si>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</si>
  <si>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</si>
  <si>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</si>
  <si>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</si>
  <si>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</si>
  <si>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</si>
  <si>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</si>
  <si>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</si>
  <si>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</si>
  <si>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</si>
  <si>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</si>
  <si>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</si>
  <si>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</si>
  <si>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</si>
  <si>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</si>
  <si>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</si>
  <si>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</si>
  <si>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</si>
  <si>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</si>
  <si>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</si>
  <si>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</si>
  <si>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</si>
  <si>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</si>
  <si>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</si>
  <si>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</si>
  <si>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</si>
  <si>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</si>
  <si>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</si>
  <si>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</si>
  <si>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</si>
  <si>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</si>
  <si>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</si>
  <si>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</si>
  <si>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</si>
  <si>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</si>
  <si>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</si>
  <si>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</si>
  <si>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</si>
  <si>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</si>
  <si>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</si>
  <si>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</si>
  <si>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</si>
  <si>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</si>
  <si>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</si>
  <si>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</si>
  <si>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</si>
  <si>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</si>
  <si>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</si>
  <si>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</si>
  <si>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</si>
  <si>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</si>
  <si>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</si>
  <si>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</si>
  <si>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</si>
  <si>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</si>
  <si>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</si>
  <si>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</si>
  <si>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</si>
  <si>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</si>
  <si>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</si>
  <si>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</si>
  <si>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</si>
  <si>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</si>
  <si>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</si>
  <si>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</si>
  <si>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</si>
  <si>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</si>
  <si>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</si>
  <si>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</si>
  <si>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</si>
  <si>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</si>
  <si>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</si>
  <si>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</si>
  <si>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</si>
  <si>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</si>
  <si>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</si>
  <si>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</si>
  <si>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</si>
  <si>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</si>
  <si>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</si>
  <si>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</si>
  <si>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</si>
  <si>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</si>
  <si>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</si>
  <si>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</si>
  <si>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</si>
  <si>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</si>
  <si>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</si>
  <si>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</si>
  <si>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</si>
  <si>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</si>
  <si>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</si>
  <si>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</si>
  <si>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</si>
  <si>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</si>
  <si>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</si>
  <si>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</si>
  <si>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</si>
  <si>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</si>
  <si>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</si>
  <si>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</si>
  <si>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</si>
  <si>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</si>
  <si>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</si>
  <si>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</si>
  <si>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</si>
  <si>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</si>
  <si>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</si>
  <si>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</si>
  <si>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</si>
  <si>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</si>
  <si>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</si>
  <si>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</si>
  <si>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</si>
  <si>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</si>
  <si>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</si>
  <si>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</si>
  <si>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</si>
  <si>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</si>
  <si>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</si>
  <si>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</si>
  <si>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</si>
  <si>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</si>
  <si>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</si>
  <si>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</si>
  <si>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</si>
  <si>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</si>
  <si>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</si>
  <si>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</si>
  <si>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</si>
  <si>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</si>
  <si>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</si>
  <si>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</si>
  <si>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</si>
  <si>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</si>
  <si>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</si>
  <si>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</si>
  <si>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</si>
  <si>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</si>
  <si>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</si>
  <si>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</si>
  <si>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</si>
  <si>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</si>
  <si>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</si>
  <si>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</si>
  <si>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</si>
  <si>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</si>
  <si>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</si>
  <si>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</si>
  <si>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</si>
  <si>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</si>
  <si>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</si>
  <si>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</si>
  <si>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</si>
  <si>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</si>
  <si>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</si>
  <si>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</si>
  <si>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</si>
  <si>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</si>
  <si>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</si>
  <si>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</si>
  <si>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</si>
  <si>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</si>
  <si>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</si>
  <si>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</si>
  <si>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</si>
  <si>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</si>
  <si>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</si>
  <si>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</si>
  <si>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</si>
  <si>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</si>
  <si>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</si>
  <si>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</si>
  <si>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</si>
  <si>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</si>
  <si>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</si>
  <si>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</si>
  <si>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</si>
  <si>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</si>
  <si>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</si>
  <si>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</si>
  <si>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</si>
  <si>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</si>
  <si>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</si>
  <si>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</si>
  <si>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</si>
  <si>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</si>
  <si>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</si>
  <si>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</si>
  <si>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</si>
  <si>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</si>
  <si>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</si>
  <si>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</si>
  <si>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</si>
  <si>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</si>
  <si>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</si>
  <si>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</si>
  <si>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</si>
  <si>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</si>
  <si>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</si>
  <si>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</si>
  <si>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</si>
  <si>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</si>
  <si>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</si>
  <si>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</si>
  <si>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</si>
  <si>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</si>
  <si>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</si>
  <si>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</si>
  <si>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</si>
  <si>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</si>
  <si>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</si>
  <si>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</si>
  <si>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</si>
  <si>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</si>
  <si>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</si>
  <si>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</si>
  <si>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</si>
  <si>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</si>
  <si>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</si>
  <si>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</si>
  <si>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</si>
  <si>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</si>
  <si>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</si>
  <si>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</si>
  <si>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</si>
  <si>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</si>
  <si>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</si>
  <si>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</si>
  <si>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</si>
  <si>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</si>
  <si>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</si>
  <si>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</si>
  <si>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</si>
  <si>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</si>
  <si>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</si>
  <si>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</si>
  <si>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</si>
  <si>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</si>
  <si>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</si>
  <si>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</si>
  <si>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</si>
  <si>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</si>
  <si>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</si>
  <si>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</si>
  <si>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</si>
  <si>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</si>
  <si>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</si>
  <si>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</si>
  <si>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</si>
  <si>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</si>
  <si>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</si>
  <si>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</si>
  <si>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</si>
  <si>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</si>
  <si>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</si>
  <si>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</si>
  <si>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</si>
  <si>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</si>
  <si>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</si>
  <si>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</si>
  <si>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</si>
  <si>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</si>
  <si>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</si>
  <si>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</si>
  <si>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</si>
  <si>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</si>
  <si>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</si>
  <si>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</si>
  <si>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</si>
  <si>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</si>
  <si>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</si>
  <si>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</si>
  <si>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</si>
  <si>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</si>
  <si>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</si>
  <si>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</si>
  <si>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</si>
  <si>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</si>
  <si>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</si>
  <si>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</si>
  <si>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</si>
  <si>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</si>
  <si>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</si>
  <si>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</si>
  <si>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</si>
  <si>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</si>
  <si>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</si>
  <si>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</si>
  <si>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</si>
  <si>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</si>
  <si>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</si>
  <si>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</si>
  <si>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</si>
  <si>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</si>
  <si>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</si>
  <si>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</si>
  <si>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</si>
  <si>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</si>
  <si>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</si>
  <si>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</si>
  <si>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</si>
  <si>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</si>
  <si>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</si>
  <si>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</si>
  <si>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</si>
  <si>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</si>
  <si>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</si>
  <si>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</si>
  <si>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</si>
  <si>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</si>
  <si>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</si>
  <si>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</si>
  <si>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</si>
  <si>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</si>
  <si>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</si>
  <si>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</si>
  <si>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</si>
  <si>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</si>
  <si>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</si>
  <si>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</si>
  <si>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</si>
  <si>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</si>
  <si>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</si>
  <si>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</si>
  <si>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</si>
  <si>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</si>
  <si>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</si>
  <si>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</si>
  <si>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</si>
  <si>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</si>
  <si>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</si>
  <si>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</si>
  <si>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</si>
  <si>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</si>
  <si>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</si>
  <si>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</si>
  <si>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</si>
  <si>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</si>
  <si>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</si>
  <si>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</si>
  <si>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</si>
  <si>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</si>
  <si>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</si>
  <si>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</si>
  <si>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</si>
  <si>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</si>
  <si>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</si>
  <si>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</si>
  <si>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</si>
  <si>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</si>
  <si>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</si>
  <si>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</si>
  <si>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</si>
  <si>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</si>
  <si>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</si>
  <si>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</si>
  <si>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</si>
  <si>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</si>
  <si>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</si>
  <si>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</si>
  <si>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</si>
  <si>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</si>
  <si>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</si>
  <si>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</si>
  <si>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</si>
  <si>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</si>
  <si>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</si>
  <si>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</si>
  <si>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</si>
  <si>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</si>
  <si>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</si>
  <si>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</si>
  <si>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</si>
  <si>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</si>
  <si>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</si>
  <si>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</si>
  <si>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</si>
  <si>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</si>
  <si>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</si>
  <si>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</si>
  <si>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</si>
  <si>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</si>
  <si>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</si>
  <si>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</si>
  <si>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</si>
  <si>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</si>
  <si>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</si>
  <si>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</si>
  <si>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</si>
  <si>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</si>
  <si>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</si>
  <si>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</si>
  <si>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</si>
  <si>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</si>
  <si>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</si>
  <si>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</si>
  <si>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</si>
  <si>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</si>
  <si>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</si>
  <si>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</si>
  <si>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</si>
  <si>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</si>
  <si>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</si>
  <si>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</si>
  <si>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</si>
  <si>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</si>
  <si>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</si>
  <si>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</si>
  <si>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</si>
  <si>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</si>
  <si>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</si>
  <si>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</si>
  <si>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</si>
  <si>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</si>
  <si>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</si>
  <si>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</si>
  <si>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</si>
  <si>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</si>
  <si>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</si>
  <si>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</si>
  <si>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</si>
  <si>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</si>
  <si>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</si>
  <si>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</si>
  <si>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</si>
  <si>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</si>
  <si>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</si>
  <si>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</si>
  <si>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</si>
  <si>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</si>
  <si>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</si>
  <si>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</si>
  <si>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</si>
  <si>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</si>
  <si>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</si>
  <si>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</si>
  <si>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</si>
  <si>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</si>
  <si>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</si>
  <si>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</si>
  <si>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</si>
  <si>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</si>
  <si>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</si>
  <si>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</si>
  <si>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</si>
  <si>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</si>
  <si>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</si>
  <si>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</si>
  <si>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</si>
  <si>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</si>
  <si>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</si>
  <si>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</si>
  <si>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</si>
  <si>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</si>
  <si>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</si>
  <si>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</si>
  <si>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</si>
  <si>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</si>
  <si>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</si>
  <si>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</si>
  <si>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</si>
  <si>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</si>
  <si>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</si>
  <si>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</si>
  <si>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</si>
  <si>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</si>
  <si>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</si>
  <si>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</si>
  <si>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</si>
  <si>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</si>
  <si>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</si>
  <si>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</si>
  <si>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</si>
  <si>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</si>
  <si>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</si>
  <si>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</si>
  <si>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</si>
  <si>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</si>
  <si>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</si>
  <si>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</si>
  <si>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</si>
  <si>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</si>
  <si>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</si>
  <si>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</si>
  <si>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</si>
  <si>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</si>
  <si>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</si>
  <si>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</si>
  <si>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</si>
  <si>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</si>
  <si>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</si>
  <si>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</si>
  <si>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</si>
  <si>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</si>
  <si>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</si>
  <si>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</si>
  <si>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</si>
  <si>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</si>
  <si>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</si>
  <si>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</si>
  <si>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</si>
  <si>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</si>
  <si>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</si>
  <si>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</si>
  <si>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</si>
  <si>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</si>
  <si>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</si>
  <si>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</si>
  <si>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</si>
  <si>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</si>
  <si>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</si>
  <si>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</si>
  <si>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</si>
  <si>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</si>
  <si>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</si>
  <si>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</si>
  <si>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</si>
  <si>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</si>
  <si>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</si>
  <si>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</si>
  <si>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</si>
  <si>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</si>
  <si>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</si>
  <si>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</si>
  <si>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</si>
  <si>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</si>
  <si>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</si>
  <si>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</si>
  <si>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</si>
  <si>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</si>
  <si>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</si>
  <si>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</si>
  <si>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</si>
  <si>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</si>
  <si>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</si>
  <si>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</si>
  <si>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</si>
  <si>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</si>
  <si>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</si>
  <si>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</si>
  <si>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</si>
  <si>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</si>
  <si>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</si>
  <si>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</si>
  <si>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</si>
  <si>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</si>
  <si>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</si>
  <si>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</si>
  <si>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</si>
  <si>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</si>
  <si>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</si>
  <si>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</si>
  <si>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</si>
  <si>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</si>
  <si>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</si>
  <si>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</si>
  <si>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</si>
  <si>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</si>
  <si>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</si>
  <si>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</si>
  <si>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</si>
  <si>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</si>
  <si>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</si>
  <si>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</si>
  <si>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</si>
  <si>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</si>
  <si>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</si>
  <si>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</si>
  <si>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</si>
  <si>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</si>
  <si>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</si>
  <si>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</si>
  <si>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</si>
  <si>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</si>
  <si>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</si>
  <si>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</si>
  <si>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</si>
  <si>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</si>
  <si>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</si>
  <si>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</si>
  <si>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</si>
  <si>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</si>
  <si>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</si>
  <si>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</si>
  <si>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</si>
  <si>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</si>
  <si>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</si>
  <si>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</si>
  <si>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</si>
  <si>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</si>
  <si>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</si>
  <si>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</si>
  <si>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</si>
  <si>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</si>
  <si>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</si>
  <si>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</si>
  <si>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</si>
  <si>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</si>
  <si>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</si>
  <si>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</si>
  <si>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</si>
  <si>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</si>
  <si>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</si>
  <si>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</si>
  <si>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</si>
  <si>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</si>
  <si>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</si>
  <si>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</si>
  <si>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</si>
  <si>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</si>
  <si>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以估价对象土地价格为基数记取</t>
    <phoneticPr fontId="16" type="noConversion"/>
  </si>
  <si>
    <t>2019-3</t>
    <phoneticPr fontId="4" type="noConversion"/>
  </si>
  <si>
    <t>赵璠</t>
  </si>
  <si>
    <t>2019A-027</t>
    <phoneticPr fontId="4" type="noConversion"/>
  </si>
  <si>
    <t>刘俊财</t>
    <phoneticPr fontId="4" type="noConversion"/>
  </si>
  <si>
    <t>2019-4</t>
    <phoneticPr fontId="4" type="noConversion"/>
  </si>
  <si>
    <t>2020-1</t>
    <phoneticPr fontId="4" type="noConversion"/>
  </si>
  <si>
    <t>2020-2</t>
    <phoneticPr fontId="4" type="noConversion"/>
  </si>
  <si>
    <t>陈颖</t>
  </si>
  <si>
    <t>叶凌</t>
  </si>
  <si>
    <t>成本逼近法</t>
  </si>
  <si>
    <t>工业用地</t>
  </si>
  <si>
    <t>自定义容积率</t>
  </si>
  <si>
    <t>Ⅷ-昌1</t>
  </si>
  <si>
    <t>容积率修正</t>
  </si>
  <si>
    <t>与级别开发程度一致</t>
  </si>
  <si>
    <t>年度</t>
  </si>
  <si>
    <t>月份</t>
  </si>
  <si>
    <t>区县</t>
  </si>
  <si>
    <t>项目名称</t>
  </si>
  <si>
    <t>四至</t>
  </si>
  <si>
    <t>开发主体</t>
  </si>
  <si>
    <t>项目类型</t>
  </si>
  <si>
    <t>规划用途</t>
  </si>
  <si>
    <t>市政条件</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</si>
  <si>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</si>
  <si>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</si>
  <si>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</si>
  <si>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</si>
  <si>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</si>
  <si>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</si>
  <si>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</si>
  <si>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</si>
  <si>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一级开发</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</si>
  <si>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</si>
  <si>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</si>
  <si>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</si>
  <si>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</si>
  <si>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</si>
  <si>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</si>
  <si>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</si>
  <si>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</si>
  <si>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</si>
  <si>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昌平、大兴、房山、顺义、怀柔近三年土地一级开发项目</t>
    <phoneticPr fontId="4" type="noConversion"/>
  </si>
  <si>
    <t>年度</t>
    <phoneticPr fontId="4" type="noConversion"/>
  </si>
  <si>
    <t>会期</t>
    <phoneticPr fontId="279"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</si>
  <si>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</si>
  <si>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</si>
  <si>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</si>
  <si>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</si>
  <si>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</si>
  <si>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</si>
  <si>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</si>
  <si>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合计总价</t>
    <phoneticPr fontId="4" type="noConversion"/>
  </si>
  <si>
    <t>单价成本</t>
    <phoneticPr fontId="4" type="noConversion"/>
  </si>
  <si>
    <t>第一期</t>
  </si>
  <si>
    <t>3月</t>
    <phoneticPr fontId="4" type="noConversion"/>
  </si>
  <si>
    <t>顺义</t>
    <phoneticPr fontId="4" type="noConversion"/>
  </si>
  <si>
    <t>公开出让</t>
  </si>
  <si>
    <t>顺义区高丽营镇于庄土地一级开发项目03-21、03-31地块</t>
    <phoneticPr fontId="4" type="noConversion"/>
  </si>
  <si>
    <t>北京东方华美房地产开发有限公司</t>
    <phoneticPr fontId="4" type="noConversion"/>
  </si>
  <si>
    <t>一级开发</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</si>
  <si>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</si>
  <si>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</si>
  <si>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</si>
  <si>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</si>
  <si>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</si>
  <si>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</si>
  <si>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第四期</t>
  </si>
  <si>
    <t>6月</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</si>
  <si>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</si>
  <si>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</si>
  <si>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</si>
  <si>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</si>
  <si>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</si>
  <si>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</si>
  <si>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</si>
  <si>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</si>
  <si>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</si>
  <si>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</si>
  <si>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</si>
  <si>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</si>
  <si>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</si>
  <si>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</si>
  <si>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</si>
  <si>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第10期</t>
  </si>
  <si>
    <t>9月</t>
    <phoneticPr fontId="4" type="noConversion"/>
  </si>
  <si>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</si>
  <si>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</si>
  <si>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</si>
  <si>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</si>
  <si>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</si>
  <si>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</si>
  <si>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</si>
  <si>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</si>
  <si>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</si>
  <si>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第5期</t>
    <phoneticPr fontId="279" type="noConversion"/>
  </si>
  <si>
    <t>8月</t>
    <phoneticPr fontId="4" type="noConversion"/>
  </si>
  <si>
    <t>大兴区瀛海镇西区C1-C5土地一级开发项目YZ00-0803-6024、6025、6027、6028等地块</t>
    <phoneticPr fontId="229"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</si>
  <si>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</si>
  <si>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</si>
  <si>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</si>
  <si>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</si>
  <si>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</si>
  <si>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</si>
  <si>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phoneticPr fontId="229" type="noConversion"/>
  </si>
  <si>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</si>
  <si>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</si>
  <si>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</si>
  <si>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</si>
  <si>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</si>
  <si>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</si>
  <si>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8" type="noConversion"/>
  </si>
  <si>
    <t>第8期</t>
    <phoneticPr fontId="279"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</si>
  <si>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</si>
  <si>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</si>
  <si>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</si>
  <si>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</si>
  <si>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9"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</si>
  <si>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</si>
  <si>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</si>
  <si>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</si>
  <si>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</si>
  <si>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9" type="noConversion"/>
  </si>
  <si>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</si>
  <si>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</si>
  <si>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</si>
  <si>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12月</t>
    <phoneticPr fontId="4" type="noConversion"/>
  </si>
  <si>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</si>
  <si>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</si>
  <si>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</si>
  <si>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会期</t>
  </si>
  <si>
    <t>供地方式</t>
  </si>
  <si>
    <t>总用地面积（公顷）</t>
  </si>
  <si>
    <t>总单价（征地补偿及相关税费单价+拆迁补偿及相关税费单价）（元/平方米）</t>
  </si>
  <si>
    <t>征地补偿及相关税费单价（元/平方米）</t>
  </si>
  <si>
    <t>拆迁补偿及相关税费单价（元/平方米）</t>
  </si>
  <si>
    <t>第12期</t>
  </si>
  <si>
    <t>12月</t>
  </si>
  <si>
    <t>昌平</t>
  </si>
  <si>
    <t>昌平区六环路土城出口土城新村改造
土地一级开发项目核A-04、A-05、A-07地块</t>
    <phoneticPr fontId="229"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</si>
  <si>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</si>
  <si>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</si>
  <si>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</si>
  <si>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估价对象</t>
  </si>
  <si>
    <t>项目</t>
    <phoneticPr fontId="279" type="noConversion"/>
  </si>
  <si>
    <r>
      <rPr>
        <sz val="10"/>
        <rFont val="仿宋_GB2312"/>
        <family val="3"/>
        <charset val="134"/>
      </rPr>
      <t>估价对象</t>
    </r>
  </si>
  <si>
    <r>
      <rPr>
        <sz val="10"/>
        <rFont val="仿宋_GB2312"/>
        <family val="3"/>
        <charset val="134"/>
      </rPr>
      <t>可比案例</t>
    </r>
    <r>
      <rPr>
        <sz val="10"/>
        <rFont val="Arial"/>
        <family val="2"/>
      </rPr>
      <t>1</t>
    </r>
    <phoneticPr fontId="279" type="noConversion"/>
  </si>
  <si>
    <r>
      <rPr>
        <sz val="10"/>
        <rFont val="仿宋_GB2312"/>
        <family val="3"/>
        <charset val="134"/>
      </rPr>
      <t>可比案例</t>
    </r>
    <r>
      <rPr>
        <sz val="10"/>
        <rFont val="Arial"/>
        <family val="2"/>
      </rPr>
      <t>2</t>
    </r>
    <phoneticPr fontId="279" type="noConversion"/>
  </si>
  <si>
    <r>
      <rPr>
        <sz val="10"/>
        <rFont val="仿宋_GB2312"/>
        <family val="3"/>
        <charset val="134"/>
      </rPr>
      <t>可比案例</t>
    </r>
    <r>
      <rPr>
        <sz val="10"/>
        <rFont val="Arial"/>
        <family val="2"/>
      </rPr>
      <t>3</t>
    </r>
    <phoneticPr fontId="279" type="noConversion"/>
  </si>
  <si>
    <r>
      <rPr>
        <sz val="10"/>
        <rFont val="仿宋_GB2312"/>
        <family val="3"/>
        <charset val="134"/>
      </rPr>
      <t>可比案例</t>
    </r>
    <r>
      <rPr>
        <sz val="10"/>
        <rFont val="Arial"/>
        <family val="2"/>
      </rPr>
      <t>4</t>
    </r>
    <phoneticPr fontId="279" type="noConversion"/>
  </si>
  <si>
    <r>
      <rPr>
        <sz val="10"/>
        <rFont val="仿宋_GB2312"/>
        <family val="3"/>
        <charset val="134"/>
      </rPr>
      <t>可比案例</t>
    </r>
    <r>
      <rPr>
        <sz val="10"/>
        <rFont val="Arial"/>
        <family val="2"/>
      </rPr>
      <t>5</t>
    </r>
    <phoneticPr fontId="279" type="noConversion"/>
  </si>
  <si>
    <t>项目名称</t>
    <phoneticPr fontId="279" type="noConversion"/>
  </si>
  <si>
    <t>审定时间季度</t>
    <phoneticPr fontId="4" type="noConversion"/>
  </si>
  <si>
    <t>期日修正系数</t>
    <phoneticPr fontId="4" type="noConversion"/>
  </si>
  <si>
    <t>平均租金（元/平方米·月）</t>
    <phoneticPr fontId="279" type="noConversion"/>
  </si>
  <si>
    <r>
      <rPr>
        <sz val="10"/>
        <rFont val="仿宋_GB2312"/>
        <family val="3"/>
        <charset val="134"/>
      </rPr>
      <t>待估</t>
    </r>
    <phoneticPr fontId="279" type="noConversion"/>
  </si>
  <si>
    <t>2018-4</t>
    <phoneticPr fontId="4" type="noConversion"/>
  </si>
  <si>
    <t>交易时间</t>
  </si>
  <si>
    <t>2018-12</t>
    <phoneticPr fontId="229" type="noConversion"/>
  </si>
  <si>
    <t>2018.12</t>
    <phoneticPr fontId="229" type="noConversion"/>
  </si>
  <si>
    <t>2017.1</t>
    <phoneticPr fontId="229" type="noConversion"/>
  </si>
  <si>
    <t>17.1</t>
    <phoneticPr fontId="229" type="noConversion"/>
  </si>
  <si>
    <t>交易情况</t>
    <phoneticPr fontId="229" type="noConversion"/>
  </si>
  <si>
    <r>
      <rPr>
        <sz val="10"/>
        <rFont val="仿宋_GB2312"/>
        <family val="3"/>
        <charset val="134"/>
      </rPr>
      <t>正常</t>
    </r>
  </si>
  <si>
    <t>2017.2</t>
    <phoneticPr fontId="229" type="noConversion"/>
  </si>
  <si>
    <t>17.2</t>
    <phoneticPr fontId="229" type="noConversion"/>
  </si>
  <si>
    <t>区域状况</t>
    <phoneticPr fontId="279" type="noConversion"/>
  </si>
  <si>
    <t>一般</t>
    <phoneticPr fontId="279" type="noConversion"/>
  </si>
  <si>
    <t>2017.3</t>
    <phoneticPr fontId="229" type="noConversion"/>
  </si>
  <si>
    <t>17.3</t>
    <phoneticPr fontId="229" type="noConversion"/>
  </si>
  <si>
    <t>产聚集度</t>
    <phoneticPr fontId="279" type="noConversion"/>
  </si>
  <si>
    <t>较好</t>
    <phoneticPr fontId="279" type="noConversion"/>
  </si>
  <si>
    <t>2018.4</t>
    <phoneticPr fontId="229" type="noConversion"/>
  </si>
  <si>
    <t>18.4</t>
    <phoneticPr fontId="229" type="noConversion"/>
  </si>
  <si>
    <t>区域位置</t>
    <phoneticPr fontId="279" type="noConversion"/>
  </si>
  <si>
    <t>六环外，距市区较远</t>
    <phoneticPr fontId="279" type="noConversion"/>
  </si>
  <si>
    <t>六环内</t>
    <phoneticPr fontId="229" type="noConversion"/>
  </si>
  <si>
    <t>六环外，距市区较远</t>
  </si>
  <si>
    <t>区域配套设施</t>
    <phoneticPr fontId="279" type="noConversion"/>
  </si>
  <si>
    <t>公用服务设施较好，较能满足需要</t>
    <phoneticPr fontId="279" type="noConversion"/>
  </si>
  <si>
    <t>公用服务设施一般，基本能满足需要</t>
    <phoneticPr fontId="279" type="noConversion"/>
  </si>
  <si>
    <t>公用服务设施完善度一般，基本能满足需要</t>
    <phoneticPr fontId="279" type="noConversion"/>
  </si>
  <si>
    <t>18.1</t>
    <phoneticPr fontId="229" type="noConversion"/>
  </si>
  <si>
    <t>六环内</t>
    <phoneticPr fontId="279" type="noConversion"/>
  </si>
  <si>
    <t>六环外，距市区较近</t>
    <phoneticPr fontId="279" type="noConversion"/>
  </si>
  <si>
    <t>实物状况</t>
    <phoneticPr fontId="229" type="noConversion"/>
  </si>
  <si>
    <t>临路状况</t>
    <phoneticPr fontId="279" type="noConversion"/>
  </si>
  <si>
    <t>城市支路</t>
    <phoneticPr fontId="279" type="noConversion"/>
  </si>
  <si>
    <t>高速公路</t>
    <phoneticPr fontId="279" type="noConversion"/>
  </si>
  <si>
    <t>城市主干道</t>
    <phoneticPr fontId="279" type="noConversion"/>
  </si>
  <si>
    <t>宗地外开发程度</t>
    <phoneticPr fontId="279" type="noConversion"/>
  </si>
  <si>
    <t>五通</t>
    <phoneticPr fontId="279" type="noConversion"/>
  </si>
  <si>
    <t>六通</t>
    <phoneticPr fontId="279" type="noConversion"/>
  </si>
  <si>
    <t>六通一平</t>
    <phoneticPr fontId="279" type="noConversion"/>
  </si>
  <si>
    <t>宗地形状</t>
    <phoneticPr fontId="279" type="noConversion"/>
  </si>
  <si>
    <t>规则</t>
    <phoneticPr fontId="279" type="noConversion"/>
  </si>
  <si>
    <t>宗地面积（公顷）</t>
    <phoneticPr fontId="279" type="noConversion"/>
  </si>
  <si>
    <t>50-100</t>
    <phoneticPr fontId="229" type="noConversion"/>
  </si>
  <si>
    <t>100-200</t>
    <phoneticPr fontId="229" type="noConversion"/>
  </si>
  <si>
    <t>宜居状况</t>
    <phoneticPr fontId="279" type="noConversion"/>
  </si>
  <si>
    <t>物业服务保障</t>
    <phoneticPr fontId="279" type="noConversion"/>
  </si>
  <si>
    <t>有专业物业公司，物业服务保障好</t>
    <phoneticPr fontId="279" type="noConversion"/>
  </si>
  <si>
    <t>管员人员配置</t>
    <phoneticPr fontId="279" type="noConversion"/>
  </si>
  <si>
    <r>
      <rPr>
        <sz val="10"/>
        <rFont val="仿宋_GB2312"/>
        <family val="3"/>
        <charset val="134"/>
      </rPr>
      <t>配备管理人员</t>
    </r>
    <phoneticPr fontId="279" type="noConversion"/>
  </si>
  <si>
    <t>出租稳定性</t>
    <phoneticPr fontId="279" type="noConversion"/>
  </si>
  <si>
    <t>出租稳定性好</t>
    <phoneticPr fontId="279" type="noConversion"/>
  </si>
  <si>
    <t>住户的构成</t>
    <phoneticPr fontId="279" type="noConversion"/>
  </si>
  <si>
    <t>出租房屋住户均有备案，居住安全性好</t>
    <phoneticPr fontId="279" type="noConversion"/>
  </si>
  <si>
    <t>出租房屋住户备案较少，居住安全性一般</t>
    <phoneticPr fontId="279" type="noConversion"/>
  </si>
  <si>
    <t>安全监控系统</t>
    <phoneticPr fontId="279" type="noConversion"/>
  </si>
  <si>
    <t>设有小区监控，门禁及呼叫系统</t>
    <phoneticPr fontId="279" type="noConversion"/>
  </si>
  <si>
    <t>设有小区监控，门禁及呼叫系统</t>
  </si>
  <si>
    <t>绿化环境</t>
    <phoneticPr fontId="279" type="noConversion"/>
  </si>
  <si>
    <t>绿化率约为30%，好</t>
    <phoneticPr fontId="279" type="noConversion"/>
  </si>
  <si>
    <t>配套设施</t>
    <phoneticPr fontId="279" type="noConversion"/>
  </si>
  <si>
    <t>配备活动站、医疗站</t>
    <phoneticPr fontId="279" type="noConversion"/>
  </si>
  <si>
    <t>配备活动站，无医疗站</t>
    <phoneticPr fontId="279" type="noConversion"/>
  </si>
  <si>
    <t>成交单价（元/平米）</t>
  </si>
  <si>
    <t>_____</t>
  </si>
  <si>
    <t>比较价值（元/平米）</t>
  </si>
  <si>
    <t>2018-12</t>
    <phoneticPr fontId="229" type="noConversion"/>
  </si>
  <si>
    <t>六通</t>
    <phoneticPr fontId="279" type="noConversion"/>
  </si>
  <si>
    <t>地上</t>
  </si>
  <si>
    <t>工业</t>
    <phoneticPr fontId="8" type="noConversion"/>
  </si>
  <si>
    <t>土地开发补偿费</t>
  </si>
  <si>
    <t>土地储备开发项目成本预审会项目表</t>
  </si>
  <si>
    <t>土地开发成本构成情况</t>
  </si>
  <si>
    <t>备注</t>
  </si>
  <si>
    <t>实物补偿（对外发送时删除）</t>
  </si>
  <si>
    <t>4月</t>
  </si>
  <si>
    <t>海淀</t>
  </si>
  <si>
    <t>四道口住宅小区土地一级开发项目北地块</t>
  </si>
  <si>
    <t>北京如日嘉和房地产开发有限公司</t>
  </si>
  <si>
    <t>F1住宅混合公建</t>
  </si>
  <si>
    <t>市政建设程度为临时三通（通施工临时用水、通施工临时用电、通可供施工车辆通行的道路）和场地自然平整，已由北京如日嘉和房地产开发有限公司完成。</t>
  </si>
  <si>
    <t>一、经海淀区政府审核，海淀区四道口住宅小区土地一级开发项目土地开发总成本为94380.64万元，其中，前期费用426.27万元，征地补偿及相关税费43177.8万元，拆迁补偿及相关费用27615.58万元，市政基础设施建设费10.25万元，其他费用740.4万元，财务费用11959.38万元，利润或管理费5496.81万元，两税两费4832.15万元，审计费、委托入市交易费、地价评估费122万元。
二、本次审核项目北地块的土地开发总成本为94380.64万元。
实物补偿：
本次提请审核地块的二级竞得人需向北京市海淀区大钟寺农工商公司提供5000平方米地上商业用房，回购价格为3000元/平方米; 需无偿向北京金海翔建筑有限责任公司提供945平方米地上商业用房; 需无偿向被拆迁人提供回迁安置房（商品住宅）16套，合计建筑面积1370平方米。实物还建由海淀区政府或由其指定一家单位统一组织回购、分配等事宜，并妥善组织好集体经济组织和被拆迁人的安置工作，保障集体经济组织和被拆迁人利益、确保地区稳定。</t>
  </si>
  <si>
    <t>本次审核地块已取得征地批复、征地结案，拆迁工作全部完成。</t>
  </si>
  <si>
    <t>已货币化</t>
  </si>
  <si>
    <t>海淀区学院路北端土地一级开发项目A/B/C/J地块</t>
  </si>
  <si>
    <t>北京市土地储备中心海淀分中心、北京中关村国际种业科技有限公司</t>
  </si>
  <si>
    <t>B4综合性商业金融服务用地_x000D_、B23研发设计用地</t>
  </si>
  <si>
    <t>市政建设程度为项目红线范围内城市支路的临时三通（通施工临时用水、通施工临时用电、通可供施工车辆通行的道路)和场地自然平整，以上工作由北京中关村国际种业科技有限公司负责于项目入市前完成。</t>
  </si>
  <si>
    <t xml:space="preserve"> 
一、提请审核：学院路北端土地一级开发项目土地开发成本为534988.76万元。其中，前期费用5379.61万元，征地补偿及相关税费188061.33万元，拆迁补偿费及相关费用202230.07万元，市政基础设施建设费610.02万元，其他费用1187.41万元，财务费用101137.86万元，利润31797.47万元，两税两费3670.12万元，审计费914.88万元。
二、扣除已收回成本0万元，剩余地块土地开发成本534988.76万元。
三、本次审核学院路北端土地一级开发项目地块土地开发成本为534988.76万元，全部由A、B、C、J地块分摊。
</t>
  </si>
  <si>
    <t>本次审核地块已取得征地批复、征地结案，拆迁工作已完成。</t>
  </si>
  <si>
    <t xml:space="preserve"> 依据《海淀区学院路北端土地一级开发项目征地补偿安置协议书》、相关补充协议以及经原市规划委关于城市设计方案的审查意见，本项目G、H、I地块实物补偿给海淀区东升镇（具体建设规划指标及土地面积最终以规划、国土部门批准为准），同时补偿海淀区东升镇实物建设资金110352万元。
G、H、I地块土地面积约3.529公顷，其中建设用地面积约3.529公顷，规划用途为研发设计用地，容积率3.5，规划建筑规模约12.35万平方米。</t>
  </si>
  <si>
    <t>11月</t>
  </si>
  <si>
    <t>海淀区四季青镇中坞重点村资金平衡用地土地一级开发项目</t>
  </si>
  <si>
    <t>北京市土地整理储备中心海淀区分中心</t>
  </si>
  <si>
    <t>居住</t>
  </si>
  <si>
    <t>市政建设程度为项目红线范围内城市支路的五通[通路，通上水（自来水）、通下水（雨水、污水）、通电（仅管井）、通燃气]和场地自然平整，以上工作由颐泉房地产公司负责于二级竣工前完成。</t>
  </si>
  <si>
    <t>一、经海淀区政府审核，中坞资金平衡用地土地开发成本为114571.40万元，其中，前期费用847.05万元，征地补偿及相关税费82242.82万元，拆迁补偿费及相关税费15516.58万元，市政基础设施建设费5621.79万元，其他费用977.68万元，财务费用5721.46万元，管理费2882.32万元，审计费308.88万元。
    此外，需纳入本项目成本的内容还包括：
    （一）根据市政府在市发展改革委《关于启动四季青镇中坞重点村资金平衡用地一级开发工作有关事宜的意见》（京发改文〔2016〕51号）上的批示精神，中坞重点村整治资金缺口通过资金平衡地块入市交易筹措解决。此外，按照市政府在《关于海淀区中坞重点村资金平衡用地土地一级开发项目有关问题的请示》（京规自文〔2019〕216号）上的批示精神，海淀区政府应审计确认中坞重点村整治成本，并按程序纳入资金平衡用地土地一级开发项目成本。经海淀区政府审核确定，中坞重点村整治成本为746200.35万元。
    （二） 按照市政府会议纪要精神，海淀区政府拟将“88”工程西山用地成本19300万元与本项目统筹平衡事宜，上报市政府同意后纳入本项目成本。
     综上，海淀区中坞资金平衡用地总成本为880071.75万元。
二、扣除已收回成本0万元，剩余地块土地开发成本880071.75万元。
三、按照建筑规模分摊土地开发成本的分摊原则，本次审核的项目北地块分摊成本408495.38万元，南地块分摊成本471576.37万元。</t>
  </si>
  <si>
    <t>本次审核地块已完成征地前公示，已上报市规划自然委；已完成资金平衡用地拆迁工作。</t>
  </si>
  <si>
    <t>无</t>
  </si>
  <si>
    <t>5月</t>
  </si>
  <si>
    <t>昌平区北七家镇东三旗村土地一级开发项目003、004、006、007、009、010、011、012、013及CP07-0204-0001地块</t>
  </si>
  <si>
    <t>北京未来科技城发展集团有限公司</t>
  </si>
  <si>
    <t>C2商业金融用地、R5居住区配套教育用地、C9其他公共设施用地、R2二类居住用地、C5医疗卫生用地、A61机构养老服务设施用地</t>
  </si>
  <si>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</si>
  <si>
    <t>一、经昌平区政府审核，昌平区北七家镇东三旗村土地一级开发项目土地开发总成本为53732.86万元，其中，前期费用551.61万元，征地补偿及相关税费16588.11万元，拆迁补偿费及相关税费13953.2万元，市政基础设施建设费10947.93万元，其他费用1715.11万元，财务费用2458万元，利润4375.6万元，两税两费3009.04万元，审计费、委托入市交易费134.26万元。
二、扣除已收回成本0万元，剩余地块土地开发成本53732.86万元。
三、本次提请会议审议的土地开发成本为53732.86万元，若按现行规则分摊成本，003地块开发成本为9301.68万元、004地块开发成本为49.04万元、006地块开发成本为73.56万元、007地块开发成本为324.62万元、009地块开发成本为14242.6万元、010地块开发成本为12823.32万元、011地块开发成本为9919.62万元、012地块开发成本为43.79万元、013地块开发成本为50.21万元、 CP07-0204-0001地块开发成本为6904.42万元。 
    该项目采用“先供先摊”方式分摊成本，011地块作为战略储备地，纳入政府储备库，该地块的成本由003、009、010及CP07-0204-0001地块分摊，其中， 003地块开发成本为11433.98万元、004地块开发成本为49.04万元、006地块开发成本为73.56万元、007地块开发成本为324.62万元、009地块开发成本为17507.55万元、010地块开发成本为15762.93万元、011地块开发成本为0万元、012地块开发成本为43.79万元、013地块开发成本为50.21万元、 CP07-0204-0001地块开发成本为8487.18万元。
    实物补偿：依据昌平区东三旗村土地一级开发项目征地协议及征地结案表，本次提请审核的003地块二级竞得人需向东三旗村股份经济合作社提供地上建筑规模30000平方米的商业用房，回购价格为4000元/平方米，昌平区政府将统一组织、协调东三旗村股份经济合作社回购上述商业用房。</t>
  </si>
  <si>
    <t>本次审核地块已取得征地批复和征地结案；拆迁工作已完成。</t>
  </si>
  <si>
    <t>6月</t>
  </si>
  <si>
    <t>昌平区未来科技城南区土地一级开发项目CP07-0600-0052等地块</t>
  </si>
  <si>
    <t>北京未来科技学发展集团有限公司</t>
  </si>
  <si>
    <t xml:space="preserve">C6教育科研用地、C2商业金融用地、F1住宅混合公建用地、F2公建混合住宅用地、F3多功能用地、R2二类居住用地等
</t>
  </si>
  <si>
    <t xml:space="preserve">    市政建设程度为项目红线范围内城市支路的三通（通路、通上水（自来水、中水）、通下水（雨水、污水））和场地自然平整。以上工作已由北京未来科技城发展集团有限公司实施完成。</t>
  </si>
  <si>
    <r>
      <t xml:space="preserve">
</t>
    </r>
    <r>
      <rPr>
        <sz val="11"/>
        <rFont val="宋体"/>
        <family val="3"/>
        <charset val="134"/>
      </rPr>
      <t>一、经昌平区政府审核，未来科技城南区项目土地开发成本为1310703.42万元，其中，前期费用5888.68万元，征地补偿及相关税费281939.06万元，拆迁补偿费及相关税费704305.38万元，市政基础设施建设费36187.63万元，其他费用4408.56万元，财务费用170219.1万元，利润67777.87万元，两税两费38288.79万元，审计费、委托入市交易费、地价评估费1688.35万元。</t>
    </r>
    <r>
      <rPr>
        <sz val="11"/>
        <color rgb="FFFF0000"/>
        <rFont val="宋体"/>
        <family val="3"/>
        <charset val="134"/>
      </rPr>
      <t xml:space="preserve">
</t>
    </r>
    <r>
      <rPr>
        <sz val="11"/>
        <rFont val="宋体"/>
        <family val="3"/>
        <charset val="134"/>
      </rPr>
      <t>二、扣除已收回成本1070646.5万元，剩余地块土地开发成本240056.92万元。
三、本次提请会议审议的土地开发总成本为230420.45万元，其中CP07-0600-0052地块土地开发成本为13966.94万元，CP07-0600-0063地块土地开发成本为12127.39万元，CP07-0600-0066地块土地开发成本为9538.40万元，CP07-0600-0067地块土地开发成本为11003.22万元，CP07-0600-0068地块土地开发成本为13115.29万元，CP07-0600-0003地块土地开发成本为15499.89万元，C-18地块土地开发成本为40061.26万元， CP07-0600-0004地块土地开发成本为4496.67万元，C-81地块土地开发成本为50042.61万元，C-84地块土地开发成本为60568.78万元。</t>
    </r>
  </si>
  <si>
    <t>本次审核地块已取得征地批复、征地结案，拆迁工作基本完成。</t>
  </si>
  <si>
    <t>实物补偿：在未来科技城南区前期征地阶段，鲁疃村、北七家村提出为维护村民切身利益，解决征地转非后两村劳动力人员的生计问题，要求为两村劳动力人员配建劳动力安置用房，项目建成后由两村集体进行统一回购。根据两村诉求，在未来科技城核心区控制性详细规划编制中，将两村劳动力安置用房集中安排在未来科技城南区CP07-0600-0023、0024、0025、0041、0042、0043等六个地块范围内。两村劳动力安置用房规划建筑规模合计15.5万平方米，其中鲁疃村11.4万平方米、北七家村4.1万平方米，本次计划与未来科技城南区C-16地块捆绑入市，待土地竞得方建设完成后由昌平区组织鲁疃村、北七家村股份经济合作社进行统一回购，回购价格为7300元/平方米。</t>
  </si>
  <si>
    <t>昌平区六环路土城出口土城新村改造
土地一级开发项目核A-04、A-05、A-07地块</t>
  </si>
  <si>
    <t xml:space="preserve"> 
一、经昌平区政府审核， 昌平区六环路土城出口土城新村改造土地一级开发 项目土地开发成本为612098.32万元，其中，前期费用1093.79万元，征地补偿及相关税费84598.35 万元，拆迁补偿费及相关税费378467.53万元，市政基础设施建设费11701.81万元，其他费用19716.16万元，财务费用69399.60万元，利润43310.51万元，审计费433.20万元，两税两费3377.37万元。
二、扣除已收回成本0万元，剩余地块土地开发成本612098.32万元。
三、本次审核A-04、A-05、A-07地块的土地开发总成本为347798.38万元。其中A-04地块成本为118160.25万元，A-05地块成本为92609.95万元，A-07地块成本为137028.18万元</t>
  </si>
  <si>
    <t>本次审核地块尚未取得征地批复、征地结案，拆迁工作已完成。</t>
  </si>
  <si>
    <t>序号</t>
    <phoneticPr fontId="229" type="noConversion"/>
  </si>
  <si>
    <t>区县</t>
    <phoneticPr fontId="229" type="noConversion"/>
  </si>
  <si>
    <t>项目名称</t>
    <phoneticPr fontId="229" type="noConversion"/>
  </si>
  <si>
    <t>土地用途</t>
    <phoneticPr fontId="229" type="noConversion"/>
  </si>
  <si>
    <t>过会时间</t>
    <phoneticPr fontId="229" type="noConversion"/>
  </si>
  <si>
    <t>面积（公顷）</t>
    <phoneticPr fontId="229" type="noConversion"/>
  </si>
  <si>
    <t>过会价格（万元）</t>
    <phoneticPr fontId="229" type="noConversion"/>
  </si>
  <si>
    <t>单价（元/平方米）</t>
    <phoneticPr fontId="229" type="noConversion"/>
  </si>
  <si>
    <t>门头沟区</t>
    <phoneticPr fontId="229" type="noConversion"/>
  </si>
  <si>
    <t>门头沟区龙凤山食品公司项目</t>
    <phoneticPr fontId="229" type="noConversion"/>
  </si>
  <si>
    <t>大兴区</t>
    <phoneticPr fontId="229" type="noConversion"/>
  </si>
  <si>
    <t>大兴区兴都世纪重车收储项目</t>
    <phoneticPr fontId="229" type="noConversion"/>
  </si>
  <si>
    <t>怀柔区</t>
    <phoneticPr fontId="229" type="noConversion"/>
  </si>
  <si>
    <t>怀柔区北京益客兴盛商贸有限责任公司地块收购项目</t>
    <phoneticPr fontId="229" type="noConversion"/>
  </si>
  <si>
    <t>企业利用自有用地（首农集团大兴黄村镇）</t>
    <phoneticPr fontId="229" type="noConversion"/>
  </si>
  <si>
    <t>商业</t>
    <phoneticPr fontId="229" type="noConversion"/>
  </si>
  <si>
    <t>企业利用自有用地（京粮集团怀柔庙城镇）</t>
    <phoneticPr fontId="229" type="noConversion"/>
  </si>
  <si>
    <t>工业、仓储</t>
    <phoneticPr fontId="229" type="noConversion"/>
  </si>
  <si>
    <t>工业、仓储、采矿、居住</t>
    <phoneticPr fontId="229" type="noConversion"/>
  </si>
  <si>
    <t>昌平区</t>
    <phoneticPr fontId="229" type="noConversion"/>
  </si>
  <si>
    <t>昌平区六亭饭店项目</t>
    <phoneticPr fontId="229" type="noConversion"/>
  </si>
  <si>
    <t>怀柔区怀北镇怀北庄村北项目</t>
    <phoneticPr fontId="229" type="noConversion"/>
  </si>
  <si>
    <t>工业</t>
    <phoneticPr fontId="229" type="noConversion"/>
  </si>
  <si>
    <t>密云区</t>
    <phoneticPr fontId="229" type="noConversion"/>
  </si>
  <si>
    <t>密云区密云镇果园西路6号北侧工业地块项目</t>
    <phoneticPr fontId="229" type="noConversion"/>
  </si>
  <si>
    <t>2018-11</t>
    <phoneticPr fontId="229" type="noConversion"/>
  </si>
  <si>
    <t>六环内</t>
    <phoneticPr fontId="279" type="noConversion"/>
  </si>
  <si>
    <t>六环外，距市区较近</t>
    <phoneticPr fontId="279" type="noConversion"/>
  </si>
  <si>
    <t>企业利用自有用地（鑫华源公司厂区地块项目）</t>
    <phoneticPr fontId="229" type="noConversion"/>
  </si>
  <si>
    <t>较好</t>
  </si>
  <si>
    <t>一般</t>
  </si>
  <si>
    <t>较好</t>
    <phoneticPr fontId="279" type="noConversion"/>
  </si>
  <si>
    <t>一般</t>
    <phoneticPr fontId="279" type="noConversion"/>
  </si>
  <si>
    <t>自然环境与景观</t>
    <phoneticPr fontId="279" type="noConversion"/>
  </si>
  <si>
    <t>一般</t>
    <phoneticPr fontId="279" type="noConversion"/>
  </si>
  <si>
    <t>较规则</t>
    <phoneticPr fontId="229" type="noConversion"/>
  </si>
  <si>
    <t>较差</t>
    <phoneticPr fontId="279" type="noConversion"/>
  </si>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</sst>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000%"/>
    <numFmt numFmtId="197" formatCode="#,##0.00_ "/>
  </numFmts>
  <fonts count="29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9"/>
      <name val="宋体"/>
      <family val="3"/>
      <charset val="134"/>
    </font>
    <font>
      <b/>
      <vertAlign val="superscript"/>
      <sz val="9"/>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name val="宋体"/>
      <family val="3"/>
      <charset val="134"/>
      <scheme val="minor"/>
    </font>
    <font>
      <sz val="10"/>
      <color indexed="8"/>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10"/>
      <name val="宋体"/>
      <family val="3"/>
      <charset val="134"/>
      <scheme val="minor"/>
    </font>
    <font>
      <b/>
      <sz val="10.5"/>
      <name val="宋体"/>
      <family val="3"/>
      <charset val="134"/>
    </font>
    <font>
      <u/>
      <sz val="12"/>
      <color indexed="12"/>
      <name val="宋体"/>
      <family val="3"/>
      <charset val="134"/>
    </font>
    <font>
      <sz val="11"/>
      <color indexed="42"/>
      <name val="宋体"/>
      <family val="3"/>
      <charset val="134"/>
    </font>
    <font>
      <sz val="11"/>
      <color indexed="62"/>
      <name val="宋体"/>
      <family val="3"/>
      <charset val="134"/>
    </font>
    <font>
      <b/>
      <sz val="9"/>
      <color rgb="FFFF0000"/>
      <name val="宋体"/>
      <family val="3"/>
      <charset val="134"/>
      <scheme val="major"/>
    </font>
    <font>
      <sz val="11"/>
      <name val="宋体"/>
      <family val="3"/>
      <charset val="134"/>
      <scheme val="minor"/>
    </font>
    <font>
      <sz val="10"/>
      <color rgb="FF00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theme="6"/>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s>
  <cellStyleXfs count="30">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257" fillId="0" borderId="0"/>
    <xf numFmtId="0" fontId="1" fillId="0" borderId="0">
      <alignment vertical="center"/>
    </xf>
    <xf numFmtId="0" fontId="1" fillId="0" borderId="0">
      <alignment vertical="center"/>
    </xf>
    <xf numFmtId="0" fontId="82" fillId="0" borderId="0">
      <alignment vertical="center"/>
    </xf>
    <xf numFmtId="0" fontId="146" fillId="0" borderId="0">
      <alignment vertical="center"/>
    </xf>
    <xf numFmtId="0" fontId="1" fillId="0" borderId="0">
      <alignment vertical="center"/>
    </xf>
    <xf numFmtId="0" fontId="257" fillId="0" borderId="0"/>
    <xf numFmtId="0" fontId="146" fillId="0" borderId="0">
      <alignment vertical="center"/>
    </xf>
    <xf numFmtId="0" fontId="291" fillId="0" borderId="0" applyNumberFormat="0" applyFill="0" applyBorder="0" applyAlignment="0" applyProtection="0">
      <alignment vertical="top"/>
      <protection locked="0"/>
    </xf>
    <xf numFmtId="0" fontId="292" fillId="18" borderId="0" applyNumberFormat="0" applyBorder="0" applyProtection="0">
      <alignment vertical="center"/>
    </xf>
    <xf numFmtId="0" fontId="292" fillId="19" borderId="0" applyNumberFormat="0" applyBorder="0" applyProtection="0">
      <alignment vertical="center"/>
    </xf>
    <xf numFmtId="0" fontId="292" fillId="20" borderId="0" applyNumberFormat="0" applyBorder="0" applyAlignment="0" applyProtection="0">
      <alignment vertical="center"/>
    </xf>
    <xf numFmtId="0" fontId="293" fillId="21" borderId="154" applyNumberFormat="0" applyProtection="0">
      <alignment vertical="center"/>
    </xf>
  </cellStyleXfs>
  <cellXfs count="364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107" fillId="17" borderId="83" xfId="0" applyFont="1" applyFill="1" applyBorder="1" applyAlignment="1" applyProtection="1">
      <alignment horizontal="center" vertical="center"/>
    </xf>
    <xf numFmtId="0" fontId="153" fillId="0" borderId="0" xfId="10" applyFont="1" applyFill="1" applyAlignment="1">
      <alignment horizontal="center" vertical="center"/>
    </xf>
    <xf numFmtId="10" fontId="157" fillId="5" borderId="2" xfId="0" applyNumberFormat="1" applyFont="1" applyFill="1" applyBorder="1" applyAlignment="1" applyProtection="1">
      <alignment horizontal="right"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146" fillId="0" borderId="0" xfId="1">
      <alignment vertical="center"/>
    </xf>
    <xf numFmtId="0" fontId="276" fillId="6" borderId="2" xfId="16" applyFont="1" applyFill="1" applyBorder="1" applyAlignment="1">
      <alignment horizontal="center" vertical="center" wrapText="1" readingOrder="1"/>
    </xf>
    <xf numFmtId="185" fontId="128" fillId="9" borderId="2" xfId="17" applyNumberFormat="1" applyFont="1" applyFill="1" applyBorder="1" applyAlignment="1">
      <alignment horizontal="center" vertical="center" wrapText="1"/>
    </xf>
    <xf numFmtId="49" fontId="83" fillId="9" borderId="2" xfId="17" applyNumberFormat="1" applyFont="1" applyFill="1" applyBorder="1" applyAlignment="1">
      <alignment horizontal="center" vertical="center"/>
    </xf>
    <xf numFmtId="177" fontId="128" fillId="9" borderId="2" xfId="17" applyNumberFormat="1" applyFont="1" applyFill="1" applyBorder="1" applyAlignment="1">
      <alignment horizontal="center" vertical="center" wrapText="1"/>
    </xf>
    <xf numFmtId="177" fontId="83" fillId="9" borderId="2" xfId="17" applyNumberFormat="1" applyFont="1" applyFill="1" applyBorder="1" applyAlignment="1">
      <alignment horizontal="center" vertical="center" wrapText="1"/>
    </xf>
    <xf numFmtId="0" fontId="146" fillId="9" borderId="0" xfId="1" applyFill="1">
      <alignment vertical="center"/>
    </xf>
    <xf numFmtId="177" fontId="146" fillId="0" borderId="0" xfId="1" applyNumberFormat="1">
      <alignment vertical="center"/>
    </xf>
    <xf numFmtId="0" fontId="278" fillId="0" borderId="19" xfId="16" applyFont="1" applyFill="1" applyBorder="1" applyAlignment="1">
      <alignment horizontal="center" vertical="center" wrapText="1"/>
    </xf>
    <xf numFmtId="0" fontId="279" fillId="0" borderId="0" xfId="1" applyFont="1" applyFill="1" applyBorder="1">
      <alignment vertical="center"/>
    </xf>
    <xf numFmtId="0" fontId="280" fillId="0" borderId="2" xfId="16" applyFont="1" applyFill="1" applyBorder="1" applyAlignment="1">
      <alignment horizontal="center" vertical="center" wrapText="1"/>
    </xf>
    <xf numFmtId="195" fontId="280" fillId="0" borderId="2" xfId="16" applyNumberFormat="1" applyFont="1" applyFill="1" applyBorder="1" applyAlignment="1">
      <alignment horizontal="center" vertical="center" wrapText="1"/>
    </xf>
    <xf numFmtId="0" fontId="281" fillId="0" borderId="2" xfId="1" applyFont="1" applyFill="1" applyBorder="1" applyAlignment="1">
      <alignment horizontal="center" vertical="center" wrapText="1"/>
    </xf>
    <xf numFmtId="0" fontId="281" fillId="0" borderId="2" xfId="1" applyFont="1" applyFill="1" applyBorder="1" applyAlignment="1">
      <alignment horizontal="center" vertical="center"/>
    </xf>
    <xf numFmtId="0" fontId="280" fillId="0" borderId="2" xfId="16" applyFont="1" applyFill="1" applyBorder="1" applyAlignment="1">
      <alignment horizontal="center" vertical="center"/>
    </xf>
    <xf numFmtId="195" fontId="280" fillId="0" borderId="2" xfId="16" applyNumberFormat="1" applyFont="1" applyFill="1" applyBorder="1" applyAlignment="1">
      <alignment horizontal="center" vertical="center"/>
    </xf>
    <xf numFmtId="0" fontId="279" fillId="0" borderId="0" xfId="1" applyFont="1" applyFill="1" applyBorder="1" applyAlignment="1">
      <alignment vertical="center"/>
    </xf>
    <xf numFmtId="0" fontId="282" fillId="0" borderId="2" xfId="1" applyFont="1" applyFill="1" applyBorder="1" applyAlignment="1">
      <alignment horizontal="center" vertical="center"/>
    </xf>
    <xf numFmtId="0" fontId="283" fillId="0" borderId="2" xfId="1" applyNumberFormat="1" applyFont="1" applyFill="1" applyBorder="1" applyAlignment="1">
      <alignment horizontal="center" vertical="center" wrapText="1"/>
    </xf>
    <xf numFmtId="177" fontId="284" fillId="0" borderId="2" xfId="1" applyNumberFormat="1" applyFont="1" applyFill="1" applyBorder="1" applyAlignment="1">
      <alignment horizontal="center" vertical="center" wrapText="1"/>
    </xf>
    <xf numFmtId="177" fontId="83" fillId="0" borderId="2" xfId="1" applyNumberFormat="1" applyFont="1" applyFill="1" applyBorder="1" applyAlignment="1">
      <alignment horizontal="left" vertical="center" wrapText="1"/>
    </xf>
    <xf numFmtId="177" fontId="284" fillId="0" borderId="2" xfId="1" applyNumberFormat="1" applyFont="1" applyBorder="1" applyAlignment="1">
      <alignment horizontal="center" vertical="center" wrapText="1"/>
    </xf>
    <xf numFmtId="177" fontId="283" fillId="0" borderId="2" xfId="1" applyNumberFormat="1" applyFont="1" applyFill="1" applyBorder="1" applyAlignment="1">
      <alignment horizontal="center" vertical="center" wrapText="1"/>
    </xf>
    <xf numFmtId="177" fontId="282" fillId="0" borderId="0" xfId="1" applyNumberFormat="1" applyFont="1" applyFill="1" applyBorder="1">
      <alignment vertical="center"/>
    </xf>
    <xf numFmtId="0" fontId="282" fillId="0" borderId="0" xfId="1" applyFont="1" applyFill="1" applyBorder="1">
      <alignment vertical="center"/>
    </xf>
    <xf numFmtId="0" fontId="282" fillId="6" borderId="2" xfId="1" applyFont="1" applyFill="1" applyBorder="1" applyAlignment="1">
      <alignment horizontal="center" vertical="center"/>
    </xf>
    <xf numFmtId="0" fontId="283" fillId="6" borderId="2" xfId="1" applyNumberFormat="1" applyFont="1" applyFill="1" applyBorder="1" applyAlignment="1">
      <alignment horizontal="center" vertical="center" wrapText="1"/>
    </xf>
    <xf numFmtId="177" fontId="284" fillId="6" borderId="2" xfId="1" applyNumberFormat="1" applyFont="1" applyFill="1" applyBorder="1" applyAlignment="1">
      <alignment horizontal="center" vertical="center" wrapText="1"/>
    </xf>
    <xf numFmtId="177" fontId="83" fillId="6" borderId="2" xfId="1" applyNumberFormat="1" applyFont="1" applyFill="1" applyBorder="1" applyAlignment="1">
      <alignment horizontal="left" vertical="center" wrapText="1"/>
    </xf>
    <xf numFmtId="177" fontId="283" fillId="6" borderId="2" xfId="1" applyNumberFormat="1" applyFont="1" applyFill="1" applyBorder="1" applyAlignment="1">
      <alignment horizontal="center" vertical="center" wrapText="1"/>
    </xf>
    <xf numFmtId="0" fontId="285" fillId="6" borderId="10" xfId="1" applyFont="1" applyFill="1" applyBorder="1" applyAlignment="1">
      <alignment horizontal="center" vertical="center"/>
    </xf>
    <xf numFmtId="177" fontId="282" fillId="6" borderId="0" xfId="1" applyNumberFormat="1" applyFont="1" applyFill="1" applyBorder="1">
      <alignment vertical="center"/>
    </xf>
    <xf numFmtId="0" fontId="282" fillId="6" borderId="0" xfId="1" applyFont="1" applyFill="1" applyBorder="1">
      <alignment vertical="center"/>
    </xf>
    <xf numFmtId="0" fontId="146" fillId="6" borderId="0" xfId="1" applyFill="1">
      <alignment vertical="center"/>
    </xf>
    <xf numFmtId="185" fontId="284" fillId="0" borderId="2" xfId="1" applyNumberFormat="1" applyFont="1" applyFill="1" applyBorder="1" applyAlignment="1">
      <alignment horizontal="center" vertical="center" wrapText="1"/>
    </xf>
    <xf numFmtId="177" fontId="83" fillId="0" borderId="2" xfId="1" applyNumberFormat="1" applyFont="1" applyFill="1" applyBorder="1" applyAlignment="1">
      <alignment horizontal="center" vertical="center" wrapText="1"/>
    </xf>
    <xf numFmtId="0" fontId="135" fillId="0" borderId="0" xfId="1" applyFont="1" applyFill="1" applyBorder="1" applyAlignment="1">
      <alignment horizontal="center" vertical="center"/>
    </xf>
    <xf numFmtId="177" fontId="283" fillId="0" borderId="2" xfId="1" applyNumberFormat="1" applyFont="1" applyBorder="1" applyAlignment="1">
      <alignment horizontal="center" vertical="center" wrapText="1"/>
    </xf>
    <xf numFmtId="0" fontId="282" fillId="0" borderId="2" xfId="1" applyFont="1" applyFill="1" applyBorder="1" applyAlignment="1">
      <alignment horizontal="center" vertical="center" wrapText="1"/>
    </xf>
    <xf numFmtId="177" fontId="284" fillId="0" borderId="0" xfId="1" applyNumberFormat="1" applyFont="1" applyFill="1" applyBorder="1" applyAlignment="1">
      <alignment horizontal="center" vertical="center"/>
    </xf>
    <xf numFmtId="177" fontId="165" fillId="0" borderId="2" xfId="1" applyNumberFormat="1" applyFont="1" applyFill="1" applyBorder="1" applyAlignment="1">
      <alignment horizontal="center" vertical="center" wrapText="1"/>
    </xf>
    <xf numFmtId="0" fontId="285" fillId="0" borderId="2" xfId="1" applyFont="1" applyFill="1" applyBorder="1" applyAlignment="1">
      <alignment horizontal="center" vertical="center"/>
    </xf>
    <xf numFmtId="0" fontId="146" fillId="0" borderId="0" xfId="1" applyFill="1">
      <alignment vertical="center"/>
    </xf>
    <xf numFmtId="185" fontId="165" fillId="0" borderId="2" xfId="1" applyNumberFormat="1" applyFont="1" applyFill="1" applyBorder="1" applyAlignment="1">
      <alignment horizontal="center" vertical="center" wrapText="1"/>
    </xf>
    <xf numFmtId="195" fontId="284" fillId="0" borderId="2" xfId="16" applyNumberFormat="1" applyFont="1" applyFill="1" applyBorder="1" applyAlignment="1">
      <alignment horizontal="center" vertical="center" wrapText="1"/>
    </xf>
    <xf numFmtId="177" fontId="284" fillId="0" borderId="2" xfId="1" applyNumberFormat="1" applyFont="1" applyFill="1" applyBorder="1" applyAlignment="1">
      <alignment horizontal="left" vertical="center" wrapText="1"/>
    </xf>
    <xf numFmtId="0" fontId="284" fillId="0" borderId="2" xfId="16" applyFont="1" applyFill="1" applyBorder="1" applyAlignment="1">
      <alignment horizontal="center" vertical="center" wrapText="1"/>
    </xf>
    <xf numFmtId="0" fontId="165" fillId="0" borderId="0" xfId="1" applyFont="1" applyFill="1" applyBorder="1" applyAlignment="1">
      <alignment horizontal="center" vertical="center"/>
    </xf>
    <xf numFmtId="0" fontId="128" fillId="6" borderId="2" xfId="1" applyFont="1" applyFill="1" applyBorder="1" applyAlignment="1">
      <alignment horizontal="center" vertical="center" wrapText="1"/>
    </xf>
    <xf numFmtId="185" fontId="284" fillId="6" borderId="2" xfId="1" applyNumberFormat="1" applyFont="1" applyFill="1" applyBorder="1" applyAlignment="1">
      <alignment horizontal="center" vertical="center" wrapText="1"/>
    </xf>
    <xf numFmtId="177" fontId="286" fillId="6" borderId="2" xfId="1" applyNumberFormat="1" applyFont="1" applyFill="1" applyBorder="1" applyAlignment="1">
      <alignment horizontal="center" vertical="center"/>
    </xf>
    <xf numFmtId="177" fontId="83" fillId="6" borderId="2" xfId="1" applyNumberFormat="1" applyFont="1" applyFill="1" applyBorder="1" applyAlignment="1">
      <alignment horizontal="center" vertical="center" wrapText="1"/>
    </xf>
    <xf numFmtId="0" fontId="285" fillId="6" borderId="2" xfId="1" applyFont="1" applyFill="1" applyBorder="1" applyAlignment="1">
      <alignment horizontal="center" vertical="center"/>
    </xf>
    <xf numFmtId="0" fontId="170" fillId="6" borderId="0" xfId="1" applyFont="1" applyFill="1" applyBorder="1">
      <alignment vertical="center"/>
    </xf>
    <xf numFmtId="177" fontId="286" fillId="6" borderId="0" xfId="1" applyNumberFormat="1" applyFont="1" applyFill="1" applyBorder="1" applyAlignment="1">
      <alignment vertical="center"/>
    </xf>
    <xf numFmtId="0" fontId="128" fillId="0" borderId="2" xfId="1" applyFont="1" applyFill="1" applyBorder="1" applyAlignment="1">
      <alignment horizontal="center" vertical="center" wrapText="1"/>
    </xf>
    <xf numFmtId="177" fontId="286" fillId="0" borderId="2" xfId="1" applyNumberFormat="1" applyFont="1" applyFill="1" applyBorder="1" applyAlignment="1">
      <alignment horizontal="center" vertical="center"/>
    </xf>
    <xf numFmtId="177" fontId="83" fillId="0" borderId="2" xfId="1" applyNumberFormat="1" applyFont="1" applyBorder="1" applyAlignment="1">
      <alignment horizontal="center" vertical="center" wrapText="1"/>
    </xf>
    <xf numFmtId="177" fontId="83" fillId="0" borderId="2" xfId="1" applyNumberFormat="1" applyFont="1" applyBorder="1" applyAlignment="1">
      <alignment horizontal="left" vertical="center" wrapText="1"/>
    </xf>
    <xf numFmtId="0" fontId="83" fillId="0" borderId="2" xfId="16" applyFont="1" applyFill="1" applyBorder="1" applyAlignment="1">
      <alignment horizontal="center" vertical="center" wrapText="1"/>
    </xf>
    <xf numFmtId="177" fontId="286" fillId="0" borderId="0" xfId="1" applyNumberFormat="1" applyFont="1" applyFill="1" applyBorder="1" applyAlignment="1">
      <alignment vertical="center"/>
    </xf>
    <xf numFmtId="0" fontId="83" fillId="6" borderId="2" xfId="16" applyFont="1" applyFill="1" applyBorder="1" applyAlignment="1">
      <alignment horizontal="center" vertical="center" wrapText="1"/>
    </xf>
    <xf numFmtId="185" fontId="128" fillId="0" borderId="2" xfId="1" applyNumberFormat="1" applyFont="1" applyFill="1" applyBorder="1" applyAlignment="1">
      <alignment horizontal="center" vertical="center" wrapText="1"/>
    </xf>
    <xf numFmtId="0" fontId="83" fillId="0" borderId="10" xfId="16" applyFont="1" applyFill="1" applyBorder="1" applyAlignment="1">
      <alignment horizontal="center" vertical="center" wrapText="1"/>
    </xf>
    <xf numFmtId="195" fontId="83" fillId="0" borderId="2" xfId="16" applyNumberFormat="1" applyFont="1" applyFill="1" applyBorder="1" applyAlignment="1">
      <alignment horizontal="center" vertical="center" wrapText="1"/>
    </xf>
    <xf numFmtId="0" fontId="285" fillId="0" borderId="0" xfId="1" applyFont="1" applyFill="1" applyBorder="1">
      <alignment vertical="center"/>
    </xf>
    <xf numFmtId="0" fontId="201" fillId="6" borderId="2" xfId="1" applyFont="1" applyFill="1" applyBorder="1" applyAlignment="1">
      <alignment horizontal="center" vertical="center"/>
    </xf>
    <xf numFmtId="195" fontId="83" fillId="6" borderId="2" xfId="16" applyNumberFormat="1" applyFont="1" applyFill="1" applyBorder="1" applyAlignment="1">
      <alignment horizontal="center" vertical="center" wrapText="1"/>
    </xf>
    <xf numFmtId="0" fontId="260" fillId="6" borderId="2" xfId="1" applyFont="1" applyFill="1" applyBorder="1" applyAlignment="1">
      <alignment horizontal="center" vertical="center"/>
    </xf>
    <xf numFmtId="0" fontId="289" fillId="6" borderId="2" xfId="1" applyFont="1" applyFill="1" applyBorder="1" applyAlignment="1">
      <alignment horizontal="center" vertical="center"/>
    </xf>
    <xf numFmtId="0" fontId="283" fillId="6" borderId="2" xfId="1" applyFont="1" applyFill="1" applyBorder="1" applyAlignment="1">
      <alignment horizontal="center" vertical="center"/>
    </xf>
    <xf numFmtId="0" fontId="290" fillId="0" borderId="0" xfId="1" applyFont="1" applyFill="1" applyBorder="1" applyAlignment="1">
      <alignment horizontal="center"/>
    </xf>
    <xf numFmtId="0" fontId="107" fillId="8" borderId="0" xfId="1" applyFont="1" applyFill="1" applyAlignment="1" applyProtection="1">
      <alignment vertical="center"/>
      <protection locked="0"/>
    </xf>
    <xf numFmtId="49" fontId="107" fillId="8" borderId="0" xfId="1" applyNumberFormat="1" applyFont="1" applyFill="1" applyAlignment="1" applyProtection="1">
      <alignment vertical="center"/>
      <protection locked="0"/>
    </xf>
    <xf numFmtId="10" fontId="107" fillId="8" borderId="0" xfId="1" applyNumberFormat="1" applyFont="1" applyFill="1" applyAlignment="1" applyProtection="1">
      <alignment vertical="center"/>
      <protection locked="0"/>
    </xf>
    <xf numFmtId="0" fontId="33" fillId="8" borderId="0" xfId="1" applyFont="1" applyFill="1" applyAlignment="1" applyProtection="1">
      <alignment vertical="center"/>
      <protection locked="0"/>
    </xf>
    <xf numFmtId="14" fontId="96" fillId="8" borderId="0" xfId="1" applyNumberFormat="1" applyFont="1" applyFill="1" applyAlignment="1" applyProtection="1">
      <alignment vertical="center"/>
      <protection locked="0"/>
    </xf>
    <xf numFmtId="0" fontId="96" fillId="8" borderId="0" xfId="1" applyFont="1" applyFill="1" applyAlignment="1" applyProtection="1">
      <alignment vertical="center"/>
      <protection locked="0"/>
    </xf>
    <xf numFmtId="196" fontId="96" fillId="8" borderId="0" xfId="1" applyNumberFormat="1" applyFont="1" applyFill="1" applyAlignment="1" applyProtection="1">
      <alignment vertical="center"/>
      <protection locked="0"/>
    </xf>
    <xf numFmtId="184" fontId="87" fillId="0" borderId="2" xfId="4" applyNumberFormat="1" applyFont="1" applyFill="1" applyBorder="1" applyAlignment="1">
      <alignment horizontal="center" vertical="center" wrapText="1"/>
    </xf>
    <xf numFmtId="0" fontId="87" fillId="0" borderId="2" xfId="4" applyFont="1" applyFill="1" applyBorder="1" applyAlignment="1">
      <alignment horizontal="center" vertical="center"/>
    </xf>
    <xf numFmtId="49" fontId="87" fillId="0" borderId="2" xfId="4" applyNumberFormat="1" applyFont="1" applyFill="1" applyBorder="1" applyAlignment="1">
      <alignment horizontal="center" vertical="center" wrapText="1"/>
    </xf>
    <xf numFmtId="49" fontId="96" fillId="8" borderId="0" xfId="1" applyNumberFormat="1" applyFont="1" applyFill="1" applyAlignment="1" applyProtection="1">
      <alignment vertical="center"/>
      <protection locked="0"/>
    </xf>
    <xf numFmtId="0" fontId="87" fillId="0" borderId="2" xfId="4" applyFont="1" applyFill="1" applyBorder="1" applyAlignment="1">
      <alignment horizontal="center" vertical="center" wrapText="1"/>
    </xf>
    <xf numFmtId="0" fontId="41" fillId="0" borderId="2" xfId="4" applyFont="1" applyFill="1" applyBorder="1" applyAlignment="1">
      <alignment vertical="center" wrapText="1"/>
    </xf>
    <xf numFmtId="0" fontId="41" fillId="0" borderId="2" xfId="4" applyFont="1" applyFill="1" applyBorder="1" applyAlignment="1">
      <alignment horizontal="center" vertical="center" wrapText="1"/>
    </xf>
    <xf numFmtId="10" fontId="96" fillId="8" borderId="0" xfId="1" applyNumberFormat="1" applyFont="1" applyFill="1" applyAlignment="1" applyProtection="1">
      <alignment vertical="center"/>
      <protection locked="0"/>
    </xf>
    <xf numFmtId="0" fontId="185" fillId="0" borderId="2" xfId="4" applyFont="1" applyFill="1" applyBorder="1" applyAlignment="1">
      <alignment horizontal="center" vertical="center" wrapText="1"/>
    </xf>
    <xf numFmtId="0" fontId="41" fillId="0" borderId="9" xfId="4" applyFont="1" applyFill="1" applyBorder="1" applyAlignment="1">
      <alignment vertical="center" wrapText="1"/>
    </xf>
    <xf numFmtId="0" fontId="41" fillId="6" borderId="2" xfId="4" applyFont="1" applyFill="1" applyBorder="1" applyAlignment="1">
      <alignment vertical="center" wrapText="1"/>
    </xf>
    <xf numFmtId="0" fontId="41" fillId="6" borderId="2" xfId="4" applyFont="1" applyFill="1" applyBorder="1" applyAlignment="1">
      <alignment horizontal="center" vertical="center" wrapText="1"/>
    </xf>
    <xf numFmtId="0" fontId="87" fillId="6" borderId="2" xfId="4" applyFont="1" applyFill="1" applyBorder="1" applyAlignment="1">
      <alignment horizontal="center" vertical="center" wrapText="1"/>
    </xf>
    <xf numFmtId="182" fontId="87" fillId="0" borderId="2" xfId="4" applyNumberFormat="1" applyFont="1" applyFill="1" applyBorder="1" applyAlignment="1">
      <alignment horizontal="center" vertical="center" wrapText="1"/>
    </xf>
    <xf numFmtId="0" fontId="87" fillId="9" borderId="2" xfId="4" applyFont="1" applyFill="1" applyBorder="1" applyAlignment="1">
      <alignment horizontal="center" vertical="center" wrapText="1"/>
    </xf>
    <xf numFmtId="197" fontId="146" fillId="0" borderId="0" xfId="1" applyNumberFormat="1">
      <alignment vertical="center"/>
    </xf>
    <xf numFmtId="4" fontId="146" fillId="0" borderId="0" xfId="1" applyNumberFormat="1">
      <alignment vertical="center"/>
    </xf>
    <xf numFmtId="0" fontId="128" fillId="22" borderId="2" xfId="1" applyFont="1" applyFill="1" applyBorder="1" applyAlignment="1">
      <alignment horizontal="center" vertical="center" wrapText="1"/>
    </xf>
    <xf numFmtId="185" fontId="284" fillId="22" borderId="2" xfId="1" applyNumberFormat="1" applyFont="1" applyFill="1" applyBorder="1" applyAlignment="1">
      <alignment horizontal="center" vertical="center" wrapText="1"/>
    </xf>
    <xf numFmtId="0" fontId="285" fillId="22" borderId="2" xfId="1" applyFont="1" applyFill="1" applyBorder="1" applyAlignment="1">
      <alignment horizontal="center" vertical="center"/>
    </xf>
    <xf numFmtId="195" fontId="83" fillId="22" borderId="2" xfId="16" applyNumberFormat="1" applyFont="1" applyFill="1" applyBorder="1" applyAlignment="1">
      <alignment horizontal="center" vertical="center" wrapText="1"/>
    </xf>
    <xf numFmtId="0" fontId="83" fillId="22" borderId="2" xfId="16" applyFont="1" applyFill="1" applyBorder="1" applyAlignment="1">
      <alignment horizontal="center" vertical="center" wrapText="1"/>
    </xf>
    <xf numFmtId="177" fontId="283" fillId="22" borderId="2" xfId="1" applyNumberFormat="1" applyFont="1" applyFill="1" applyBorder="1" applyAlignment="1">
      <alignment horizontal="center" vertical="center" wrapText="1"/>
    </xf>
    <xf numFmtId="177" fontId="282" fillId="22" borderId="0" xfId="1" applyNumberFormat="1" applyFont="1" applyFill="1" applyBorder="1">
      <alignment vertical="center"/>
    </xf>
    <xf numFmtId="0" fontId="170" fillId="22" borderId="0" xfId="1" applyFont="1" applyFill="1" applyBorder="1">
      <alignment vertical="center"/>
    </xf>
    <xf numFmtId="0" fontId="41" fillId="0" borderId="2" xfId="4" applyFont="1" applyFill="1" applyBorder="1" applyAlignment="1">
      <alignment vertical="center" wrapText="1"/>
    </xf>
    <xf numFmtId="0" fontId="229" fillId="0" borderId="155" xfId="1" applyFont="1" applyFill="1" applyBorder="1" applyAlignment="1">
      <alignment horizontal="center" vertical="center"/>
    </xf>
    <xf numFmtId="0" fontId="229" fillId="0" borderId="155" xfId="1" applyFont="1" applyFill="1" applyBorder="1">
      <alignment vertical="center"/>
    </xf>
    <xf numFmtId="0" fontId="229" fillId="0" borderId="0" xfId="1" applyFont="1" applyFill="1" applyBorder="1">
      <alignment vertical="center"/>
    </xf>
    <xf numFmtId="0" fontId="280" fillId="0" borderId="155" xfId="16" applyFont="1" applyFill="1" applyBorder="1" applyAlignment="1">
      <alignment horizontal="center" vertical="center" wrapText="1"/>
    </xf>
    <xf numFmtId="0" fontId="281" fillId="0" borderId="155" xfId="1" applyFont="1" applyFill="1" applyBorder="1" applyAlignment="1">
      <alignment horizontal="center" vertical="center" wrapText="1"/>
    </xf>
    <xf numFmtId="0" fontId="294" fillId="0" borderId="155" xfId="16" applyFont="1" applyFill="1" applyBorder="1" applyAlignment="1">
      <alignment horizontal="center" vertical="center" wrapText="1"/>
    </xf>
    <xf numFmtId="0" fontId="229" fillId="0" borderId="0" xfId="1" applyFont="1" applyFill="1" applyBorder="1" applyAlignment="1">
      <alignment horizontal="center" vertical="center"/>
    </xf>
    <xf numFmtId="0" fontId="283" fillId="0" borderId="155" xfId="1" applyNumberFormat="1" applyFont="1" applyFill="1" applyBorder="1" applyAlignment="1">
      <alignment horizontal="center" vertical="center" wrapText="1"/>
    </xf>
    <xf numFmtId="0" fontId="284" fillId="0" borderId="155" xfId="1" applyNumberFormat="1" applyFont="1" applyFill="1" applyBorder="1" applyAlignment="1">
      <alignment horizontal="center" vertical="center" wrapText="1"/>
    </xf>
    <xf numFmtId="177" fontId="295" fillId="0" borderId="155" xfId="1" applyNumberFormat="1" applyFont="1" applyFill="1" applyBorder="1" applyAlignment="1">
      <alignment horizontal="center" vertical="center" wrapText="1"/>
    </xf>
    <xf numFmtId="0" fontId="148" fillId="0" borderId="155" xfId="1" applyFont="1" applyFill="1" applyBorder="1" applyAlignment="1">
      <alignment horizontal="center" vertical="center" readingOrder="1"/>
    </xf>
    <xf numFmtId="177" fontId="295" fillId="0" borderId="155" xfId="1" applyNumberFormat="1" applyFont="1" applyFill="1" applyBorder="1" applyAlignment="1">
      <alignment horizontal="left" vertical="center" wrapText="1"/>
    </xf>
    <xf numFmtId="0" fontId="146" fillId="0" borderId="155" xfId="1" applyFill="1" applyBorder="1" applyAlignment="1">
      <alignment horizontal="center" vertical="center"/>
    </xf>
    <xf numFmtId="177" fontId="284" fillId="0" borderId="155" xfId="1" applyNumberFormat="1" applyFont="1" applyFill="1" applyBorder="1" applyAlignment="1">
      <alignment horizontal="center" vertical="center"/>
    </xf>
    <xf numFmtId="0" fontId="146" fillId="0" borderId="0" xfId="1" applyFill="1" applyBorder="1" applyAlignment="1"/>
    <xf numFmtId="0" fontId="146" fillId="0" borderId="0" xfId="1" applyFill="1" applyAlignment="1"/>
    <xf numFmtId="185" fontId="145" fillId="0" borderId="155" xfId="1" applyNumberFormat="1" applyFont="1" applyFill="1" applyBorder="1" applyAlignment="1">
      <alignment horizontal="center" vertical="center" wrapText="1"/>
    </xf>
    <xf numFmtId="177" fontId="145" fillId="0" borderId="155" xfId="1" applyNumberFormat="1" applyFont="1" applyFill="1" applyBorder="1" applyAlignment="1">
      <alignment horizontal="center" vertical="center" wrapText="1"/>
    </xf>
    <xf numFmtId="0" fontId="296" fillId="0" borderId="155" xfId="1" applyFont="1" applyFill="1" applyBorder="1" applyAlignment="1">
      <alignment horizontal="center" vertical="center"/>
    </xf>
    <xf numFmtId="177" fontId="145" fillId="0" borderId="155" xfId="1" applyNumberFormat="1" applyFont="1" applyFill="1" applyBorder="1" applyAlignment="1">
      <alignment horizontal="left" vertical="center" wrapText="1"/>
    </xf>
    <xf numFmtId="0" fontId="165" fillId="0" borderId="155" xfId="1" applyFont="1" applyFill="1" applyBorder="1" applyAlignment="1">
      <alignment horizontal="center" vertical="center" wrapText="1"/>
    </xf>
    <xf numFmtId="185" fontId="284" fillId="0" borderId="155" xfId="1" applyNumberFormat="1" applyFont="1" applyFill="1" applyBorder="1" applyAlignment="1">
      <alignment horizontal="center" vertical="center" wrapText="1"/>
    </xf>
    <xf numFmtId="0" fontId="295" fillId="0" borderId="155" xfId="1" applyFont="1" applyFill="1" applyBorder="1" applyAlignment="1">
      <alignment horizontal="center" vertical="center"/>
    </xf>
    <xf numFmtId="0" fontId="165" fillId="0" borderId="155" xfId="1" applyFont="1" applyFill="1" applyBorder="1" applyAlignment="1">
      <alignment vertical="center"/>
    </xf>
    <xf numFmtId="0" fontId="283" fillId="0" borderId="155" xfId="1" applyFont="1" applyFill="1" applyBorder="1" applyAlignment="1">
      <alignment horizontal="center" vertical="center"/>
    </xf>
    <xf numFmtId="0" fontId="165" fillId="0" borderId="0" xfId="1" applyFont="1" applyFill="1" applyAlignment="1">
      <alignment vertical="center"/>
    </xf>
    <xf numFmtId="177" fontId="203" fillId="0" borderId="155" xfId="1" applyNumberFormat="1" applyFont="1" applyFill="1" applyBorder="1" applyAlignment="1">
      <alignment horizontal="left" vertical="center" wrapText="1"/>
    </xf>
    <xf numFmtId="0" fontId="165" fillId="0" borderId="155" xfId="1" applyFont="1" applyFill="1" applyBorder="1" applyAlignment="1">
      <alignment vertical="center" wrapText="1"/>
    </xf>
    <xf numFmtId="0" fontId="146" fillId="0" borderId="0" xfId="1" applyFont="1">
      <alignment vertical="center"/>
    </xf>
    <xf numFmtId="14" fontId="146" fillId="0" borderId="0" xfId="1" applyNumberFormat="1">
      <alignment vertical="center"/>
    </xf>
    <xf numFmtId="0" fontId="41" fillId="8" borderId="2" xfId="4" applyFont="1" applyFill="1" applyBorder="1" applyAlignment="1">
      <alignment horizontal="center" vertical="center" wrapText="1"/>
    </xf>
    <xf numFmtId="0" fontId="87" fillId="8" borderId="2" xfId="4" applyFont="1" applyFill="1" applyBorder="1" applyAlignment="1">
      <alignment horizontal="center" vertical="center" wrapText="1"/>
    </xf>
    <xf numFmtId="0" fontId="41" fillId="9" borderId="2" xfId="4" applyFont="1" applyFill="1" applyBorder="1" applyAlignment="1">
      <alignment horizontal="center" vertical="center" wrapText="1"/>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90" fillId="0" borderId="0" xfId="1" applyFont="1" applyFill="1" applyBorder="1" applyAlignment="1">
      <alignment horizontal="center"/>
    </xf>
    <xf numFmtId="0" fontId="41" fillId="0" borderId="2" xfId="4" applyFont="1" applyFill="1" applyBorder="1" applyAlignment="1">
      <alignment vertical="center" wrapText="1"/>
    </xf>
    <xf numFmtId="0" fontId="87" fillId="0" borderId="2" xfId="4" applyFont="1" applyFill="1" applyBorder="1" applyAlignment="1">
      <alignment horizontal="center" vertical="center" wrapText="1"/>
    </xf>
    <xf numFmtId="0" fontId="87" fillId="0" borderId="5" xfId="4" applyFont="1" applyFill="1" applyBorder="1" applyAlignment="1">
      <alignment horizontal="center" vertical="center" wrapText="1"/>
    </xf>
    <xf numFmtId="0" fontId="87" fillId="0" borderId="9" xfId="4" applyFont="1" applyFill="1" applyBorder="1" applyAlignment="1">
      <alignment horizontal="center" vertical="center" wrapText="1"/>
    </xf>
    <xf numFmtId="0" fontId="87" fillId="22" borderId="5" xfId="4" applyFont="1" applyFill="1" applyBorder="1" applyAlignment="1">
      <alignment horizontal="center" vertical="center" wrapText="1"/>
    </xf>
    <xf numFmtId="0" fontId="87" fillId="22" borderId="9" xfId="4" applyFont="1" applyFill="1" applyBorder="1" applyAlignment="1">
      <alignment horizontal="center" vertical="center" wrapText="1"/>
    </xf>
    <xf numFmtId="0" fontId="161" fillId="0" borderId="32" xfId="1" applyFont="1" applyBorder="1" applyAlignment="1">
      <alignment horizontal="center" vertical="center"/>
    </xf>
    <xf numFmtId="0" fontId="161" fillId="0" borderId="18" xfId="1" applyFont="1" applyBorder="1" applyAlignment="1">
      <alignment horizontal="center" vertical="center"/>
    </xf>
    <xf numFmtId="0" fontId="161" fillId="0" borderId="20" xfId="1" applyFont="1" applyBorder="1" applyAlignment="1">
      <alignment horizontal="center" vertical="center"/>
    </xf>
    <xf numFmtId="0" fontId="161" fillId="0" borderId="10" xfId="1" applyFont="1" applyBorder="1" applyAlignment="1">
      <alignment horizontal="center" vertical="center"/>
    </xf>
    <xf numFmtId="0" fontId="161" fillId="0" borderId="3" xfId="1" applyFont="1" applyBorder="1" applyAlignment="1">
      <alignment horizontal="center" vertical="center"/>
    </xf>
    <xf numFmtId="0" fontId="161" fillId="0" borderId="21" xfId="1" applyFont="1" applyBorder="1" applyAlignment="1">
      <alignment horizontal="center" vertical="center"/>
    </xf>
    <xf numFmtId="0" fontId="128" fillId="0" borderId="0" xfId="4" applyFont="1" applyFill="1" applyBorder="1" applyAlignment="1">
      <alignment horizontal="left"/>
    </xf>
    <xf numFmtId="4" fontId="87" fillId="0" borderId="2" xfId="4" applyNumberFormat="1" applyFont="1" applyFill="1" applyBorder="1" applyAlignment="1">
      <alignment horizontal="center" vertical="center" wrapText="1"/>
    </xf>
    <xf numFmtId="0" fontId="276" fillId="6" borderId="10" xfId="16" applyFont="1" applyFill="1" applyBorder="1" applyAlignment="1">
      <alignment horizontal="center" vertical="center" wrapText="1" readingOrder="1"/>
    </xf>
    <xf numFmtId="0" fontId="276" fillId="6" borderId="21" xfId="16" applyFont="1" applyFill="1" applyBorder="1" applyAlignment="1">
      <alignment horizontal="center" vertical="center" wrapText="1" readingOrder="1"/>
    </xf>
    <xf numFmtId="0" fontId="276" fillId="6" borderId="2" xfId="16" applyFont="1" applyFill="1" applyBorder="1" applyAlignment="1">
      <alignment horizontal="center" vertical="center" wrapText="1" readingOrder="1"/>
    </xf>
    <xf numFmtId="0" fontId="278" fillId="0" borderId="17" xfId="16" applyFont="1" applyFill="1" applyBorder="1" applyAlignment="1">
      <alignment horizontal="center" vertical="center" wrapText="1"/>
    </xf>
    <xf numFmtId="0" fontId="278" fillId="0" borderId="19" xfId="16" applyFont="1" applyFill="1" applyBorder="1" applyAlignment="1">
      <alignment horizontal="center" vertical="center" wrapText="1"/>
    </xf>
    <xf numFmtId="0" fontId="257" fillId="6" borderId="21" xfId="17" applyFill="1" applyBorder="1" applyAlignment="1">
      <alignment horizontal="center" vertical="center"/>
    </xf>
    <xf numFmtId="0" fontId="278" fillId="0" borderId="155" xfId="16" applyFont="1" applyFill="1" applyBorder="1" applyAlignment="1">
      <alignment horizontal="center" vertical="center"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30">
    <cellStyle name="百分比 2" xfId="11"/>
    <cellStyle name="常规" xfId="0" builtinId="0"/>
    <cellStyle name="常规 10" xfId="18"/>
    <cellStyle name="常规 11" xfId="19"/>
    <cellStyle name="常规 12" xfId="17"/>
    <cellStyle name="常规 16" xfId="1"/>
    <cellStyle name="常规 2" xfId="2"/>
    <cellStyle name="常规 2 2" xfId="3"/>
    <cellStyle name="常规 2 2 2" xfId="16"/>
    <cellStyle name="常规 2 2 2 2 3" xfId="12"/>
    <cellStyle name="常规 2 3" xfId="20"/>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常规 9 3" xfId="24"/>
    <cellStyle name="超链接 2" xfId="25"/>
    <cellStyle name="强调文字颜色 2 2 2_Sheet1_2_Sheet1_1" xfId="26"/>
    <cellStyle name="强调文字颜色 5 2 2" xfId="27"/>
    <cellStyle name="强调文字颜色 6 2 2" xfId="28"/>
    <cellStyle name="输入 2 2_Sheet1_5" xfId="29"/>
  </cellStyles>
  <dxfs count="21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351524</xdr:colOff>
      <xdr:row>16</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09524" cy="2838450"/>
        </a:xfrm>
        <a:prstGeom prst="rect">
          <a:avLst/>
        </a:prstGeom>
      </xdr:spPr>
    </xdr:pic>
    <xdr:clientData/>
  </xdr:twoCellAnchor>
  <xdr:twoCellAnchor editAs="oneCell">
    <xdr:from>
      <xdr:col>0</xdr:col>
      <xdr:colOff>0</xdr:colOff>
      <xdr:row>17</xdr:row>
      <xdr:rowOff>0</xdr:rowOff>
    </xdr:from>
    <xdr:to>
      <xdr:col>7</xdr:col>
      <xdr:colOff>532734</xdr:colOff>
      <xdr:row>45</xdr:row>
      <xdr:rowOff>94638</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914650"/>
          <a:ext cx="5333334" cy="4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5253;&#21578;\&#27861;&#38498;\2019-1-0288&#21271;&#20140;&#24066;&#24576;&#26580;&#21306;&#27827;&#38450;&#21475;&#26449;&#21335;&#65288;&#20852;&#21457;&#27700;&#27877;&#21378;&#65289;\&#25105;\&#27979;&#31639;&#8212;&#8212;&#27719;&#24635;-&#2647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5253;&#21578;\0&#20303;&#20445;&#21150;&#25910;&#20648;&#35810;&#20215;\8\8.&#29976;&#38706;&#22253;&#39033;&#30446;&#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yanghongying1\&#20849;&#20139;&#25991;&#26723;\1.&#24120;&#30021;\&#26124;&#24179;&#25910;&#206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row r="6">
          <cell r="Q6">
            <v>1.29E-2</v>
          </cell>
        </row>
        <row r="11">
          <cell r="Q11">
            <v>1.72E-2</v>
          </cell>
        </row>
        <row r="12">
          <cell r="Q12">
            <v>1.6799999999999999E-2</v>
          </cell>
        </row>
        <row r="13">
          <cell r="Q13">
            <v>1.5800000000000002E-2</v>
          </cell>
        </row>
      </sheetData>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sheetData sheetId="1"/>
      <sheetData sheetId="2"/>
      <sheetData sheetId="3">
        <row r="7">
          <cell r="H7">
            <v>109.08</v>
          </cell>
        </row>
      </sheetData>
      <sheetData sheetId="4">
        <row r="6">
          <cell r="H6">
            <v>101.33</v>
          </cell>
        </row>
      </sheetData>
      <sheetData sheetId="5">
        <row r="6">
          <cell r="H6">
            <v>110.5</v>
          </cell>
        </row>
      </sheetData>
      <sheetData sheetId="6">
        <row r="6">
          <cell r="H6">
            <v>102</v>
          </cell>
        </row>
      </sheetData>
      <sheetData sheetId="7">
        <row r="6">
          <cell r="H6">
            <v>98.25</v>
          </cell>
        </row>
      </sheetData>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地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地图"/>
      <sheetName val="土地比较法"/>
    </sheetNames>
    <sheetDataSet>
      <sheetData sheetId="0"/>
      <sheetData sheetId="1"/>
      <sheetData sheetId="2"/>
      <sheetData sheetId="3"/>
      <sheetData sheetId="4"/>
      <sheetData sheetId="5"/>
      <sheetData sheetId="6"/>
      <sheetData sheetId="7"/>
      <sheetData sheetId="8"/>
      <sheetData sheetId="9"/>
      <sheetData sheetId="10">
        <row r="3">
          <cell r="A3">
            <v>245539.3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C23" sqref="C23"/>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出让国有建设用地使用权预评估</v>
      </c>
      <c r="AX2" s="2852"/>
      <c r="AZ2" s="2852"/>
      <c r="BA2" s="2853"/>
      <c r="BC2" s="2853"/>
    </row>
    <row r="3" spans="1:55" s="2854" customFormat="1">
      <c r="A3" s="2833" t="s">
        <v>2657</v>
      </c>
      <c r="B3" s="2836">
        <f>'预评函-封皮'!B40</f>
        <v>0</v>
      </c>
    </row>
    <row r="4" spans="1:55" s="2835" customFormat="1">
      <c r="A4" s="2833" t="s">
        <v>2658</v>
      </c>
      <c r="B4" s="2834" t="str">
        <f>'预评函-封皮'!B46</f>
        <v>陈颖、叶凌</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康正预评字号</v>
      </c>
    </row>
    <row r="6" spans="1:55" s="2857" customFormat="1" ht="15" thickTop="1">
      <c r="A6" s="2849" t="s">
        <v>2701</v>
      </c>
      <c r="B6" s="2850" t="str">
        <f>'预评函-1'!A4</f>
        <v>受贵公司委托，我公司对出让国有建设用地使用权进行了预评估。</v>
      </c>
      <c r="AM6" s="2858"/>
    </row>
    <row r="7" spans="1:55" s="2832" customFormat="1">
      <c r="A7" s="2833" t="s">
        <v>2653</v>
      </c>
      <c r="B7" s="2834" t="str">
        <f>'预评函-1'!A6</f>
        <v>估价对象为使用的、位于出让国有建设用地使用权。根据《国有土地使用证》[]，估价对象（分摊）出让国有建设用地使用权面积为245539.3平方米。根据《建设工程规划许可证》[]、《出让合同》[]，估价对象规划建筑面积为245539.3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本次评估为委托估价方了解标的物之市场价格提供参考依据而评估出让国有建设用地使用权市场价格。</v>
      </c>
    </row>
    <row r="10" spans="1:55" s="2832" customFormat="1">
      <c r="A10" s="2833" t="s">
        <v>2655</v>
      </c>
      <c r="B10" s="2834" t="str">
        <f>'预评函-1'!A11</f>
        <v>2020年5月8日（评估专业人员勘察现场之日）</v>
      </c>
    </row>
    <row r="11" spans="1:55" s="2832" customFormat="1">
      <c r="A11" s="2833" t="s">
        <v>2661</v>
      </c>
      <c r="B11" s="2834" t="str">
        <f>'预评函-1'!A14</f>
        <v>根据《国有土地使用证》[]，本次评估估价对象证载（地类）用途为。</v>
      </c>
    </row>
    <row r="12" spans="1:55" s="2832" customFormat="1">
      <c r="A12" s="2833" t="s">
        <v>2662</v>
      </c>
      <c r="B12" s="2834" t="str">
        <f>'预评函-1'!A15</f>
        <v>本次评估设定用途即为证载用途。</v>
      </c>
    </row>
    <row r="13" spans="1:55" s="2832" customFormat="1">
      <c r="A13" s="2833" t="s">
        <v>2663</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根据《国有土地使用证》[]，估价对象（分摊）出让国有建设用地使用权面积为245539.3平方米。根据《建设工程规划许可证》[]、《出让合同》[]，估价对象规划建筑面积为245539.3平方米。</v>
      </c>
    </row>
    <row r="16" spans="1:55" s="2832" customFormat="1">
      <c r="A16" s="2833" t="s">
        <v>2665</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2057年8月7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2020年5月8日，在规划利用条件下、设定土地开发程度为红线外“七通”、宗地内场地，设定用途为，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2669</v>
      </c>
      <c r="B20" s="2834" t="str">
        <f>'预评函-1'!A27</f>
        <v>——</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估价期日：2020年5月8日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f>'预评函-2'!E5</f>
        <v>0</v>
      </c>
      <c r="AV32" s="2838"/>
    </row>
    <row r="33" spans="1:2">
      <c r="A33" s="2833" t="s">
        <v>2709</v>
      </c>
      <c r="B33" s="2834">
        <f>'预评函-2'!F5</f>
        <v>258</v>
      </c>
    </row>
    <row r="34" spans="1:2">
      <c r="A34" s="2833" t="s">
        <v>2710</v>
      </c>
      <c r="B34" s="2834">
        <f>'预评函-2'!G5</f>
        <v>0</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v>
      </c>
    </row>
    <row r="39" spans="1:2">
      <c r="A39" s="2833" t="s">
        <v>2715</v>
      </c>
      <c r="B39" s="2834" t="str">
        <f>'预评函-2'!L5</f>
        <v>红线外七通、宗地红线内场地</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245539.3</v>
      </c>
    </row>
    <row r="44" spans="1:2">
      <c r="A44" s="2833" t="s">
        <v>2736</v>
      </c>
      <c r="B44" s="2834" t="str">
        <f>'预评函-2'!O3</f>
        <v>规划建筑面积/㎡</v>
      </c>
    </row>
    <row r="45" spans="1:2">
      <c r="A45" s="2833" t="s">
        <v>2718</v>
      </c>
      <c r="B45" s="2834">
        <f>'预评函-2'!O5</f>
        <v>245539.3</v>
      </c>
    </row>
    <row r="46" spans="1:2">
      <c r="A46" s="2833" t="s">
        <v>2719</v>
      </c>
      <c r="B46" s="2834">
        <f ca="1">'预评函-2'!P5</f>
        <v>3502</v>
      </c>
    </row>
    <row r="47" spans="1:2">
      <c r="A47" s="2833" t="s">
        <v>2720</v>
      </c>
      <c r="B47" s="2834">
        <f ca="1">'预评函-2'!Q5</f>
        <v>3502</v>
      </c>
    </row>
    <row r="48" spans="1:2">
      <c r="A48" s="2833" t="s">
        <v>2721</v>
      </c>
      <c r="B48" s="2834">
        <f ca="1">'预评函-2'!R5</f>
        <v>85991</v>
      </c>
    </row>
    <row r="49" spans="1:2">
      <c r="A49" s="2833" t="s">
        <v>2737</v>
      </c>
      <c r="B49" s="2834" t="str">
        <f>'预评函-2'!A6</f>
        <v>抵押价格</v>
      </c>
    </row>
    <row r="50" spans="1:2">
      <c r="A50" s="2833" t="s">
        <v>2722</v>
      </c>
      <c r="B50" s="2834" t="str">
        <f>'预评函-2'!R6</f>
        <v>——</v>
      </c>
    </row>
    <row r="51" spans="1:2">
      <c r="A51" s="2833" t="s">
        <v>2738</v>
      </c>
      <c r="B51" s="2834" t="str">
        <f>'预评函-2'!A7</f>
        <v>——</v>
      </c>
    </row>
    <row r="52" spans="1:2">
      <c r="A52" s="2833" t="s">
        <v>2723</v>
      </c>
      <c r="B52" s="2834" t="str">
        <f>'预评函-2'!R7</f>
        <v>——</v>
      </c>
    </row>
    <row r="53" spans="1:2">
      <c r="A53" s="2833" t="s">
        <v>2739</v>
      </c>
      <c r="B53" s="2834">
        <f>'预评函-2'!A8</f>
        <v>0</v>
      </c>
    </row>
    <row r="54" spans="1:2" s="2848" customFormat="1" ht="15" thickBot="1">
      <c r="A54" s="2855" t="s">
        <v>2724</v>
      </c>
      <c r="B54" s="2856" t="str">
        <f>'预评函-2'!R8</f>
        <v>——</v>
      </c>
    </row>
    <row r="55" spans="1:2" ht="15" thickTop="1">
      <c r="A55" s="2844" t="s">
        <v>2674</v>
      </c>
      <c r="B55" s="2845" t="str">
        <f>'预评函-3'!A2</f>
        <v>1.权利限制：根据估价对象《不动产权证书》原件、《国有土地使用权》复印件，截至估价期日，估价对象抵押权未见登记。未设定租赁等其他他项权利。</v>
      </c>
    </row>
    <row r="56" spans="1:2">
      <c r="A56" s="2833" t="s">
        <v>2675</v>
      </c>
      <c r="B56" s="2834" t="str">
        <f>'预评函-3'!A3</f>
        <v>2.基础设施条件：估价对象实际开发程度为红线外七通、宗地红线内；本次评估设定开发程度为红线外七通、宗地红线内场地。</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2.本次评估设定估价对象宗地权属无争议，未被查封或者以其他形式限制其房地产权利，未设定抵押权等他项权利，不涉及第三方权利义务。</v>
      </c>
    </row>
    <row r="60" spans="1:2">
      <c r="A60" s="2833" t="s">
        <v>2678</v>
      </c>
      <c r="B60" s="2834" t="str">
        <f>'预评函-3'!A9</f>
        <v>——</v>
      </c>
    </row>
    <row r="61" spans="1:2">
      <c r="A61" s="2833" t="s">
        <v>2680</v>
      </c>
      <c r="B61" s="2834" t="str">
        <f>'预评函-3'!A10</f>
        <v>——</v>
      </c>
    </row>
    <row r="62" spans="1:2">
      <c r="A62" s="2833" t="s">
        <v>2679</v>
      </c>
      <c r="B62" s="2834" t="str">
        <f>'预评函-3'!A11</f>
        <v>——</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v>
      </c>
    </row>
    <row r="66" spans="1:2">
      <c r="A66" s="2833" t="s">
        <v>2684</v>
      </c>
      <c r="B66" s="284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陈颖</v>
      </c>
    </row>
    <row r="70" spans="1:2">
      <c r="A70" s="2833" t="s">
        <v>2686</v>
      </c>
      <c r="B70" s="2840">
        <f ca="1">'预评函-3'!B20</f>
        <v>2004110096</v>
      </c>
    </row>
    <row r="71" spans="1:2">
      <c r="A71" s="2833" t="s">
        <v>2687</v>
      </c>
      <c r="B71" s="2834" t="str">
        <f>'预评函-3'!A21</f>
        <v>叶凌</v>
      </c>
    </row>
    <row r="72" spans="1:2" s="2848" customFormat="1" ht="15" thickBot="1">
      <c r="A72" s="2855" t="s">
        <v>2687</v>
      </c>
      <c r="B72" s="2861">
        <f ca="1">'预评函-3'!B21</f>
        <v>94010078</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2782</v>
      </c>
      <c r="B76" s="284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369" t="str">
        <f>IF(B10="北京市","北京市",C10)&amp;F10&amp;B16&amp;"国有建设用地使用权"&amp;B9&amp;"预评估"</f>
        <v>出让国有建设用地使用权预评估</v>
      </c>
      <c r="C1" s="3370"/>
      <c r="D1" s="3370"/>
      <c r="E1" s="3370"/>
      <c r="F1" s="3370"/>
      <c r="G1" s="3370"/>
      <c r="H1" s="3370"/>
      <c r="I1" s="3371"/>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1937</v>
      </c>
      <c r="B3" s="1646">
        <v>43959</v>
      </c>
      <c r="C3" s="1647" t="s">
        <v>1993</v>
      </c>
      <c r="D3" s="1646">
        <f>B3</f>
        <v>43959</v>
      </c>
      <c r="E3" s="1678"/>
      <c r="F3" s="1678"/>
      <c r="G3" s="1678"/>
      <c r="H3" s="1644"/>
      <c r="I3" s="1679"/>
      <c r="J3" s="1678"/>
      <c r="K3" s="1758"/>
      <c r="L3" s="1707"/>
      <c r="M3" s="1707"/>
      <c r="N3" s="1678"/>
      <c r="O3" s="1679"/>
      <c r="P3" s="1678"/>
      <c r="Q3" s="1678"/>
      <c r="R3" s="1678"/>
      <c r="S3" s="1678"/>
      <c r="T3" s="1678"/>
      <c r="U3" s="1678"/>
    </row>
    <row r="4" spans="1:21" ht="15" thickBot="1">
      <c r="A4" s="1648" t="s">
        <v>1938</v>
      </c>
      <c r="B4" s="1827" t="s">
        <v>2995</v>
      </c>
      <c r="C4" s="1830">
        <f ca="1">SUMIF(土地估价师,B4,估价师及机构信息!E3:E24)</f>
        <v>2004110096</v>
      </c>
      <c r="D4" s="1827" t="s">
        <v>2996</v>
      </c>
      <c r="E4" s="1830">
        <f ca="1">SUMIF(土地估价师,D4,估价师及机构信息!E3:E24)</f>
        <v>94010078</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陈颖、叶凌</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2982</v>
      </c>
      <c r="C8" s="1655"/>
      <c r="D8" s="3375" t="s">
        <v>1942</v>
      </c>
      <c r="E8" s="1828"/>
      <c r="F8" s="1656"/>
      <c r="G8" s="1644"/>
      <c r="H8" s="1644"/>
      <c r="I8" s="1691"/>
      <c r="J8" s="1678"/>
      <c r="K8" s="1758"/>
      <c r="L8" s="1707"/>
      <c r="M8" s="1707"/>
      <c r="N8" s="1678"/>
      <c r="O8" s="1679"/>
      <c r="P8" s="1678"/>
      <c r="Q8" s="1678"/>
      <c r="R8" s="1678"/>
      <c r="S8" s="1678"/>
      <c r="T8" s="1678"/>
      <c r="U8" s="1678"/>
    </row>
    <row r="9" spans="1:21" ht="15" thickBot="1">
      <c r="A9" s="1657" t="s">
        <v>1941</v>
      </c>
      <c r="B9" s="1658"/>
      <c r="C9" s="1659"/>
      <c r="D9" s="3376"/>
      <c r="E9" s="1658"/>
      <c r="F9" s="1731"/>
      <c r="G9" s="1726"/>
      <c r="H9" s="1726"/>
      <c r="I9" s="1727"/>
      <c r="J9" s="1678"/>
      <c r="K9" s="1758"/>
      <c r="L9" s="1707"/>
      <c r="M9" s="1707"/>
      <c r="N9" s="1678"/>
      <c r="O9" s="1679"/>
      <c r="P9" s="1678"/>
      <c r="Q9" s="1678"/>
      <c r="R9" s="1678"/>
      <c r="S9" s="1678"/>
      <c r="T9" s="1678"/>
      <c r="U9" s="1678"/>
    </row>
    <row r="10" spans="1:21" ht="15" thickTop="1">
      <c r="A10" s="1728" t="s">
        <v>1997</v>
      </c>
      <c r="B10" s="1703"/>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372"/>
      <c r="C12" s="3373"/>
      <c r="D12" s="3374"/>
      <c r="E12" s="1683" t="s">
        <v>2059</v>
      </c>
      <c r="F12" s="3390" t="s">
        <v>2884</v>
      </c>
      <c r="G12" s="3391"/>
      <c r="H12" s="3391"/>
      <c r="I12" s="3392"/>
      <c r="J12" s="1678"/>
      <c r="K12" s="1758"/>
      <c r="L12" s="1707"/>
      <c r="M12" s="1707"/>
      <c r="N12" s="1678"/>
      <c r="O12" s="1679"/>
      <c r="P12" s="1678"/>
      <c r="Q12" s="1678"/>
      <c r="R12" s="1678"/>
      <c r="S12" s="1678"/>
      <c r="T12" s="1678"/>
      <c r="U12" s="1678"/>
    </row>
    <row r="13" spans="1:21">
      <c r="A13" s="1671" t="s">
        <v>2057</v>
      </c>
      <c r="B13" s="3372"/>
      <c r="C13" s="3373"/>
      <c r="D13" s="3374"/>
      <c r="E13" s="1683" t="s">
        <v>2059</v>
      </c>
      <c r="F13" s="3390" t="s">
        <v>2885</v>
      </c>
      <c r="G13" s="3391"/>
      <c r="H13" s="3391"/>
      <c r="I13" s="3392"/>
      <c r="J13" s="1678"/>
      <c r="K13" s="1758"/>
      <c r="L13" s="1707"/>
      <c r="M13" s="1707"/>
      <c r="N13" s="1678"/>
      <c r="O13" s="1679"/>
      <c r="P13" s="1678"/>
      <c r="Q13" s="1678"/>
      <c r="R13" s="1678"/>
      <c r="S13" s="1678"/>
      <c r="T13" s="1678"/>
      <c r="U13" s="1678"/>
    </row>
    <row r="14" spans="1:21">
      <c r="A14" s="1645" t="s">
        <v>2060</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28.5">
      <c r="A16" s="1664" t="s">
        <v>1945</v>
      </c>
      <c r="B16" s="1665" t="s">
        <v>2982</v>
      </c>
      <c r="C16" s="1683" t="s">
        <v>1946</v>
      </c>
      <c r="D16" s="2610" t="s">
        <v>1947</v>
      </c>
      <c r="E16" s="1706"/>
      <c r="F16" s="1706"/>
      <c r="G16" s="1706"/>
      <c r="H16" s="1706"/>
      <c r="I16" s="1670" t="s">
        <v>1952</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工业2057年8月7日</v>
      </c>
    </row>
    <row r="17" spans="1:21">
      <c r="A17" s="1747"/>
      <c r="B17" s="1666"/>
      <c r="C17" s="1667" t="s">
        <v>1953</v>
      </c>
      <c r="D17" s="1684"/>
      <c r="E17" s="1684"/>
      <c r="F17" s="1684"/>
      <c r="G17" s="1684"/>
      <c r="H17" s="1684"/>
      <c r="I17" s="1684">
        <v>57564</v>
      </c>
      <c r="J17" s="1678"/>
      <c r="K17" s="2419" t="str">
        <f>CONCATENATE(K16,L16,M16,N16,O16,P16,Q16,R16,S16,T16,,U16)</f>
        <v>工业2057年8月7日</v>
      </c>
      <c r="L17" s="1707"/>
      <c r="M17" s="1707"/>
      <c r="N17" s="1678"/>
      <c r="O17" s="1679"/>
      <c r="P17" s="1678"/>
      <c r="Q17" s="1678"/>
      <c r="R17" s="1678"/>
      <c r="S17" s="1678"/>
      <c r="T17" s="1678"/>
      <c r="U17" s="1678"/>
    </row>
    <row r="18" spans="1:21">
      <c r="A18" s="1747"/>
      <c r="B18" s="1666"/>
      <c r="C18" s="1667" t="s">
        <v>1954</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1955</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37.270000000000003</v>
      </c>
      <c r="J19" s="1678"/>
      <c r="K19" s="1758"/>
      <c r="L19" s="1707"/>
      <c r="M19" s="1707"/>
      <c r="N19" s="1678"/>
      <c r="O19" s="1679"/>
      <c r="P19" s="1678"/>
      <c r="Q19" s="1678"/>
      <c r="R19" s="1678"/>
      <c r="S19" s="1678"/>
      <c r="T19" s="1678"/>
      <c r="U19" s="1678"/>
    </row>
    <row r="20" spans="1:21">
      <c r="A20" s="1770"/>
      <c r="B20" s="1771"/>
      <c r="C20" s="1772" t="s">
        <v>2058</v>
      </c>
      <c r="D20" s="3387"/>
      <c r="E20" s="3388"/>
      <c r="F20" s="3388"/>
      <c r="G20" s="3388"/>
      <c r="H20" s="3388"/>
      <c r="I20" s="3389"/>
      <c r="J20" s="1678"/>
      <c r="K20" s="1758"/>
      <c r="L20" s="1707"/>
      <c r="M20" s="1707"/>
      <c r="N20" s="1678"/>
      <c r="O20" s="1679"/>
      <c r="P20" s="1678"/>
      <c r="Q20" s="1678"/>
      <c r="R20" s="1678"/>
      <c r="S20" s="1678"/>
      <c r="T20" s="1678"/>
      <c r="U20" s="1678"/>
    </row>
    <row r="21" spans="1:21">
      <c r="A21" s="1747" t="s">
        <v>1956</v>
      </c>
      <c r="B21" s="1748" t="s">
        <v>1957</v>
      </c>
      <c r="C21" s="1743">
        <f>'数据-汇总表'!E3</f>
        <v>245539.3</v>
      </c>
      <c r="D21" s="1744" t="s">
        <v>1958</v>
      </c>
      <c r="E21" s="3377" t="s">
        <v>1996</v>
      </c>
      <c r="F21" s="3378"/>
      <c r="G21" s="3378"/>
      <c r="H21" s="3378"/>
      <c r="I21" s="3379"/>
      <c r="J21" s="1678"/>
      <c r="K21" s="1758"/>
      <c r="L21" s="1707"/>
      <c r="M21" s="1707"/>
      <c r="N21" s="1678"/>
      <c r="O21" s="1679"/>
      <c r="P21" s="1678"/>
      <c r="Q21" s="1678"/>
      <c r="R21" s="1678"/>
      <c r="S21" s="1678"/>
      <c r="T21" s="1678"/>
      <c r="U21" s="1678"/>
    </row>
    <row r="22" spans="1:21">
      <c r="A22" s="3097" t="s">
        <v>952</v>
      </c>
      <c r="B22" s="1645" t="s">
        <v>1959</v>
      </c>
      <c r="C22" s="1670">
        <f>'数据-汇总表'!D3</f>
        <v>245539.3</v>
      </c>
      <c r="D22" s="1671" t="s">
        <v>1958</v>
      </c>
      <c r="E22" s="3377" t="s">
        <v>2886</v>
      </c>
      <c r="F22" s="3378"/>
      <c r="G22" s="3378"/>
      <c r="H22" s="3378"/>
      <c r="I22" s="3379"/>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380" t="s">
        <v>1964</v>
      </c>
      <c r="C24" s="3381"/>
      <c r="D24" s="3382" t="s">
        <v>1965</v>
      </c>
      <c r="E24" s="3383"/>
      <c r="F24" s="1692" t="s">
        <v>1966</v>
      </c>
      <c r="G24" s="1678"/>
      <c r="H24" s="1678"/>
      <c r="I24" s="1691"/>
      <c r="J24" s="1678"/>
      <c r="K24" s="3368"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2322</v>
      </c>
      <c r="C25" s="1693" t="s">
        <v>1968</v>
      </c>
      <c r="D25" s="1694"/>
      <c r="E25" s="1695" t="s">
        <v>952</v>
      </c>
      <c r="F25" s="1696"/>
      <c r="G25" s="1678"/>
      <c r="H25" s="1678"/>
      <c r="I25" s="1691"/>
      <c r="J25" s="1678"/>
      <c r="K25" s="3368"/>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2323</v>
      </c>
      <c r="D26" s="1644"/>
      <c r="E26" s="1644"/>
      <c r="F26" s="1672"/>
      <c r="G26" s="1678"/>
      <c r="H26" s="1678"/>
      <c r="I26" s="1691"/>
      <c r="J26" s="1678"/>
      <c r="K26" s="3368"/>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354" t="s">
        <v>1999</v>
      </c>
      <c r="B31" s="1748" t="s">
        <v>2000</v>
      </c>
      <c r="C31" s="3393"/>
      <c r="D31" s="3394"/>
      <c r="E31" s="1678"/>
      <c r="F31" s="1678"/>
      <c r="G31" s="1678"/>
      <c r="H31" s="1678"/>
      <c r="I31" s="1691"/>
      <c r="J31" s="1678"/>
      <c r="K31" s="2422"/>
      <c r="L31" s="1678"/>
      <c r="M31" s="1678"/>
      <c r="N31" s="1678"/>
      <c r="O31" s="1678"/>
      <c r="P31" s="1678"/>
      <c r="Q31" s="1678"/>
      <c r="R31" s="1678"/>
      <c r="S31" s="1678"/>
      <c r="T31" s="1678"/>
      <c r="U31" s="1678"/>
    </row>
    <row r="32" spans="1:21">
      <c r="A32" s="3354"/>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354"/>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355"/>
      <c r="B34" s="1645" t="s">
        <v>2003</v>
      </c>
      <c r="C34" s="3356"/>
      <c r="D34" s="3357"/>
      <c r="E34" s="1678"/>
      <c r="F34" s="1678"/>
      <c r="G34" s="1678"/>
      <c r="H34" s="1678"/>
      <c r="I34" s="1691"/>
      <c r="J34" s="1678"/>
      <c r="K34" s="2422"/>
      <c r="L34" s="1678"/>
      <c r="M34" s="1678"/>
      <c r="N34" s="1678"/>
      <c r="O34" s="1678"/>
      <c r="P34" s="1678"/>
      <c r="Q34" s="1678"/>
      <c r="R34" s="1678"/>
      <c r="S34" s="1678"/>
      <c r="T34" s="1678"/>
      <c r="U34" s="1678"/>
    </row>
    <row r="35" spans="1:21">
      <c r="A35" s="3358" t="s">
        <v>847</v>
      </c>
      <c r="B35" s="1706"/>
      <c r="C35" s="1760" t="str">
        <f>IF(B35="场地平整","——","具体情况：")</f>
        <v>具体情况：</v>
      </c>
      <c r="D35" s="3360"/>
      <c r="E35" s="3361"/>
      <c r="F35" s="3361"/>
      <c r="G35" s="3361"/>
      <c r="H35" s="3361"/>
      <c r="I35" s="3362"/>
      <c r="J35" s="1678"/>
      <c r="K35" s="1759"/>
      <c r="L35" s="1707"/>
      <c r="M35" s="1707"/>
      <c r="N35" s="1678"/>
      <c r="O35" s="1679"/>
      <c r="P35" s="1678"/>
      <c r="Q35" s="1678"/>
      <c r="R35" s="1678"/>
      <c r="S35" s="1678"/>
      <c r="T35" s="1678"/>
      <c r="U35" s="1678"/>
    </row>
    <row r="36" spans="1:21">
      <c r="A36" s="3354"/>
      <c r="B36" s="3363" t="s">
        <v>2052</v>
      </c>
      <c r="C36" s="3364"/>
      <c r="D36" s="1776"/>
      <c r="E36" s="3365"/>
      <c r="F36" s="3365"/>
      <c r="G36" s="1671" t="str">
        <f>IF(B35="场地未平整","估价结果处理","")</f>
        <v/>
      </c>
      <c r="H36" s="3366"/>
      <c r="I36" s="3366"/>
      <c r="J36" s="1678"/>
      <c r="K36" s="1759"/>
      <c r="L36" s="1707"/>
      <c r="M36" s="1707"/>
      <c r="N36" s="1678"/>
      <c r="O36" s="1679"/>
      <c r="P36" s="1678"/>
      <c r="Q36" s="1678"/>
      <c r="R36" s="1678"/>
      <c r="S36" s="1678"/>
      <c r="T36" s="1678"/>
      <c r="U36" s="1678"/>
    </row>
    <row r="37" spans="1:21" ht="28.5">
      <c r="A37" s="3354"/>
      <c r="B37" s="3384"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354"/>
      <c r="B38" s="3385"/>
      <c r="C38" s="1653" t="s">
        <v>850</v>
      </c>
      <c r="D38" s="1775">
        <f>ROUNDDOWN(MIN(('数据-取费表'!$B$2-D37)/365,D34),1)</f>
        <v>120.4</v>
      </c>
      <c r="E38" s="1711" t="s">
        <v>851</v>
      </c>
      <c r="F38" s="1678"/>
      <c r="G38" s="1678"/>
      <c r="H38" s="1678"/>
      <c r="I38" s="1691"/>
      <c r="J38" s="1678"/>
      <c r="K38" s="1759"/>
      <c r="L38" s="1678"/>
      <c r="M38" s="1678"/>
      <c r="N38" s="1678"/>
      <c r="O38" s="1678"/>
      <c r="P38" s="1678"/>
      <c r="Q38" s="1678"/>
      <c r="R38" s="1678"/>
      <c r="S38" s="1678"/>
      <c r="T38" s="1678"/>
      <c r="U38" s="1678"/>
    </row>
    <row r="39" spans="1:21">
      <c r="A39" s="3355"/>
      <c r="B39" s="3386"/>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367" t="s">
        <v>1983</v>
      </c>
      <c r="T40" s="1715" t="str">
        <f>NUMBERSTRING(7-K40,1)&amp;"通"</f>
        <v>七通</v>
      </c>
      <c r="U40" s="1678"/>
    </row>
    <row r="41" spans="1:21">
      <c r="A41" s="1647"/>
      <c r="B41" s="3359" t="s">
        <v>1721</v>
      </c>
      <c r="C41" s="3359"/>
      <c r="D41" s="3359"/>
      <c r="E41" s="3359"/>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367"/>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t="s">
        <v>1413</v>
      </c>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t="s">
        <v>3000</v>
      </c>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2887</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5" t="s">
        <v>0</v>
      </c>
      <c r="B1" s="3395" t="s">
        <v>4</v>
      </c>
      <c r="C1" s="3395" t="s">
        <v>5</v>
      </c>
      <c r="D1" s="3396" t="s">
        <v>40</v>
      </c>
      <c r="E1" s="3396" t="s">
        <v>41</v>
      </c>
      <c r="F1" s="3396"/>
      <c r="G1" s="3396"/>
      <c r="H1" s="3396"/>
      <c r="I1" s="3396"/>
      <c r="J1" s="3396"/>
      <c r="K1" s="3396"/>
      <c r="L1" s="3396"/>
      <c r="M1" s="3396"/>
    </row>
    <row r="2" spans="1:13" ht="27" customHeight="1">
      <c r="A2" s="3395"/>
      <c r="B2" s="3395"/>
      <c r="C2" s="3395"/>
      <c r="D2" s="3396"/>
      <c r="E2" s="3396" t="s">
        <v>24</v>
      </c>
      <c r="F2" s="3396" t="s">
        <v>25</v>
      </c>
      <c r="G2" s="3396"/>
      <c r="H2" s="3396"/>
      <c r="I2" s="3396"/>
      <c r="J2" s="3396" t="s">
        <v>26</v>
      </c>
      <c r="K2" s="3396"/>
      <c r="L2" s="3396"/>
      <c r="M2" s="3396"/>
    </row>
    <row r="3" spans="1:13" ht="28.5">
      <c r="A3" s="3395"/>
      <c r="B3" s="3395"/>
      <c r="C3" s="3395"/>
      <c r="D3" s="3396"/>
      <c r="E3" s="33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6" t="s">
        <v>42</v>
      </c>
      <c r="B9" s="3396"/>
      <c r="C9" s="33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245539.3</v>
      </c>
      <c r="B3" s="22">
        <f>IF(C3="否",G5-AT5,G5)</f>
        <v>245539.3</v>
      </c>
      <c r="C3" s="23" t="s">
        <v>952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245539.3</v>
      </c>
      <c r="H5" s="27">
        <f t="shared" ref="H5:AT5" si="0">SUM(H13:H641)</f>
        <v>245539.3</v>
      </c>
      <c r="I5" s="27">
        <f t="shared" si="0"/>
        <v>245539.3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245539.3</v>
      </c>
      <c r="BA5" s="29">
        <f t="shared" si="1"/>
        <v>245539.3</v>
      </c>
      <c r="BB5" s="29">
        <f t="shared" si="1"/>
        <v>245539.3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245539.3</v>
      </c>
      <c r="F6" s="27" t="s">
        <v>1</v>
      </c>
      <c r="G6" s="27" t="s">
        <v>2</v>
      </c>
      <c r="H6" s="33">
        <f>SUMIF(I$12:AB$12,"总值",I6:AB6)</f>
        <v>245539.3</v>
      </c>
      <c r="I6" s="27">
        <f t="shared" ref="I6:AB6" si="2">ROUND($A$3*I5/$B$3,2)</f>
        <v>245539.3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245539.3</v>
      </c>
      <c r="AZ6" s="27" t="s">
        <v>3</v>
      </c>
      <c r="BA6" s="27">
        <f>ROUND($AY$6*BA5/$AZ$5,2)</f>
        <v>245539.3</v>
      </c>
      <c r="BB6" s="27">
        <f>ROUND($AY$6*BB5/$AZ$5,2)</f>
        <v>245539.3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3210</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981</v>
      </c>
      <c r="J10" s="51"/>
      <c r="K10" s="2973"/>
      <c r="L10" s="51"/>
      <c r="M10" s="2973"/>
      <c r="N10" s="51"/>
      <c r="O10" s="66"/>
      <c r="P10" s="51"/>
      <c r="Q10" s="66"/>
      <c r="R10" s="51"/>
      <c r="S10" s="66"/>
      <c r="T10" s="51"/>
      <c r="U10" s="66"/>
      <c r="V10" s="51"/>
      <c r="W10" s="66"/>
      <c r="X10" s="51"/>
      <c r="Y10" s="66"/>
      <c r="Z10" s="51"/>
      <c r="AA10" s="66"/>
      <c r="AB10" s="51"/>
      <c r="AC10" s="55"/>
      <c r="AD10" s="2299" t="s">
        <v>2314</v>
      </c>
      <c r="AE10" s="2321"/>
      <c r="AF10" s="2299" t="s">
        <v>2314</v>
      </c>
      <c r="AG10" s="2321"/>
      <c r="AH10" s="2299" t="s">
        <v>2315</v>
      </c>
      <c r="AI10" s="2321"/>
      <c r="AJ10" s="26" t="s">
        <v>2328</v>
      </c>
      <c r="AK10" s="2318"/>
      <c r="AL10" s="2299" t="s">
        <v>2316</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245539.3</v>
      </c>
      <c r="F13" s="81"/>
      <c r="G13" s="82">
        <f t="shared" ref="G13:G20" si="7">H13+AC13+AT13</f>
        <v>245539.3</v>
      </c>
      <c r="H13" s="33">
        <f t="shared" ref="H13:H20" si="8">SUMIF(I$12:AB$12,"总值",I13:AB13)</f>
        <v>245539.3</v>
      </c>
      <c r="I13" s="2970">
        <f>A3</f>
        <v>245539.3</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245539.3</v>
      </c>
      <c r="AZ13" s="27">
        <f t="shared" ref="AZ13:AZ20" si="12">BA13+BL13</f>
        <v>245539.3</v>
      </c>
      <c r="BA13" s="27">
        <f t="shared" ref="BA13:BA20" si="13">SUM(BB13:BK13)</f>
        <v>245539.3</v>
      </c>
      <c r="BB13" s="27">
        <f t="shared" ref="BB13:BB20" si="14">IF($D13="是",I13-J13,0)</f>
        <v>245539.3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0" sqref="C2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406" t="s">
        <v>203</v>
      </c>
      <c r="B2" s="3406"/>
      <c r="C2" s="3406"/>
      <c r="D2" s="1960" t="s">
        <v>204</v>
      </c>
      <c r="E2" s="106" t="s">
        <v>205</v>
      </c>
      <c r="F2" s="1969"/>
      <c r="G2" s="1194"/>
      <c r="H2" s="1195"/>
      <c r="I2" s="1196" t="s">
        <v>857</v>
      </c>
      <c r="J2" s="1969"/>
      <c r="K2" s="1969"/>
      <c r="L2" s="1969"/>
    </row>
    <row r="3" spans="1:16" ht="15.75" thickBot="1">
      <c r="A3" s="3407" t="s">
        <v>206</v>
      </c>
      <c r="B3" s="3407"/>
      <c r="C3" s="3407"/>
      <c r="D3" s="107">
        <f>'数据-基础表'!AY6</f>
        <v>245539.3</v>
      </c>
      <c r="E3" s="107">
        <f>'数据-基础表'!AZ5</f>
        <v>245539.3</v>
      </c>
      <c r="F3" s="1969"/>
      <c r="G3" s="280" t="s">
        <v>858</v>
      </c>
      <c r="H3" s="275" t="s">
        <v>859</v>
      </c>
      <c r="I3" s="1961">
        <f>ROUND('数据-基础表'!B3/'数据-基础表'!A3,2)</f>
        <v>1</v>
      </c>
      <c r="J3" s="1969"/>
      <c r="K3" s="1969"/>
      <c r="L3" s="1969"/>
    </row>
    <row r="4" spans="1:16" ht="15">
      <c r="A4" s="3408"/>
      <c r="B4" s="3409"/>
      <c r="C4" s="3410"/>
      <c r="D4" s="108" t="s">
        <v>204</v>
      </c>
      <c r="E4" s="109" t="s">
        <v>205</v>
      </c>
      <c r="F4" s="1969"/>
      <c r="G4" s="1197"/>
      <c r="H4" s="275" t="s">
        <v>860</v>
      </c>
      <c r="I4" s="1961">
        <f>ROUND(SUMIF('数据-基础表'!I9:AS9,"地上",'数据-基础表'!I5:AS5)/'数据-基础表'!A3,2)</f>
        <v>1</v>
      </c>
      <c r="J4" s="1969"/>
      <c r="K4" s="1969"/>
      <c r="L4" s="1969"/>
    </row>
    <row r="5" spans="1:16">
      <c r="A5" s="110" t="s">
        <v>207</v>
      </c>
      <c r="B5" s="3411" t="s">
        <v>230</v>
      </c>
      <c r="C5" s="3411"/>
      <c r="D5" s="111">
        <f>ROUND($D$3*E5/$E$3,2)</f>
        <v>0</v>
      </c>
      <c r="E5" s="112">
        <f>SUMIF('数据-基础表'!$11:$11,"住宅",'数据-基础表'!$5:$5)</f>
        <v>0</v>
      </c>
      <c r="F5" s="1969"/>
      <c r="G5" s="280" t="s">
        <v>861</v>
      </c>
      <c r="H5" s="275" t="s">
        <v>859</v>
      </c>
      <c r="I5" s="1961">
        <f>ROUND(E31/D31,2)</f>
        <v>1</v>
      </c>
      <c r="J5" s="1969"/>
      <c r="K5" s="1969"/>
      <c r="L5" s="1969"/>
    </row>
    <row r="6" spans="1:16" ht="15" thickBot="1">
      <c r="A6" s="113"/>
      <c r="B6" s="3411" t="s">
        <v>208</v>
      </c>
      <c r="C6" s="3411"/>
      <c r="D6" s="111">
        <f>ROUND($D$3*E6/$E$3,2)</f>
        <v>245539.3</v>
      </c>
      <c r="E6" s="112">
        <f>E3-E5</f>
        <v>245539.3</v>
      </c>
      <c r="F6" s="1969"/>
      <c r="G6" s="1197"/>
      <c r="H6" s="275" t="s">
        <v>860</v>
      </c>
      <c r="I6" s="1961">
        <f>ROUND(F31/D31,2)</f>
        <v>1</v>
      </c>
      <c r="J6" s="1969"/>
      <c r="K6" s="1969"/>
      <c r="L6" s="1969"/>
    </row>
    <row r="7" spans="1:16" ht="15">
      <c r="A7" s="3403"/>
      <c r="B7" s="3404"/>
      <c r="C7" s="3405"/>
      <c r="D7" s="108" t="s">
        <v>204</v>
      </c>
      <c r="E7" s="114" t="s">
        <v>231</v>
      </c>
      <c r="F7" s="1969"/>
      <c r="G7" s="1152" t="s">
        <v>1645</v>
      </c>
      <c r="H7" s="1153"/>
      <c r="I7" s="1831">
        <v>1</v>
      </c>
      <c r="J7" s="1969"/>
      <c r="K7" s="1969"/>
      <c r="L7" s="1969"/>
    </row>
    <row r="8" spans="1:16">
      <c r="A8" s="110" t="s">
        <v>209</v>
      </c>
      <c r="B8" s="115" t="s">
        <v>210</v>
      </c>
      <c r="C8" s="111" t="s">
        <v>211</v>
      </c>
      <c r="D8" s="111">
        <f t="shared" ref="D8:D15" si="0">ROUND($D$3*E8/$E$3,2)</f>
        <v>245539.3</v>
      </c>
      <c r="E8" s="116">
        <f>SUMIF('数据-基础表'!BB10:BK10,"地上",'数据-基础表'!BB5:BK5)</f>
        <v>245539.3</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245539.3</v>
      </c>
      <c r="E16" s="120">
        <f>SUM(E8:E15)</f>
        <v>245539.3</v>
      </c>
      <c r="F16" s="1969"/>
      <c r="G16" s="1971"/>
      <c r="H16" s="968" t="s">
        <v>219</v>
      </c>
      <c r="I16" s="969"/>
      <c r="J16" s="1969"/>
      <c r="K16" s="3397" t="s">
        <v>2563</v>
      </c>
      <c r="L16" s="3398"/>
      <c r="M16" s="3398"/>
      <c r="N16" s="3398"/>
      <c r="O16" s="3398"/>
      <c r="P16" s="3399"/>
    </row>
    <row r="17" spans="1:19" ht="15">
      <c r="A17" s="121" t="s">
        <v>216</v>
      </c>
      <c r="B17" s="122" t="s">
        <v>217</v>
      </c>
      <c r="C17" s="2283" t="s">
        <v>2310</v>
      </c>
      <c r="D17" s="108" t="s">
        <v>204</v>
      </c>
      <c r="E17" s="124" t="s">
        <v>205</v>
      </c>
      <c r="F17" s="125"/>
      <c r="G17" s="1362"/>
      <c r="H17" s="970" t="s">
        <v>218</v>
      </c>
      <c r="I17" s="971" t="s">
        <v>2309</v>
      </c>
      <c r="J17" s="1969"/>
      <c r="K17" s="3400" t="s">
        <v>2564</v>
      </c>
      <c r="L17" s="3401"/>
      <c r="M17" s="3402"/>
      <c r="N17" s="3400" t="s">
        <v>2565</v>
      </c>
      <c r="O17" s="3401"/>
      <c r="P17" s="3402"/>
      <c r="R17" s="2284" t="s">
        <v>2308</v>
      </c>
      <c r="S17" s="144"/>
    </row>
    <row r="18" spans="1:19" ht="15">
      <c r="A18" s="117"/>
      <c r="B18" s="128"/>
      <c r="C18" s="129"/>
      <c r="D18" s="2606"/>
      <c r="E18" s="130" t="s">
        <v>220</v>
      </c>
      <c r="F18" s="131" t="s">
        <v>221</v>
      </c>
      <c r="G18" s="1363" t="s">
        <v>222</v>
      </c>
      <c r="H18" s="972" t="s">
        <v>223</v>
      </c>
      <c r="I18" s="973" t="s">
        <v>224</v>
      </c>
      <c r="J18" s="1969"/>
      <c r="K18" s="2569" t="s">
        <v>2566</v>
      </c>
      <c r="L18" s="2570" t="s">
        <v>2567</v>
      </c>
      <c r="M18" s="2571" t="s">
        <v>2568</v>
      </c>
      <c r="N18" s="2569" t="s">
        <v>2566</v>
      </c>
      <c r="O18" s="2570" t="s">
        <v>2567</v>
      </c>
      <c r="P18" s="2571" t="s">
        <v>2568</v>
      </c>
      <c r="R18" s="2285" t="s">
        <v>2306</v>
      </c>
      <c r="S18" s="2285" t="s">
        <v>2307</v>
      </c>
    </row>
    <row r="19" spans="1:19">
      <c r="A19" s="133"/>
      <c r="B19" s="115" t="s">
        <v>225</v>
      </c>
      <c r="C19" s="2977" t="s">
        <v>3211</v>
      </c>
      <c r="D19" s="111">
        <f t="shared" ref="D19:D26" si="1">ROUND($D$3*E19/$E$3,2)</f>
        <v>245539.3</v>
      </c>
      <c r="E19" s="134">
        <f t="shared" ref="E19:E26" si="2">SUM(F19:G19)</f>
        <v>245539.3</v>
      </c>
      <c r="F19" s="135">
        <f>'数据-基础表'!I13</f>
        <v>245539.3</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245539.3</v>
      </c>
      <c r="S19" s="2286">
        <f t="shared" si="5"/>
        <v>245539.3</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245539.3</v>
      </c>
      <c r="E27" s="143">
        <f>IF(SUM(E19:E26)='数据-基础表'!BA5,SUM(E19:E26),IF(F27="地上面积有误","面积有误","地下面积有误"))</f>
        <v>245539.3</v>
      </c>
      <c r="F27" s="134">
        <f>IF(SUM(F19:F26)=E8,SUM(F19:F26),"地上面积有误")</f>
        <v>245539.3</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245539.3</v>
      </c>
      <c r="S27" s="275">
        <f>IF(SUM(S19:S26)=$E$3,SUM(S19:S26),SUM(S19:S26)&amp;"误差"&amp;ROUND(SUM(S19:S26)-E3,2))</f>
        <v>245539.3</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2317</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2319</v>
      </c>
      <c r="D31" s="1368">
        <f>D27+D30</f>
        <v>245539.3</v>
      </c>
      <c r="E31" s="1368">
        <f>E27+E30</f>
        <v>245539.3</v>
      </c>
      <c r="F31" s="1369">
        <f>F27+F30</f>
        <v>245539.3</v>
      </c>
      <c r="G31" s="1370">
        <f>G27+G30</f>
        <v>0</v>
      </c>
      <c r="H31" s="1969"/>
      <c r="I31" s="1969"/>
      <c r="J31" s="1969"/>
      <c r="K31" s="1969"/>
      <c r="L31" s="1969"/>
    </row>
    <row r="32" spans="1:19">
      <c r="A32" s="1969"/>
      <c r="B32" s="2327" t="s">
        <v>2318</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12" sqref="A1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43959</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2823</v>
      </c>
      <c r="O5" s="163" t="s">
        <v>246</v>
      </c>
      <c r="P5" s="165" t="s">
        <v>247</v>
      </c>
      <c r="Q5" s="166" t="s">
        <v>248</v>
      </c>
      <c r="R5" s="167" t="s">
        <v>249</v>
      </c>
      <c r="S5" s="2585" t="s">
        <v>2569</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2320</v>
      </c>
      <c r="AI5" s="171" t="s">
        <v>2289</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工业</v>
      </c>
      <c r="B6" s="2322" t="str">
        <f>IF(A6=0,"","经营性")</f>
        <v>经营性</v>
      </c>
      <c r="C6" s="173" t="s">
        <v>981</v>
      </c>
      <c r="D6" s="2293">
        <f>SUMIF(项目基本情况!D$15:I$15,C6,项目基本情况!D$18:I$18)</f>
        <v>50</v>
      </c>
      <c r="E6" s="2294">
        <f>IF(B6="","",SUMIF(项目基本情况!D$15:I$15,C6,项目基本情况!D$17:I$17))</f>
        <v>57564</v>
      </c>
      <c r="F6" s="174">
        <f>SUMIF(项目基本情况!D$15:I$15,C6,项目基本情况!D$19:I$19)</f>
        <v>37.270000000000003</v>
      </c>
      <c r="G6" s="175">
        <f>IF(ISERROR(ROUND(POWER(1+H6,D6-F6)*(POWER(1+H6,F6)-1)/(POWER(1+H6,D6)-1),3)),0,ROUND(POWER(1+H6,D6-F6)*(POWER(1+H6,F6)-1)/(POWER(1+H6,D6)-1),3))</f>
        <v>0.89400000000000002</v>
      </c>
      <c r="H6" s="2978">
        <v>0.04</v>
      </c>
      <c r="I6" s="2978">
        <v>0.05</v>
      </c>
      <c r="J6" s="176">
        <v>0.08</v>
      </c>
      <c r="K6" s="179">
        <f>SUMIF('数据-汇总表'!C$19:C$33,'数据-取费表'!A6,'数据-汇总表'!E$19:E$33)</f>
        <v>245539.3</v>
      </c>
      <c r="L6" s="2979"/>
      <c r="M6" s="177">
        <f t="shared" ref="M6:M14" si="0">ROUND(K6*L6/10000,0)</f>
        <v>0</v>
      </c>
      <c r="N6" s="2980"/>
      <c r="O6" s="177">
        <f>IF($N$5="成新度","——",ROUND(M6*N6,0))</f>
        <v>0</v>
      </c>
      <c r="P6" s="178">
        <f>IF($N$5="成新度","——",M6-O6)</f>
        <v>0</v>
      </c>
      <c r="Q6" s="2981">
        <v>0.12</v>
      </c>
      <c r="R6" s="179">
        <f>SUMIF('数据-汇总表'!C$19:C$33,A6,'数据-汇总表'!R$19:R$33)</f>
        <v>245539.3</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0.76800000000000002</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2311</v>
      </c>
      <c r="B14" s="2291" t="s">
        <v>1679</v>
      </c>
      <c r="C14" s="2292" t="s">
        <v>2311</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2313</v>
      </c>
      <c r="B15" s="2291" t="s">
        <v>1679</v>
      </c>
      <c r="C15" s="2292" t="s">
        <v>2312</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0.89400000000000002</v>
      </c>
      <c r="H16" s="203">
        <f>ROUND(SUMPRODUCT(H6:H13,K6:K13)/SUMPRODUCT((H6:H13&gt;0)*(K6:K13)),3)</f>
        <v>0.04</v>
      </c>
      <c r="I16" s="204"/>
      <c r="J16" s="204"/>
      <c r="K16" s="205">
        <f>SUM(K6:K15)</f>
        <v>245539.3</v>
      </c>
      <c r="L16" s="206">
        <f>ROUND(M16*10000/SUM(K6:K14),0)</f>
        <v>0</v>
      </c>
      <c r="M16" s="206">
        <f>SUM(M6:M14)</f>
        <v>0</v>
      </c>
      <c r="N16" s="207" t="e">
        <f>ROUND(SUMPRODUCT(M6:M14,N6:N14)/M16,3)</f>
        <v>#DIV/0!</v>
      </c>
      <c r="O16" s="206">
        <f>SUM(O6:O14)</f>
        <v>0</v>
      </c>
      <c r="P16" s="206">
        <f>SUM(P6:P14)</f>
        <v>0</v>
      </c>
      <c r="Q16" s="208">
        <f>ROUND(SUMPRODUCT(Q6:Q13,K6:K13)/SUMPRODUCT((Q6:Q13&gt;0)*(K6:K13)),2)</f>
        <v>0.12</v>
      </c>
      <c r="R16" s="2296">
        <f>SUM(R6:R13)</f>
        <v>245539.3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0.76800000000000002</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1</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0</v>
      </c>
      <c r="C20" s="2328" t="s">
        <v>2332</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1</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c r="C27" s="2331" t="s">
        <v>2339</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2888</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2889</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2890</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2891</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2892</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2892</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2453</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2454</v>
      </c>
      <c r="B40" s="2445">
        <f ca="1">存贷款利率!E2</f>
        <v>4.3499999999999997E-2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2893</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2894</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2895</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2896</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2897</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2898</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1409</v>
      </c>
      <c r="C53" s="3028" t="s">
        <v>2899</v>
      </c>
      <c r="D53" s="3029" t="s">
        <v>2900</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2901</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2902</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2903</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2904</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2905</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2906</v>
      </c>
      <c r="B59" s="186">
        <v>1.5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2907</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2908</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2909</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2910</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412" t="s">
        <v>1663</v>
      </c>
      <c r="B1" s="3413"/>
      <c r="C1" s="3413"/>
      <c r="D1" s="3413"/>
      <c r="E1" s="3413"/>
      <c r="F1" s="3413"/>
      <c r="G1" s="3413"/>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2917</v>
      </c>
      <c r="D3" s="1994"/>
      <c r="E3" s="1225" t="s">
        <v>1666</v>
      </c>
      <c r="F3" s="1226" t="s">
        <v>1654</v>
      </c>
      <c r="G3" s="3037" t="s">
        <v>2916</v>
      </c>
      <c r="H3" s="1993"/>
      <c r="I3" s="1993"/>
      <c r="J3" s="1993"/>
      <c r="K3" s="1993"/>
      <c r="L3" s="1993"/>
      <c r="M3" s="1993"/>
      <c r="N3" s="1993"/>
      <c r="O3" s="1993"/>
      <c r="P3" s="1993"/>
      <c r="Q3" s="1993"/>
      <c r="R3" s="1993"/>
    </row>
    <row r="4" spans="1:18" ht="41.25">
      <c r="A4" s="1225"/>
      <c r="B4" s="1227" t="s">
        <v>1667</v>
      </c>
      <c r="C4" s="3034" t="s">
        <v>2918</v>
      </c>
      <c r="D4" s="1994"/>
      <c r="E4" s="1228"/>
      <c r="F4" s="1229" t="s">
        <v>1668</v>
      </c>
      <c r="G4" s="3035" t="s">
        <v>2913</v>
      </c>
      <c r="H4" s="1993"/>
      <c r="I4" s="1993"/>
      <c r="J4" s="1993"/>
      <c r="K4" s="1993"/>
      <c r="L4" s="1993"/>
      <c r="M4" s="1993"/>
      <c r="N4" s="1993"/>
      <c r="O4" s="1993"/>
      <c r="P4" s="1993"/>
      <c r="Q4" s="1993"/>
      <c r="R4" s="1993"/>
    </row>
    <row r="5" spans="1:18" ht="41.25">
      <c r="A5" s="1225"/>
      <c r="B5" s="1227" t="s">
        <v>1669</v>
      </c>
      <c r="C5" s="3034" t="s">
        <v>2919</v>
      </c>
      <c r="D5" s="1994"/>
      <c r="E5" s="1228"/>
      <c r="F5" s="1227" t="s">
        <v>2543</v>
      </c>
      <c r="G5" s="3035" t="s">
        <v>2914</v>
      </c>
      <c r="H5" s="1993"/>
      <c r="I5" s="1993"/>
      <c r="J5" s="1993"/>
      <c r="K5" s="1993"/>
      <c r="L5" s="1993"/>
      <c r="M5" s="1993"/>
      <c r="N5" s="1993"/>
      <c r="O5" s="1993"/>
      <c r="P5" s="1993"/>
      <c r="Q5" s="1993"/>
      <c r="R5" s="1993"/>
    </row>
    <row r="6" spans="1:18" ht="54">
      <c r="A6" s="1225"/>
      <c r="B6" s="1227" t="s">
        <v>1655</v>
      </c>
      <c r="C6" s="3035" t="s">
        <v>2913</v>
      </c>
      <c r="D6" s="1994"/>
      <c r="E6" s="1228"/>
      <c r="F6" s="1227" t="s">
        <v>2544</v>
      </c>
      <c r="G6" s="3035" t="s">
        <v>2911</v>
      </c>
      <c r="H6" s="1993"/>
      <c r="I6" s="1993"/>
      <c r="J6" s="1993"/>
      <c r="K6" s="1993"/>
      <c r="L6" s="1993"/>
      <c r="M6" s="1993"/>
      <c r="N6" s="1993"/>
      <c r="O6" s="1993"/>
      <c r="P6" s="1993"/>
      <c r="Q6" s="1993"/>
      <c r="R6" s="1993"/>
    </row>
    <row r="7" spans="1:18" ht="41.25" thickBot="1">
      <c r="A7" s="1225"/>
      <c r="B7" s="1227" t="s">
        <v>2543</v>
      </c>
      <c r="C7" s="3035" t="s">
        <v>2914</v>
      </c>
      <c r="D7" s="1995"/>
      <c r="E7" s="1230"/>
      <c r="F7" s="1231" t="s">
        <v>1670</v>
      </c>
      <c r="G7" s="3038" t="s">
        <v>2915</v>
      </c>
      <c r="H7" s="1993"/>
      <c r="I7" s="1993"/>
      <c r="J7" s="1993"/>
      <c r="K7" s="1993"/>
      <c r="L7" s="1993"/>
      <c r="M7" s="1993"/>
      <c r="N7" s="1993"/>
      <c r="O7" s="1993"/>
      <c r="P7" s="1993"/>
      <c r="Q7" s="1993"/>
      <c r="R7" s="1993"/>
    </row>
    <row r="8" spans="1:18" ht="27">
      <c r="A8" s="1225"/>
      <c r="B8" s="1227" t="s">
        <v>2544</v>
      </c>
      <c r="C8" s="3035" t="s">
        <v>2911</v>
      </c>
      <c r="D8" s="1995"/>
      <c r="E8" s="1995"/>
      <c r="F8" s="1540"/>
      <c r="G8" s="1540"/>
      <c r="H8" s="1993"/>
      <c r="I8" s="1993"/>
      <c r="J8" s="1993"/>
      <c r="K8" s="1993"/>
      <c r="L8" s="1993"/>
      <c r="M8" s="1993"/>
      <c r="N8" s="1993"/>
      <c r="O8" s="1993"/>
      <c r="P8" s="1993"/>
      <c r="Q8" s="1993"/>
      <c r="R8" s="1993"/>
    </row>
    <row r="9" spans="1:18" ht="40.5">
      <c r="A9" s="1225"/>
      <c r="B9" s="1227" t="s">
        <v>1656</v>
      </c>
      <c r="C9" s="3034" t="s">
        <v>2912</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2543</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2544</v>
      </c>
      <c r="G20" s="1005" t="str">
        <f>G6</f>
        <v>估价对象所在区域基础设施水平</v>
      </c>
    </row>
    <row r="21" spans="1:7" ht="27">
      <c r="A21" s="2553"/>
      <c r="B21" s="1227" t="s">
        <v>2543</v>
      </c>
      <c r="C21" s="1005" t="str">
        <f>C7</f>
        <v>估价对象所在区域公共配套设施齐备情况</v>
      </c>
      <c r="D21" s="1994"/>
      <c r="E21" s="2550"/>
      <c r="F21" s="1243" t="s">
        <v>1661</v>
      </c>
      <c r="G21" s="3039"/>
    </row>
    <row r="22" spans="1:7" ht="27">
      <c r="A22" s="2553"/>
      <c r="B22" s="1227" t="s">
        <v>2544</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2839</v>
      </c>
      <c r="B1" s="2997">
        <f>SUM(B14:B23)</f>
        <v>245539.3</v>
      </c>
      <c r="C1" s="2998"/>
      <c r="D1" s="2998"/>
      <c r="E1" s="2998"/>
      <c r="F1" s="2998"/>
    </row>
    <row r="2" spans="1:9" ht="16.5">
      <c r="A2" s="2997" t="s">
        <v>2840</v>
      </c>
      <c r="B2" s="2997">
        <f>SUM(C14:C23)</f>
        <v>245539.3</v>
      </c>
      <c r="C2" s="2998"/>
      <c r="D2" s="2998"/>
      <c r="E2" s="2998"/>
      <c r="F2" s="2998"/>
    </row>
    <row r="3" spans="1:9" ht="16.5">
      <c r="A3" s="2997" t="s">
        <v>2841</v>
      </c>
      <c r="B3" s="2999">
        <f>项目基本情况!D3</f>
        <v>43959</v>
      </c>
      <c r="C3" s="2998"/>
      <c r="D3" s="2998"/>
      <c r="E3" s="2998"/>
      <c r="F3" s="2998"/>
    </row>
    <row r="4" spans="1:9" ht="33">
      <c r="A4" s="2997" t="s">
        <v>2842</v>
      </c>
      <c r="B4" s="2997" t="s">
        <v>2843</v>
      </c>
      <c r="C4" s="2997" t="s">
        <v>2844</v>
      </c>
      <c r="D4" s="2997" t="s">
        <v>2845</v>
      </c>
      <c r="E4" s="2998"/>
      <c r="F4" s="2998"/>
    </row>
    <row r="5" spans="1:9" ht="16.5">
      <c r="A5" s="2997" t="s">
        <v>2846</v>
      </c>
      <c r="B5" s="2997">
        <f ca="1">SUM(D14:D23)</f>
        <v>85991</v>
      </c>
      <c r="C5" s="2997">
        <f ca="1">ROUND(B5*10000/$B$1,0)</f>
        <v>3502</v>
      </c>
      <c r="D5" s="2997">
        <f ca="1">ROUND(B5*10000/$B$2,0)</f>
        <v>3502</v>
      </c>
      <c r="E5" s="2998"/>
      <c r="F5" s="2998"/>
    </row>
    <row r="6" spans="1:9" ht="16.5">
      <c r="A6" s="2997" t="s">
        <v>2847</v>
      </c>
      <c r="B6" s="2997">
        <f>SUM(G14:G23)</f>
        <v>0</v>
      </c>
      <c r="C6" s="2997">
        <f t="shared" ref="C6:C8" si="0">ROUND(B6*10000/$B$1,0)</f>
        <v>0</v>
      </c>
      <c r="D6" s="2997">
        <f t="shared" ref="D6:D8" si="1">ROUND(B6*10000/$B$2,0)</f>
        <v>0</v>
      </c>
      <c r="E6" s="2998"/>
      <c r="F6" s="2998"/>
    </row>
    <row r="7" spans="1:9" ht="16.5">
      <c r="A7" s="2997" t="s">
        <v>2848</v>
      </c>
      <c r="B7" s="2997">
        <f>SUM(H14:H23)</f>
        <v>0</v>
      </c>
      <c r="C7" s="2997">
        <f t="shared" si="0"/>
        <v>0</v>
      </c>
      <c r="D7" s="2997">
        <f t="shared" si="1"/>
        <v>0</v>
      </c>
      <c r="E7" s="2998"/>
      <c r="F7" s="2998"/>
    </row>
    <row r="8" spans="1:9" ht="16.5">
      <c r="A8" s="2997" t="s">
        <v>2849</v>
      </c>
      <c r="B8" s="2997">
        <f>SUM(I14:I23)</f>
        <v>0</v>
      </c>
      <c r="C8" s="2997">
        <f t="shared" si="0"/>
        <v>0</v>
      </c>
      <c r="D8" s="2997">
        <f t="shared" si="1"/>
        <v>0</v>
      </c>
      <c r="E8" s="2998"/>
      <c r="F8" s="2998"/>
    </row>
    <row r="9" spans="1:9" ht="16.5">
      <c r="A9" s="2997" t="s">
        <v>2850</v>
      </c>
      <c r="B9" s="3000"/>
      <c r="C9" s="2998"/>
      <c r="D9" s="2998"/>
      <c r="E9" s="2998"/>
      <c r="F9" s="2998"/>
    </row>
    <row r="10" spans="1:9" ht="16.5">
      <c r="A10" s="2997" t="s">
        <v>2851</v>
      </c>
      <c r="B10" s="3000"/>
      <c r="C10" s="2998"/>
      <c r="D10" s="2998"/>
      <c r="E10" s="2998"/>
      <c r="F10" s="2998"/>
    </row>
    <row r="11" spans="1:9" ht="16.5">
      <c r="A11" s="2997" t="s">
        <v>2868</v>
      </c>
      <c r="B11" s="3000"/>
      <c r="C11" s="2998"/>
      <c r="D11" s="2998"/>
      <c r="E11" s="2998"/>
      <c r="F11" s="2998"/>
    </row>
    <row r="12" spans="1:9" ht="16.5">
      <c r="A12" s="2998"/>
      <c r="B12" s="2998"/>
      <c r="C12" s="2998"/>
      <c r="D12" s="2998"/>
      <c r="E12" s="2998"/>
      <c r="F12" s="2998"/>
    </row>
    <row r="13" spans="1:9" ht="33">
      <c r="A13" s="3003" t="s">
        <v>2867</v>
      </c>
      <c r="B13" s="3001" t="s">
        <v>2839</v>
      </c>
      <c r="C13" s="3001" t="s">
        <v>2840</v>
      </c>
      <c r="D13" s="3001" t="s">
        <v>2852</v>
      </c>
      <c r="E13" s="2997" t="s">
        <v>2866</v>
      </c>
      <c r="F13" s="2997" t="s">
        <v>2845</v>
      </c>
      <c r="G13" s="3001" t="s">
        <v>2853</v>
      </c>
      <c r="H13" s="3001" t="s">
        <v>2854</v>
      </c>
      <c r="I13" s="3001" t="s">
        <v>2855</v>
      </c>
    </row>
    <row r="14" spans="1:9" ht="16.5">
      <c r="A14" s="3004" t="s">
        <v>2865</v>
      </c>
      <c r="B14" s="3001">
        <f>结果表!L38</f>
        <v>245539.3</v>
      </c>
      <c r="C14" s="3001">
        <f>结果表!K38</f>
        <v>245539.3</v>
      </c>
      <c r="D14" s="3001">
        <f ca="1">结果表!C42</f>
        <v>85991</v>
      </c>
      <c r="E14" s="3001">
        <f ca="1">ROUND(D14*10000/B14,0)</f>
        <v>3502</v>
      </c>
      <c r="F14" s="3001">
        <f ca="1">ROUND(D14*10000/C14,0)</f>
        <v>3502</v>
      </c>
      <c r="G14" s="3001" t="str">
        <f>结果表!C44</f>
        <v>——</v>
      </c>
      <c r="H14" s="3001" t="str">
        <f>结果表!C45</f>
        <v>——</v>
      </c>
      <c r="I14" s="3001" t="str">
        <f>结果表!C46</f>
        <v>——</v>
      </c>
    </row>
    <row r="15" spans="1:9" ht="16.5">
      <c r="A15" s="3004" t="s">
        <v>2856</v>
      </c>
      <c r="B15" s="3005"/>
      <c r="C15" s="3005"/>
      <c r="D15" s="3005"/>
      <c r="E15" s="3001" t="e">
        <f t="shared" ref="E15:E23" si="2">ROUND(D15*10000/B15,0)</f>
        <v>#DIV/0!</v>
      </c>
      <c r="F15" s="3001" t="e">
        <f t="shared" ref="F15:F23" si="3">ROUND(D15*10000/C15,0)</f>
        <v>#DIV/0!</v>
      </c>
      <c r="G15" s="3002"/>
      <c r="H15" s="3002"/>
      <c r="I15" s="3005"/>
    </row>
    <row r="16" spans="1:9" ht="16.5">
      <c r="A16" s="3004" t="s">
        <v>2857</v>
      </c>
      <c r="B16" s="3005"/>
      <c r="C16" s="3005"/>
      <c r="D16" s="3005"/>
      <c r="E16" s="3001" t="e">
        <f t="shared" si="2"/>
        <v>#DIV/0!</v>
      </c>
      <c r="F16" s="3001" t="e">
        <f t="shared" si="3"/>
        <v>#DIV/0!</v>
      </c>
      <c r="G16" s="3002"/>
      <c r="H16" s="3002"/>
      <c r="I16" s="3005"/>
    </row>
    <row r="17" spans="1:9" ht="16.5">
      <c r="A17" s="3004" t="s">
        <v>2858</v>
      </c>
      <c r="B17" s="3005"/>
      <c r="C17" s="3005"/>
      <c r="D17" s="3005"/>
      <c r="E17" s="3001" t="e">
        <f t="shared" si="2"/>
        <v>#DIV/0!</v>
      </c>
      <c r="F17" s="3001" t="e">
        <f t="shared" si="3"/>
        <v>#DIV/0!</v>
      </c>
      <c r="G17" s="3002"/>
      <c r="H17" s="3002"/>
      <c r="I17" s="3005"/>
    </row>
    <row r="18" spans="1:9" ht="16.5">
      <c r="A18" s="3004" t="s">
        <v>2859</v>
      </c>
      <c r="B18" s="3005"/>
      <c r="C18" s="3005"/>
      <c r="D18" s="3005"/>
      <c r="E18" s="3001" t="e">
        <f t="shared" si="2"/>
        <v>#DIV/0!</v>
      </c>
      <c r="F18" s="3001" t="e">
        <f t="shared" si="3"/>
        <v>#DIV/0!</v>
      </c>
      <c r="G18" s="3005"/>
      <c r="H18" s="3005"/>
      <c r="I18" s="3005"/>
    </row>
    <row r="19" spans="1:9" ht="16.5">
      <c r="A19" s="3004" t="s">
        <v>2860</v>
      </c>
      <c r="B19" s="3005"/>
      <c r="C19" s="3005"/>
      <c r="D19" s="3005"/>
      <c r="E19" s="3001" t="e">
        <f t="shared" si="2"/>
        <v>#DIV/0!</v>
      </c>
      <c r="F19" s="3001" t="e">
        <f t="shared" si="3"/>
        <v>#DIV/0!</v>
      </c>
      <c r="G19" s="3005"/>
      <c r="H19" s="3005"/>
      <c r="I19" s="3005"/>
    </row>
    <row r="20" spans="1:9" ht="16.5">
      <c r="A20" s="3004" t="s">
        <v>2861</v>
      </c>
      <c r="B20" s="3005"/>
      <c r="C20" s="3005"/>
      <c r="D20" s="3005"/>
      <c r="E20" s="3001" t="e">
        <f t="shared" si="2"/>
        <v>#DIV/0!</v>
      </c>
      <c r="F20" s="3001" t="e">
        <f t="shared" si="3"/>
        <v>#DIV/0!</v>
      </c>
      <c r="G20" s="3005"/>
      <c r="H20" s="3005"/>
      <c r="I20" s="3005"/>
    </row>
    <row r="21" spans="1:9" ht="16.5">
      <c r="A21" s="3004" t="s">
        <v>2862</v>
      </c>
      <c r="B21" s="3005"/>
      <c r="C21" s="3005"/>
      <c r="D21" s="3005"/>
      <c r="E21" s="3001" t="e">
        <f t="shared" si="2"/>
        <v>#DIV/0!</v>
      </c>
      <c r="F21" s="3001" t="e">
        <f t="shared" si="3"/>
        <v>#DIV/0!</v>
      </c>
      <c r="G21" s="3005"/>
      <c r="H21" s="3005"/>
      <c r="I21" s="3005"/>
    </row>
    <row r="22" spans="1:9" ht="16.5">
      <c r="A22" s="3004" t="s">
        <v>2863</v>
      </c>
      <c r="B22" s="3005"/>
      <c r="C22" s="3005"/>
      <c r="D22" s="3005"/>
      <c r="E22" s="3001" t="e">
        <f t="shared" si="2"/>
        <v>#DIV/0!</v>
      </c>
      <c r="F22" s="3001" t="e">
        <f t="shared" si="3"/>
        <v>#DIV/0!</v>
      </c>
      <c r="G22" s="3005"/>
      <c r="H22" s="3005"/>
      <c r="I22" s="3005"/>
    </row>
    <row r="23" spans="1:9" ht="16.5">
      <c r="A23" s="3004" t="s">
        <v>2864</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 zoomScaleNormal="100" zoomScaleSheetLayoutView="100" zoomScalePageLayoutView="80" workbookViewId="0">
      <selection activeCell="F25" sqref="F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t="s">
        <v>3296</v>
      </c>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450" t="str">
        <f>项目基本情况!K2</f>
        <v>出让国有建设用地使用权</v>
      </c>
      <c r="B2" s="3451"/>
      <c r="C2" s="3452"/>
      <c r="D2" s="3452"/>
      <c r="E2" s="3452"/>
      <c r="F2" s="3452"/>
      <c r="G2" s="3451"/>
      <c r="H2" s="3451"/>
      <c r="I2" s="3453"/>
      <c r="J2" s="2015"/>
      <c r="K2" s="2014"/>
      <c r="L2" s="2014"/>
      <c r="M2" s="2014"/>
      <c r="N2" s="2014"/>
      <c r="O2" s="2014"/>
      <c r="P2" s="2014"/>
      <c r="Q2" s="2014"/>
      <c r="R2" s="2014"/>
      <c r="S2" s="2014"/>
      <c r="T2" s="2014"/>
      <c r="U2" s="2014"/>
      <c r="V2" s="2014"/>
    </row>
    <row r="3" spans="1:22" ht="14.25">
      <c r="A3" s="3443" t="s">
        <v>298</v>
      </c>
      <c r="B3" s="3444"/>
      <c r="C3" s="3444"/>
      <c r="D3" s="3444"/>
      <c r="E3" s="3444"/>
      <c r="F3" s="3444"/>
      <c r="G3" s="3444"/>
      <c r="H3" s="3444"/>
      <c r="I3" s="3444"/>
      <c r="J3" s="2015"/>
      <c r="K3" s="2014"/>
      <c r="L3" s="2014"/>
      <c r="M3" s="2014"/>
      <c r="N3" s="2014"/>
      <c r="O3" s="2014"/>
      <c r="P3" s="2014"/>
      <c r="Q3" s="2014"/>
      <c r="R3" s="2014"/>
      <c r="S3" s="2014"/>
      <c r="T3" s="2014"/>
      <c r="U3" s="2014"/>
      <c r="V3" s="2014"/>
    </row>
    <row r="4" spans="1:22" ht="14.25">
      <c r="A4" s="258" t="s">
        <v>299</v>
      </c>
      <c r="B4" s="259" t="s">
        <v>300</v>
      </c>
      <c r="C4" s="260" t="s">
        <v>2946</v>
      </c>
      <c r="D4" s="260" t="s">
        <v>2997</v>
      </c>
      <c r="E4" s="3415" t="s">
        <v>301</v>
      </c>
      <c r="F4" s="3416"/>
      <c r="G4" s="3416"/>
      <c r="H4" s="3416"/>
      <c r="I4" s="3445"/>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414" t="s">
        <v>302</v>
      </c>
      <c r="B5" s="3440">
        <v>25</v>
      </c>
      <c r="C5" s="3438">
        <v>3</v>
      </c>
      <c r="D5" s="3442">
        <v>7</v>
      </c>
      <c r="E5" s="261" t="s">
        <v>303</v>
      </c>
      <c r="F5" s="262"/>
      <c r="G5" s="262"/>
      <c r="H5" s="262"/>
      <c r="I5" s="263"/>
      <c r="J5" s="2015"/>
      <c r="K5" s="2014"/>
      <c r="L5" s="2014"/>
      <c r="M5" s="2014"/>
      <c r="N5" s="2014"/>
      <c r="O5" s="2014"/>
      <c r="P5" s="2014"/>
      <c r="Q5" s="2014"/>
      <c r="R5" s="2014"/>
      <c r="S5" s="2014"/>
      <c r="T5" s="2014"/>
      <c r="U5" s="2014"/>
      <c r="V5" s="2014"/>
    </row>
    <row r="6" spans="1:22" ht="14.25">
      <c r="A6" s="3414"/>
      <c r="B6" s="3440"/>
      <c r="C6" s="3441"/>
      <c r="D6" s="3442"/>
      <c r="E6" s="261" t="s">
        <v>304</v>
      </c>
      <c r="F6" s="262"/>
      <c r="G6" s="262"/>
      <c r="H6" s="262"/>
      <c r="I6" s="263"/>
      <c r="J6" s="2015"/>
      <c r="K6" s="2014"/>
      <c r="L6" s="2014"/>
      <c r="M6" s="2014"/>
      <c r="N6" s="2014"/>
      <c r="O6" s="2014"/>
      <c r="P6" s="2014"/>
      <c r="Q6" s="2014"/>
      <c r="R6" s="2014"/>
      <c r="S6" s="2014"/>
      <c r="T6" s="2014"/>
      <c r="U6" s="2014"/>
      <c r="V6" s="2014"/>
    </row>
    <row r="7" spans="1:22" ht="14.25">
      <c r="A7" s="3414"/>
      <c r="B7" s="3440"/>
      <c r="C7" s="3439"/>
      <c r="D7" s="3442"/>
      <c r="E7" s="261" t="s">
        <v>305</v>
      </c>
      <c r="F7" s="262"/>
      <c r="G7" s="262"/>
      <c r="H7" s="262"/>
      <c r="I7" s="263"/>
      <c r="J7" s="2015"/>
      <c r="K7" s="2014"/>
      <c r="L7" s="2014"/>
      <c r="M7" s="2014"/>
      <c r="N7" s="2014"/>
      <c r="O7" s="2014"/>
      <c r="P7" s="2014"/>
      <c r="Q7" s="2014"/>
      <c r="R7" s="2014"/>
      <c r="S7" s="2014"/>
      <c r="T7" s="2014"/>
      <c r="U7" s="2014"/>
      <c r="V7" s="2014"/>
    </row>
    <row r="8" spans="1:22" ht="14.25">
      <c r="A8" s="3414" t="s">
        <v>306</v>
      </c>
      <c r="B8" s="3440">
        <v>15</v>
      </c>
      <c r="C8" s="3438"/>
      <c r="D8" s="3442"/>
      <c r="E8" s="261" t="s">
        <v>307</v>
      </c>
      <c r="F8" s="262"/>
      <c r="G8" s="262"/>
      <c r="H8" s="262"/>
      <c r="I8" s="263"/>
      <c r="J8" s="2015"/>
      <c r="K8" s="2014"/>
      <c r="L8" s="2014"/>
      <c r="M8" s="2014"/>
      <c r="N8" s="2014"/>
      <c r="O8" s="2014"/>
      <c r="P8" s="2014"/>
      <c r="Q8" s="2014"/>
      <c r="R8" s="2014"/>
      <c r="S8" s="2014"/>
      <c r="T8" s="2014"/>
      <c r="U8" s="2014"/>
      <c r="V8" s="2014"/>
    </row>
    <row r="9" spans="1:22" ht="14.25">
      <c r="A9" s="3414"/>
      <c r="B9" s="3440"/>
      <c r="C9" s="3439"/>
      <c r="D9" s="3442"/>
      <c r="E9" s="261" t="s">
        <v>308</v>
      </c>
      <c r="F9" s="262"/>
      <c r="G9" s="262"/>
      <c r="H9" s="262"/>
      <c r="I9" s="263"/>
      <c r="J9" s="2015"/>
      <c r="K9" s="2014"/>
      <c r="L9" s="2014"/>
      <c r="M9" s="2014"/>
      <c r="N9" s="2014"/>
      <c r="O9" s="2014"/>
      <c r="P9" s="2014"/>
      <c r="Q9" s="2014"/>
      <c r="R9" s="2014"/>
      <c r="S9" s="2014"/>
      <c r="T9" s="2014"/>
      <c r="U9" s="2014"/>
      <c r="V9" s="2014"/>
    </row>
    <row r="10" spans="1:22" ht="14.25">
      <c r="A10" s="3414" t="s">
        <v>309</v>
      </c>
      <c r="B10" s="3440">
        <v>15</v>
      </c>
      <c r="C10" s="3438"/>
      <c r="D10" s="3442"/>
      <c r="E10" s="261" t="s">
        <v>310</v>
      </c>
      <c r="F10" s="262"/>
      <c r="G10" s="262"/>
      <c r="H10" s="262"/>
      <c r="I10" s="263"/>
      <c r="J10" s="2015"/>
      <c r="K10" s="2014"/>
      <c r="L10" s="2014"/>
      <c r="M10" s="2014"/>
      <c r="N10" s="2014"/>
      <c r="O10" s="2014"/>
      <c r="P10" s="2014"/>
      <c r="Q10" s="2014"/>
      <c r="R10" s="2014"/>
      <c r="S10" s="2014"/>
      <c r="T10" s="2014"/>
      <c r="U10" s="2014"/>
      <c r="V10" s="2014"/>
    </row>
    <row r="11" spans="1:22" ht="14.25">
      <c r="A11" s="3414"/>
      <c r="B11" s="3440"/>
      <c r="C11" s="3439"/>
      <c r="D11" s="3442"/>
      <c r="E11" s="261" t="s">
        <v>311</v>
      </c>
      <c r="F11" s="262"/>
      <c r="G11" s="262"/>
      <c r="H11" s="262"/>
      <c r="I11" s="263"/>
      <c r="J11" s="2015"/>
      <c r="K11" s="2014"/>
      <c r="L11" s="2014"/>
      <c r="M11" s="2014"/>
      <c r="N11" s="2014"/>
      <c r="O11" s="2014"/>
      <c r="P11" s="2014"/>
      <c r="Q11" s="2014"/>
      <c r="R11" s="2014"/>
      <c r="S11" s="2014"/>
      <c r="T11" s="2014"/>
      <c r="U11" s="2014"/>
      <c r="V11" s="2014"/>
    </row>
    <row r="12" spans="1:22" ht="14.25">
      <c r="A12" s="3414" t="s">
        <v>312</v>
      </c>
      <c r="B12" s="3440">
        <v>15</v>
      </c>
      <c r="C12" s="3438"/>
      <c r="D12" s="3442"/>
      <c r="E12" s="261" t="s">
        <v>313</v>
      </c>
      <c r="F12" s="262"/>
      <c r="G12" s="262"/>
      <c r="H12" s="262"/>
      <c r="I12" s="263"/>
      <c r="J12" s="2015"/>
      <c r="K12" s="2014"/>
      <c r="L12" s="2014"/>
      <c r="M12" s="2014"/>
      <c r="N12" s="2014"/>
      <c r="O12" s="2014"/>
      <c r="P12" s="2014"/>
      <c r="Q12" s="2014"/>
      <c r="R12" s="2014"/>
      <c r="S12" s="2014"/>
      <c r="T12" s="2014"/>
      <c r="U12" s="2014"/>
      <c r="V12" s="2014"/>
    </row>
    <row r="13" spans="1:22" ht="14.25">
      <c r="A13" s="3414"/>
      <c r="B13" s="3440"/>
      <c r="C13" s="3439"/>
      <c r="D13" s="3442"/>
      <c r="E13" s="261" t="s">
        <v>314</v>
      </c>
      <c r="F13" s="262"/>
      <c r="G13" s="262"/>
      <c r="H13" s="262"/>
      <c r="I13" s="263"/>
      <c r="J13" s="2015"/>
      <c r="K13" s="2014"/>
      <c r="L13" s="2014"/>
      <c r="M13" s="2014"/>
      <c r="N13" s="2014"/>
      <c r="O13" s="2014"/>
      <c r="P13" s="2014"/>
      <c r="Q13" s="2014"/>
      <c r="R13" s="2014"/>
      <c r="S13" s="2014"/>
      <c r="T13" s="2014"/>
      <c r="U13" s="2014"/>
      <c r="V13" s="2014"/>
    </row>
    <row r="14" spans="1:22" ht="14.25">
      <c r="A14" s="3414" t="s">
        <v>315</v>
      </c>
      <c r="B14" s="3440">
        <v>30</v>
      </c>
      <c r="C14" s="3438"/>
      <c r="D14" s="3442"/>
      <c r="E14" s="261" t="s">
        <v>316</v>
      </c>
      <c r="F14" s="262"/>
      <c r="G14" s="262"/>
      <c r="H14" s="262"/>
      <c r="I14" s="263"/>
      <c r="J14" s="2015"/>
      <c r="K14" s="2014"/>
      <c r="L14" s="2014"/>
      <c r="M14" s="2014"/>
      <c r="N14" s="2014"/>
      <c r="O14" s="2014"/>
      <c r="P14" s="2014"/>
      <c r="Q14" s="2014"/>
      <c r="R14" s="2014"/>
      <c r="S14" s="2014"/>
      <c r="T14" s="2014"/>
      <c r="U14" s="2014"/>
      <c r="V14" s="2014"/>
    </row>
    <row r="15" spans="1:22" ht="14.25">
      <c r="A15" s="3414"/>
      <c r="B15" s="3440"/>
      <c r="C15" s="3441"/>
      <c r="D15" s="3442"/>
      <c r="E15" s="261" t="s">
        <v>317</v>
      </c>
      <c r="F15" s="262"/>
      <c r="G15" s="262"/>
      <c r="H15" s="262"/>
      <c r="I15" s="263"/>
      <c r="J15" s="2015"/>
      <c r="K15" s="2014"/>
      <c r="L15" s="2014"/>
      <c r="M15" s="2014"/>
      <c r="N15" s="2014"/>
      <c r="O15" s="2014"/>
      <c r="P15" s="2014"/>
      <c r="Q15" s="2014"/>
      <c r="R15" s="2014"/>
      <c r="S15" s="2014"/>
      <c r="T15" s="2014"/>
      <c r="U15" s="2014"/>
      <c r="V15" s="2014"/>
    </row>
    <row r="16" spans="1:22" ht="14.25">
      <c r="A16" s="3414"/>
      <c r="B16" s="3440"/>
      <c r="C16" s="3439"/>
      <c r="D16" s="344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3</v>
      </c>
      <c r="D17" s="265">
        <f>SUM(D5:D16)</f>
        <v>7</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0.3</v>
      </c>
      <c r="D18" s="267">
        <f>1-C18</f>
        <v>0.7</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30594</v>
      </c>
      <c r="D19" s="271">
        <f ca="1">SUMIF(INDIRECT("'"&amp;D4&amp;"'"&amp;"!A:A"),结果表!B19,INDIRECT("'"&amp;D4&amp;"'"&amp;"!B:B"))</f>
        <v>109733</v>
      </c>
      <c r="E19" s="268" t="s">
        <v>323</v>
      </c>
      <c r="F19" s="269" t="s">
        <v>322</v>
      </c>
      <c r="G19" s="272">
        <f ca="1">ROUND(C19*$C$18+D19*$D$18,0)</f>
        <v>85991</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1246</v>
      </c>
      <c r="D20" s="277">
        <f ca="1">SUMIF(INDIRECT("'"&amp;D4&amp;"'"&amp;"!A:A"),结果表!B20,INDIRECT("'"&amp;D4&amp;"'"&amp;"!B:B"))</f>
        <v>4469</v>
      </c>
      <c r="E20" s="274"/>
      <c r="F20" s="275" t="s">
        <v>325</v>
      </c>
      <c r="G20" s="278">
        <f ca="1">ROUND(C20*$C$18+D20*$D$18,0)</f>
        <v>3502</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1246</v>
      </c>
      <c r="D21" s="151">
        <f ca="1">SUMIF(INDIRECT("'"&amp;D4&amp;"'"&amp;"!A:A"),结果表!B21,INDIRECT("'"&amp;D4&amp;"'"&amp;"!B:B"))</f>
        <v>4469</v>
      </c>
      <c r="E21" s="274"/>
      <c r="F21" s="280" t="s">
        <v>327</v>
      </c>
      <c r="G21" s="282">
        <f ca="1">ROUND(C21*$C$18+D21*$D$18,0)</f>
        <v>3502</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2.5867490357586456</v>
      </c>
      <c r="E22" s="284"/>
      <c r="F22" s="285"/>
      <c r="G22" s="286">
        <f ca="1">ROUND(G19/('数据-汇总表'!D3/666.67),0)</f>
        <v>233</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420"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421"/>
      <c r="B25" s="1317" t="s">
        <v>331</v>
      </c>
      <c r="C25" s="290">
        <f>IF(B30=0,0,C30)</f>
        <v>0</v>
      </c>
      <c r="D25" s="291"/>
      <c r="E25" s="311"/>
      <c r="F25" s="311"/>
      <c r="G25" s="311"/>
      <c r="H25" s="311"/>
      <c r="I25" s="311"/>
      <c r="J25" s="2014"/>
      <c r="K25" s="1251" t="str">
        <f ca="1">项目基本情况!B16&amp;"国有建设用地使用权价格："&amp;O38&amp;"万元"</f>
        <v>出让国有建设用地使用权价格：85991万元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大写金额：人民币捌亿伍仟玖佰玖拾壹万元整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单位面积地价：3502元/平方米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楼面地价：3502元/平方米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336</v>
      </c>
      <c r="B30" s="309"/>
      <c r="C30" s="309"/>
      <c r="D30" s="310"/>
      <c r="E30" s="3083" t="s">
        <v>2963</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85991</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3502</v>
      </c>
      <c r="D33" s="1382" t="s">
        <v>1691</v>
      </c>
      <c r="E33" s="3420"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3502</v>
      </c>
      <c r="D34" s="1384" t="s">
        <v>1691</v>
      </c>
      <c r="E34" s="3461"/>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233</v>
      </c>
      <c r="D35" s="1387" t="s">
        <v>1693</v>
      </c>
      <c r="E35" s="3462"/>
      <c r="F35" s="301" t="s">
        <v>342</v>
      </c>
      <c r="G35" s="982"/>
      <c r="H35" s="981" t="s">
        <v>343</v>
      </c>
      <c r="I35" s="311"/>
      <c r="J35" s="2014"/>
      <c r="K35" s="3435" t="s">
        <v>350</v>
      </c>
      <c r="L35" s="3435" t="s">
        <v>351</v>
      </c>
      <c r="M35" s="1260" t="s">
        <v>352</v>
      </c>
      <c r="N35" s="3435" t="s">
        <v>353</v>
      </c>
      <c r="O35" s="3435" t="s">
        <v>354</v>
      </c>
      <c r="P35" s="2014"/>
      <c r="V35" s="2014"/>
    </row>
    <row r="36" spans="1:26" ht="16.5" customHeight="1">
      <c r="A36" s="303" t="s">
        <v>344</v>
      </c>
      <c r="B36" s="304" t="s">
        <v>333</v>
      </c>
      <c r="C36" s="305" t="s">
        <v>345</v>
      </c>
      <c r="D36" s="305" t="s">
        <v>346</v>
      </c>
      <c r="E36" s="306" t="s">
        <v>347</v>
      </c>
      <c r="F36" s="311"/>
      <c r="G36" s="311"/>
      <c r="H36" s="311"/>
      <c r="I36" s="311"/>
      <c r="J36" s="2016"/>
      <c r="K36" s="3436"/>
      <c r="L36" s="3436"/>
      <c r="M36" s="1262" t="s">
        <v>355</v>
      </c>
      <c r="N36" s="3436"/>
      <c r="O36" s="3436"/>
      <c r="P36" s="2014"/>
      <c r="V36" s="2014"/>
    </row>
    <row r="37" spans="1:26" ht="16.5" customHeight="1" thickBot="1">
      <c r="A37" s="1256" t="s">
        <v>348</v>
      </c>
      <c r="B37" s="307"/>
      <c r="C37" s="294"/>
      <c r="D37" s="294"/>
      <c r="E37" s="295"/>
      <c r="F37" s="311"/>
      <c r="G37" s="311"/>
      <c r="H37" s="311"/>
      <c r="I37" s="311"/>
      <c r="J37" s="2016"/>
      <c r="K37" s="3437"/>
      <c r="L37" s="3437"/>
      <c r="M37" s="1263"/>
      <c r="N37" s="3437"/>
      <c r="O37" s="3437"/>
      <c r="P37" s="2014"/>
      <c r="V37" s="2014"/>
    </row>
    <row r="38" spans="1:26" ht="16.5" customHeight="1" thickBot="1">
      <c r="A38" s="1256" t="s">
        <v>349</v>
      </c>
      <c r="B38" s="307"/>
      <c r="C38" s="294"/>
      <c r="D38" s="294"/>
      <c r="E38" s="295"/>
      <c r="F38" s="311"/>
      <c r="G38" s="311"/>
      <c r="H38" s="311"/>
      <c r="I38" s="311"/>
      <c r="J38" s="2016"/>
      <c r="K38" s="1264">
        <f>'数据-汇总表'!D3</f>
        <v>245539.3</v>
      </c>
      <c r="L38" s="1265">
        <f>'数据-汇总表'!E3</f>
        <v>245539.3</v>
      </c>
      <c r="M38" s="1265">
        <f ca="1">C34</f>
        <v>3502</v>
      </c>
      <c r="N38" s="1265">
        <f ca="1">C33</f>
        <v>3502</v>
      </c>
      <c r="O38" s="1266">
        <f ca="1">C32</f>
        <v>85991</v>
      </c>
      <c r="P38" s="2014"/>
      <c r="V38" s="2014"/>
    </row>
    <row r="39" spans="1:26" ht="16.5" customHeight="1" thickBot="1">
      <c r="A39" s="1261"/>
      <c r="B39" s="308"/>
      <c r="C39" s="309"/>
      <c r="D39" s="309"/>
      <c r="E39" s="310"/>
      <c r="F39" s="311"/>
      <c r="G39" s="311"/>
      <c r="H39" s="311"/>
      <c r="I39" s="311"/>
      <c r="J39" s="2016"/>
      <c r="K39" s="3480" t="str">
        <f>MID(A44,3,LEN(A44)-2)</f>
        <v/>
      </c>
      <c r="L39" s="3481"/>
      <c r="M39" s="3481"/>
      <c r="N39" s="3482"/>
      <c r="O39" s="1389" t="str">
        <f>C44</f>
        <v>——</v>
      </c>
      <c r="P39" s="2014"/>
      <c r="V39" s="2014"/>
    </row>
    <row r="40" spans="1:26" ht="19.5" thickBot="1">
      <c r="A40" s="104" t="s">
        <v>873</v>
      </c>
      <c r="B40" s="311"/>
      <c r="C40" s="311"/>
      <c r="D40" s="311"/>
      <c r="E40" s="311"/>
      <c r="F40" s="311"/>
      <c r="G40" s="311"/>
      <c r="H40" s="311"/>
      <c r="I40" s="311"/>
      <c r="J40" s="2016"/>
      <c r="K40" s="3480" t="str">
        <f t="shared" ref="K40:K41" si="0">MID(A45,3,LEN(A45)-2)</f>
        <v/>
      </c>
      <c r="L40" s="3481"/>
      <c r="M40" s="3481"/>
      <c r="N40" s="3482"/>
      <c r="O40" s="1389" t="str">
        <f>C45</f>
        <v>——</v>
      </c>
      <c r="P40" s="2014"/>
      <c r="V40" s="2014"/>
    </row>
    <row r="41" spans="1:26" ht="16.5" thickBot="1">
      <c r="A41" s="312" t="s">
        <v>356</v>
      </c>
      <c r="B41" s="313"/>
      <c r="C41" s="314" t="s">
        <v>357</v>
      </c>
      <c r="D41" s="315" t="s">
        <v>358</v>
      </c>
      <c r="E41" s="315" t="s">
        <v>359</v>
      </c>
      <c r="F41" s="316" t="s">
        <v>360</v>
      </c>
      <c r="G41" s="311"/>
      <c r="H41" s="311"/>
      <c r="I41" s="311"/>
      <c r="J41" s="2016"/>
      <c r="K41" s="3480" t="str">
        <f t="shared" si="0"/>
        <v/>
      </c>
      <c r="L41" s="3481"/>
      <c r="M41" s="3481"/>
      <c r="N41" s="3482"/>
      <c r="O41" s="1389" t="str">
        <f>C46</f>
        <v>——</v>
      </c>
      <c r="P41" s="2014"/>
      <c r="V41" s="2014"/>
    </row>
    <row r="42" spans="1:26" ht="29.25">
      <c r="A42" s="3422" t="s">
        <v>2065</v>
      </c>
      <c r="B42" s="3423"/>
      <c r="C42" s="264">
        <f ca="1">C32</f>
        <v>85991</v>
      </c>
      <c r="D42" s="317">
        <f ca="1">C33</f>
        <v>3502</v>
      </c>
      <c r="E42" s="317">
        <f ca="1">C34</f>
        <v>3502</v>
      </c>
      <c r="F42" s="318">
        <f ca="1">C35</f>
        <v>233</v>
      </c>
      <c r="G42" s="311"/>
      <c r="H42" s="311"/>
      <c r="I42" s="319"/>
      <c r="J42" s="2016"/>
      <c r="K42" s="1267" t="s">
        <v>361</v>
      </c>
      <c r="L42" s="2033" t="s">
        <v>362</v>
      </c>
      <c r="M42" s="1268" t="s">
        <v>363</v>
      </c>
      <c r="N42" s="2034" t="s">
        <v>364</v>
      </c>
      <c r="O42" s="2035" t="s">
        <v>365</v>
      </c>
      <c r="P42" s="2014"/>
      <c r="V42" s="2014"/>
    </row>
    <row r="43" spans="1:26" ht="18">
      <c r="A43" s="3433" t="s">
        <v>2726</v>
      </c>
      <c r="B43" s="3434"/>
      <c r="C43" s="264">
        <f>IF(H33="正常操作",G33+G34+G35,G34+G35)</f>
        <v>0</v>
      </c>
      <c r="D43" s="317" t="s">
        <v>43</v>
      </c>
      <c r="E43" s="317" t="s">
        <v>44</v>
      </c>
      <c r="F43" s="318" t="s">
        <v>44</v>
      </c>
      <c r="G43" s="2822" t="s">
        <v>952</v>
      </c>
      <c r="H43" s="311"/>
      <c r="I43" s="319"/>
      <c r="J43" s="2016"/>
      <c r="K43" s="1269" t="str">
        <f>C4</f>
        <v>基准地价</v>
      </c>
      <c r="L43" s="1270">
        <f ca="1">IF(L42="估价结果/万元",C19,C20)</f>
        <v>30594</v>
      </c>
      <c r="M43" s="1271">
        <f>C18</f>
        <v>0.3</v>
      </c>
      <c r="N43" s="1272">
        <f ca="1">IF(N42="测算结果/万元",G19,G20)</f>
        <v>85991</v>
      </c>
      <c r="O43" s="1273">
        <f ca="1">IF(O42="最终结果/万元",C32,C33)</f>
        <v>85991</v>
      </c>
      <c r="P43" s="2014"/>
      <c r="V43" s="2014"/>
    </row>
    <row r="44" spans="1:26" ht="18.75" thickBot="1">
      <c r="A44" s="3422" t="str">
        <f>IF(OR(项目基本情况!E8="抵押价格",项目基本情况!E8="已注销及未注销"),"3.抵押价格","——")</f>
        <v>——</v>
      </c>
      <c r="B44" s="3423"/>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v>
      </c>
      <c r="L44" s="1275">
        <f ca="1">IF(L42="估价结果/万元",D19,D20)</f>
        <v>109733</v>
      </c>
      <c r="M44" s="1276">
        <f>D18</f>
        <v>0.7</v>
      </c>
      <c r="N44" s="1277"/>
      <c r="O44" s="1278"/>
      <c r="P44" s="2014"/>
      <c r="V44" s="2014"/>
    </row>
    <row r="45" spans="1:26" ht="15">
      <c r="A45" s="3428" t="str">
        <f>IF(项目基本情况!E8="已注销及未注销","4.抵押担保权已注销时的抵押价格",IF(项目基本情况!E8="已注销","3.抵押担保权已注销时的抵押价格","——"))</f>
        <v>——</v>
      </c>
      <c r="B45" s="3429"/>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424" t="str">
        <f>IF(项目基本情况!E9="抵押净值",IF(A45="——","4.抵押净值","5.抵押净值"),"——")</f>
        <v>——</v>
      </c>
      <c r="B46" s="3425"/>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469" t="s">
        <v>374</v>
      </c>
      <c r="B63" s="3470"/>
      <c r="C63" s="3471"/>
      <c r="D63" s="341">
        <f ca="1">ROUND(C42*F63,0)</f>
        <v>51595</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430" t="s">
        <v>378</v>
      </c>
      <c r="B64" s="3431"/>
      <c r="C64" s="3431"/>
      <c r="D64" s="3431"/>
      <c r="E64" s="3431"/>
      <c r="F64" s="3431"/>
      <c r="G64" s="3432"/>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426" t="s">
        <v>386</v>
      </c>
      <c r="B66" s="3427"/>
      <c r="C66" s="3427"/>
      <c r="D66" s="261">
        <f ca="1">IF(H66="情况1",0,IF(H66="情况2",D70,IF(H66="情况3",D71,IF(H66="情况4",D72))))</f>
        <v>2703</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484" t="s">
        <v>385</v>
      </c>
      <c r="M66" s="3485"/>
      <c r="N66" s="2423"/>
      <c r="O66" s="2424"/>
      <c r="P66" s="2425"/>
      <c r="Q66" s="2014"/>
      <c r="R66" s="2014"/>
      <c r="S66" s="2014"/>
      <c r="T66" s="2014"/>
      <c r="U66" s="2014"/>
      <c r="V66" s="2014"/>
    </row>
    <row r="67" spans="1:22" ht="25.5" customHeight="1">
      <c r="A67" s="352" t="s">
        <v>390</v>
      </c>
      <c r="B67" s="3417" t="s">
        <v>391</v>
      </c>
      <c r="C67" s="3417"/>
      <c r="D67" s="353">
        <v>0</v>
      </c>
      <c r="E67" s="41" t="s">
        <v>392</v>
      </c>
      <c r="F67" s="62" t="s">
        <v>21</v>
      </c>
      <c r="G67" s="3472"/>
      <c r="H67" s="311"/>
      <c r="I67" s="1288"/>
      <c r="J67" s="2021"/>
      <c r="K67" s="1962">
        <v>2</v>
      </c>
      <c r="L67" s="3483" t="s">
        <v>389</v>
      </c>
      <c r="M67" s="3483"/>
      <c r="N67" s="1321">
        <f>'数据-取费表'!B2</f>
        <v>43959</v>
      </c>
      <c r="O67" s="1321"/>
      <c r="P67" s="1321"/>
      <c r="Q67" s="2014"/>
      <c r="R67" s="2014"/>
      <c r="S67" s="2014"/>
      <c r="T67" s="2014"/>
      <c r="U67" s="2014"/>
      <c r="V67" s="2014"/>
    </row>
    <row r="68" spans="1:22" ht="25.5" customHeight="1">
      <c r="A68" s="354"/>
      <c r="B68" s="3417" t="s">
        <v>394</v>
      </c>
      <c r="C68" s="3417"/>
      <c r="D68" s="355"/>
      <c r="E68" s="77"/>
      <c r="F68" s="356"/>
      <c r="G68" s="3473"/>
      <c r="H68" s="311"/>
      <c r="I68" s="1288"/>
      <c r="J68" s="2021"/>
      <c r="K68" s="1962">
        <v>3</v>
      </c>
      <c r="L68" s="3483" t="s">
        <v>393</v>
      </c>
      <c r="M68" s="3483"/>
      <c r="N68" s="1289">
        <f ca="1">C42</f>
        <v>85991</v>
      </c>
      <c r="O68" s="1289"/>
      <c r="P68" s="1289"/>
      <c r="Q68" s="2014"/>
      <c r="R68" s="2014"/>
      <c r="S68" s="2014"/>
      <c r="T68" s="2014"/>
      <c r="U68" s="2014"/>
      <c r="V68" s="2014"/>
    </row>
    <row r="69" spans="1:22" ht="12" customHeight="1">
      <c r="A69" s="357"/>
      <c r="B69" s="3417" t="s">
        <v>395</v>
      </c>
      <c r="C69" s="3417"/>
      <c r="D69" s="358"/>
      <c r="E69" s="73"/>
      <c r="F69" s="356"/>
      <c r="G69" s="3474"/>
      <c r="H69" s="311"/>
      <c r="I69" s="1288"/>
      <c r="J69" s="2021"/>
      <c r="K69" s="1290">
        <v>4</v>
      </c>
      <c r="L69" s="3488" t="s">
        <v>2878</v>
      </c>
      <c r="M69" s="3489"/>
      <c r="N69" s="1291" t="str">
        <f>C44</f>
        <v>——</v>
      </c>
      <c r="O69" s="1291"/>
      <c r="P69" s="1291"/>
      <c r="Q69" s="2014"/>
      <c r="R69" s="2014"/>
      <c r="S69" s="2014"/>
      <c r="T69" s="2014"/>
      <c r="U69" s="2014"/>
      <c r="V69" s="2014"/>
    </row>
    <row r="70" spans="1:22" ht="24" customHeight="1">
      <c r="A70" s="359" t="s">
        <v>396</v>
      </c>
      <c r="B70" s="3417" t="s">
        <v>397</v>
      </c>
      <c r="C70" s="3417"/>
      <c r="D70" s="358">
        <f ca="1">ROUND(D63*'数据-取费表'!B41/(1+'数据-取费表'!C42),0)</f>
        <v>2703</v>
      </c>
      <c r="E70" s="17" t="s">
        <v>398</v>
      </c>
      <c r="F70" s="360">
        <f>'数据-取费表'!B41</f>
        <v>5.5000000000000007E-2</v>
      </c>
      <c r="G70" s="361"/>
      <c r="H70" s="311"/>
      <c r="I70" s="1288"/>
      <c r="J70" s="2021"/>
      <c r="K70" s="3014"/>
      <c r="L70" s="3015"/>
      <c r="M70" s="3015"/>
      <c r="N70" s="3016" t="s">
        <v>2883</v>
      </c>
      <c r="O70" s="3015"/>
      <c r="P70" s="3017"/>
      <c r="Q70" s="2014"/>
      <c r="R70" s="2014"/>
      <c r="S70" s="2014"/>
      <c r="T70" s="2014"/>
      <c r="U70" s="2014"/>
      <c r="V70" s="2014"/>
    </row>
    <row r="71" spans="1:22" ht="12" customHeight="1">
      <c r="A71" s="359" t="s">
        <v>404</v>
      </c>
      <c r="B71" s="3418" t="s">
        <v>405</v>
      </c>
      <c r="C71" s="3419"/>
      <c r="D71" s="358">
        <f ca="1">ROUND(D63*'数据-取费表'!B41/(1+'数据-取费表'!C42),0)</f>
        <v>2703</v>
      </c>
      <c r="E71" s="17" t="s">
        <v>398</v>
      </c>
      <c r="F71" s="360">
        <f>'数据-取费表'!B41</f>
        <v>5.5000000000000007E-2</v>
      </c>
      <c r="G71" s="361"/>
      <c r="H71" s="311"/>
      <c r="I71" s="1288"/>
      <c r="J71" s="2021"/>
      <c r="K71" s="3013" t="s">
        <v>399</v>
      </c>
      <c r="L71" s="3490" t="s">
        <v>400</v>
      </c>
      <c r="M71" s="3490"/>
      <c r="N71" s="3013" t="s">
        <v>401</v>
      </c>
      <c r="O71" s="3013" t="s">
        <v>402</v>
      </c>
      <c r="P71" s="3013" t="s">
        <v>403</v>
      </c>
      <c r="Q71" s="2014"/>
      <c r="R71" s="2014"/>
      <c r="S71" s="2014"/>
      <c r="T71" s="2014"/>
      <c r="U71" s="2014"/>
      <c r="V71" s="2014"/>
    </row>
    <row r="72" spans="1:22" ht="12" customHeight="1">
      <c r="A72" s="359" t="s">
        <v>407</v>
      </c>
      <c r="B72" s="3418" t="s">
        <v>408</v>
      </c>
      <c r="C72" s="3419"/>
      <c r="D72" s="358">
        <f ca="1">C86</f>
        <v>2593</v>
      </c>
      <c r="E72" s="73" t="s">
        <v>409</v>
      </c>
      <c r="F72" s="360">
        <f>'数据-取费表'!B41</f>
        <v>5.5000000000000007E-2</v>
      </c>
      <c r="G72" s="361"/>
      <c r="H72" s="1294"/>
      <c r="I72" s="1288"/>
      <c r="J72" s="2021"/>
      <c r="K72" s="1962">
        <v>1</v>
      </c>
      <c r="L72" s="3465" t="s">
        <v>406</v>
      </c>
      <c r="M72" s="3465"/>
      <c r="N72" s="1292">
        <f ca="1">D66</f>
        <v>2703</v>
      </c>
      <c r="O72" s="1845" t="str">
        <f>E66</f>
        <v>销售额×税（费）率</v>
      </c>
      <c r="P72" s="1293">
        <f>F66</f>
        <v>5.5000000000000007E-2</v>
      </c>
      <c r="Q72" s="2014"/>
      <c r="R72" s="2014"/>
      <c r="S72" s="2014"/>
      <c r="T72" s="2014"/>
      <c r="U72" s="2014"/>
      <c r="V72" s="2014"/>
    </row>
    <row r="73" spans="1:22" ht="24" customHeight="1">
      <c r="A73" s="3459" t="s">
        <v>411</v>
      </c>
      <c r="B73" s="3427"/>
      <c r="C73" s="3427"/>
      <c r="D73" s="362">
        <f>IF(H73="个人住宅",0,ROUND(D63*I73,0))</f>
        <v>0</v>
      </c>
      <c r="E73" s="17" t="s">
        <v>412</v>
      </c>
      <c r="F73" s="360" t="str">
        <f>IF(H73="正常",I73,"免征")</f>
        <v>免征</v>
      </c>
      <c r="G73" s="361"/>
      <c r="H73" s="191" t="s">
        <v>2452</v>
      </c>
      <c r="I73" s="360">
        <f>'数据-取费表'!B49</f>
        <v>5.0000000000000001E-4</v>
      </c>
      <c r="J73" s="2021"/>
      <c r="K73" s="1962">
        <v>2</v>
      </c>
      <c r="L73" s="3465" t="s">
        <v>410</v>
      </c>
      <c r="M73" s="3465"/>
      <c r="N73" s="1292">
        <f t="shared" ref="N73:P74" si="1">D73</f>
        <v>0</v>
      </c>
      <c r="O73" s="1845" t="str">
        <f t="shared" si="1"/>
        <v>销售额×税（费）率</v>
      </c>
      <c r="P73" s="1293" t="str">
        <f t="shared" si="1"/>
        <v>免征</v>
      </c>
      <c r="Q73" s="2014"/>
      <c r="R73" s="2014"/>
      <c r="S73" s="2014"/>
      <c r="T73" s="2014"/>
      <c r="U73" s="2014"/>
      <c r="V73" s="2014"/>
    </row>
    <row r="74" spans="1:22" ht="24.75">
      <c r="A74" s="3459" t="s">
        <v>415</v>
      </c>
      <c r="B74" s="3427"/>
      <c r="C74" s="3427"/>
      <c r="D74" s="362">
        <f ca="1">IF(H74="个人住宅",D75,D76)</f>
        <v>28594</v>
      </c>
      <c r="E74" s="17" t="s">
        <v>416</v>
      </c>
      <c r="F74" s="360" t="str">
        <f>IF(H74="正常",F76,"免征")</f>
        <v>——</v>
      </c>
      <c r="G74" s="983" t="s">
        <v>417</v>
      </c>
      <c r="H74" s="363" t="s">
        <v>413</v>
      </c>
      <c r="I74" s="42"/>
      <c r="J74" s="2021"/>
      <c r="K74" s="1962">
        <v>3</v>
      </c>
      <c r="L74" s="3465" t="s">
        <v>414</v>
      </c>
      <c r="M74" s="3465"/>
      <c r="N74" s="1292">
        <f t="shared" ca="1" si="1"/>
        <v>28594</v>
      </c>
      <c r="O74" s="1845" t="str">
        <f t="shared" si="1"/>
        <v>增值额×税（费）率</v>
      </c>
      <c r="P74" s="1295" t="str">
        <f t="shared" si="1"/>
        <v>——</v>
      </c>
      <c r="Q74" s="2014"/>
      <c r="R74" s="2014"/>
      <c r="S74" s="2014"/>
      <c r="T74" s="2014"/>
      <c r="U74" s="2014"/>
      <c r="V74" s="2014"/>
    </row>
    <row r="75" spans="1:22" ht="24">
      <c r="A75" s="359" t="s">
        <v>418</v>
      </c>
      <c r="B75" s="3415" t="s">
        <v>419</v>
      </c>
      <c r="C75" s="3445"/>
      <c r="D75" s="364">
        <v>0</v>
      </c>
      <c r="E75" s="41" t="s">
        <v>420</v>
      </c>
      <c r="F75" s="365"/>
      <c r="G75" s="361"/>
      <c r="H75" s="42"/>
      <c r="I75" s="42"/>
      <c r="J75" s="2021"/>
      <c r="K75" s="3006">
        <f>IF(H77="非个人房产","",4)</f>
        <v>4</v>
      </c>
      <c r="L75" s="3465" t="str">
        <f>IF(H77="非个人房产","——","个人所得税")</f>
        <v>个人所得税</v>
      </c>
      <c r="M75" s="3465"/>
      <c r="N75" s="1296">
        <f ca="1">D77</f>
        <v>516</v>
      </c>
      <c r="O75" s="1858" t="str">
        <f>E77</f>
        <v>销售额×税（费）率</v>
      </c>
      <c r="P75" s="1297">
        <f>F77</f>
        <v>0.01</v>
      </c>
      <c r="Q75" s="2014"/>
      <c r="R75" s="2014"/>
      <c r="S75" s="2014"/>
      <c r="T75" s="2014"/>
      <c r="U75" s="2014"/>
      <c r="V75" s="2014"/>
    </row>
    <row r="76" spans="1:22" ht="24.75">
      <c r="A76" s="359" t="s">
        <v>396</v>
      </c>
      <c r="B76" s="3415" t="s">
        <v>422</v>
      </c>
      <c r="C76" s="3416"/>
      <c r="D76" s="362">
        <f ca="1">IF(H76="转让取得",C99,C115)</f>
        <v>28594</v>
      </c>
      <c r="E76" s="17" t="s">
        <v>423</v>
      </c>
      <c r="F76" s="53" t="s">
        <v>21</v>
      </c>
      <c r="G76" s="361"/>
      <c r="H76" s="363" t="s">
        <v>424</v>
      </c>
      <c r="I76" s="42"/>
      <c r="J76" s="2021"/>
      <c r="K76" s="3006" t="str">
        <f>IF(项目基本情况!K6="上海银行",IF(K75="",4,K75+1),"")</f>
        <v/>
      </c>
      <c r="L76" s="3476" t="str">
        <f>IF(项目基本情况!K6="上海银行","其他处置费用","")</f>
        <v/>
      </c>
      <c r="M76" s="3477"/>
      <c r="N76" s="1292" t="str">
        <f>IF(项目基本情况!K6="上海银行",N89,"")</f>
        <v/>
      </c>
      <c r="O76" s="3478" t="str">
        <f>IF(项目基本情况!K6="上海银行","包含处置中涉及的律师、诉讼、拍卖、评估等费用","")</f>
        <v/>
      </c>
      <c r="P76" s="3479"/>
      <c r="Q76" s="2014"/>
      <c r="R76" s="2014"/>
      <c r="S76" s="2014"/>
      <c r="T76" s="2014"/>
      <c r="U76" s="2014"/>
      <c r="V76" s="2014"/>
    </row>
    <row r="77" spans="1:22" ht="26.25" thickBot="1">
      <c r="A77" s="3467" t="s">
        <v>426</v>
      </c>
      <c r="B77" s="3468"/>
      <c r="C77" s="3468"/>
      <c r="D77" s="366">
        <f ca="1">IF(H77="非个人房产","——",IF(H77="个人住宅",0,ROUND(D63*I77,0)))</f>
        <v>516</v>
      </c>
      <c r="E77" s="367" t="str">
        <f>IF(H77="非个人房产","——","销售额×税（费）率")</f>
        <v>销售额×税（费）率</v>
      </c>
      <c r="F77" s="368">
        <f>IF(H77="非个人房产","——",IF(H77="个人住宅","免征",I77))</f>
        <v>0.01</v>
      </c>
      <c r="G77" s="984" t="s">
        <v>417</v>
      </c>
      <c r="H77" s="363" t="s">
        <v>2879</v>
      </c>
      <c r="I77" s="369">
        <v>0.01</v>
      </c>
      <c r="J77" s="2021"/>
      <c r="K77" s="3466">
        <f>IF(AND(K75="",K76=""),4,IF(项目基本情况!K6="上海银行",K76+1,K75+1))</f>
        <v>5</v>
      </c>
      <c r="L77" s="3465" t="s">
        <v>2880</v>
      </c>
      <c r="M77" s="3012" t="s">
        <v>421</v>
      </c>
      <c r="N77" s="1298"/>
      <c r="O77" s="1299">
        <f ca="1">SUMIF(N72:N76,"&lt;9e307")</f>
        <v>31813</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466"/>
      <c r="L78" s="3465"/>
      <c r="M78" s="3012" t="s">
        <v>425</v>
      </c>
      <c r="N78" s="1298"/>
      <c r="O78" s="1299" t="str">
        <f ca="1">NUMBERSTRING(INT(O77*10000),2)&amp;"元整"</f>
        <v>叁亿壹仟捌佰壹拾叁万元整</v>
      </c>
      <c r="P78" s="1300"/>
      <c r="Q78" s="2014"/>
      <c r="R78" s="2014"/>
      <c r="S78" s="2014"/>
      <c r="T78" s="2014"/>
      <c r="U78" s="2014"/>
      <c r="V78" s="2014"/>
    </row>
    <row r="79" spans="1:22" ht="13.5" thickBot="1">
      <c r="A79" s="3460" t="s">
        <v>427</v>
      </c>
      <c r="B79" s="3460"/>
      <c r="C79" s="3460"/>
      <c r="D79" s="3460"/>
      <c r="E79" s="3460"/>
      <c r="F79" s="42"/>
      <c r="G79" s="42"/>
      <c r="H79" s="1003"/>
      <c r="I79" s="311"/>
      <c r="J79" s="2021"/>
      <c r="K79" s="3486">
        <f>K77+1</f>
        <v>6</v>
      </c>
      <c r="L79" s="3465" t="s">
        <v>2881</v>
      </c>
      <c r="M79" s="3012" t="s">
        <v>421</v>
      </c>
      <c r="N79" s="1298"/>
      <c r="O79" s="1299" t="e">
        <f ca="1">N69-O77</f>
        <v>#VALUE!</v>
      </c>
      <c r="P79" s="1300"/>
      <c r="Q79" s="2014"/>
      <c r="R79" s="2014"/>
      <c r="S79" s="2014"/>
      <c r="T79" s="2014"/>
      <c r="U79" s="2014"/>
      <c r="V79" s="2014"/>
    </row>
    <row r="80" spans="1:22" ht="12.75">
      <c r="A80" s="3455" t="s">
        <v>428</v>
      </c>
      <c r="B80" s="3456"/>
      <c r="C80" s="994"/>
      <c r="D80" s="994" t="s">
        <v>429</v>
      </c>
      <c r="E80" s="370" t="s">
        <v>430</v>
      </c>
      <c r="F80" s="42"/>
      <c r="G80" s="42"/>
      <c r="H80" s="1003"/>
      <c r="I80" s="311"/>
      <c r="J80" s="2014"/>
      <c r="K80" s="3487"/>
      <c r="L80" s="3465"/>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49138</v>
      </c>
      <c r="D81" s="373"/>
      <c r="E81" s="374"/>
      <c r="F81" s="42"/>
      <c r="G81" s="42"/>
      <c r="H81" s="1003"/>
      <c r="I81" s="311"/>
      <c r="J81" s="2014"/>
      <c r="K81" s="3006">
        <f>K79+1</f>
        <v>7</v>
      </c>
      <c r="L81" s="3463" t="s">
        <v>2882</v>
      </c>
      <c r="M81" s="3464"/>
      <c r="N81" s="1302"/>
      <c r="O81" s="1303" t="e">
        <f ca="1">ROUND(O79*10000/'数据-汇总表'!E3,0)</f>
        <v>#VALUE!</v>
      </c>
      <c r="P81" s="1304"/>
      <c r="Q81" s="2014"/>
      <c r="R81" s="2014"/>
      <c r="S81" s="2014"/>
      <c r="T81" s="2014"/>
      <c r="U81" s="2014"/>
      <c r="V81" s="2014"/>
    </row>
    <row r="82" spans="1:26" ht="13.5" thickTop="1">
      <c r="A82" s="375" t="s">
        <v>1824</v>
      </c>
      <c r="B82" s="376" t="s">
        <v>432</v>
      </c>
      <c r="C82" s="377">
        <f ca="1">D63</f>
        <v>51595</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475" t="s">
        <v>2869</v>
      </c>
      <c r="L83" s="3018" t="s">
        <v>2870</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3" t="s">
        <v>2936</v>
      </c>
      <c r="F84" s="42"/>
      <c r="G84" s="42"/>
      <c r="H84" s="1003"/>
      <c r="I84" s="311"/>
      <c r="J84" s="2014"/>
      <c r="K84" s="3475"/>
      <c r="L84" s="3018" t="s">
        <v>2871</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2872</v>
      </c>
      <c r="P84" s="2014"/>
      <c r="Q84" s="2014"/>
      <c r="R84" s="2014"/>
      <c r="S84" s="2014"/>
      <c r="T84" s="2014"/>
      <c r="U84" s="2014"/>
      <c r="V84" s="2014"/>
    </row>
    <row r="85" spans="1:26" ht="12.75">
      <c r="A85" s="381" t="s">
        <v>1827</v>
      </c>
      <c r="B85" s="382" t="s">
        <v>435</v>
      </c>
      <c r="C85" s="385">
        <f ca="1">C81-C84</f>
        <v>47138</v>
      </c>
      <c r="D85" s="378" t="s">
        <v>19</v>
      </c>
      <c r="E85" s="379"/>
      <c r="F85" s="42"/>
      <c r="G85" s="42"/>
      <c r="H85" s="1003"/>
      <c r="I85" s="311"/>
      <c r="J85" s="2014"/>
      <c r="K85" s="3475"/>
      <c r="L85" s="3018" t="s">
        <v>2873</v>
      </c>
      <c r="M85" s="3008" t="e">
        <f>IF(N69&gt;1000,N69*0.1%,IF(AND(N69&gt;500,N69&lt;=1000),N69*0.5%,IF(AND(N69&gt;50,N69&lt;=500),N69*1%,IF(AND(N69&gt;1,N69&lt;=50),N69*1.5%))))</f>
        <v>#VALUE!</v>
      </c>
      <c r="N85" s="53" t="e">
        <f t="shared" si="2"/>
        <v>#VALUE!</v>
      </c>
      <c r="O85" s="2014" t="s">
        <v>2872</v>
      </c>
      <c r="P85" s="2014"/>
      <c r="Q85" s="2014"/>
      <c r="R85" s="2014"/>
      <c r="S85" s="2014"/>
      <c r="T85" s="2014"/>
      <c r="U85" s="2014"/>
      <c r="V85" s="2014"/>
    </row>
    <row r="86" spans="1:26" ht="13.5" thickBot="1">
      <c r="A86" s="386" t="s">
        <v>1828</v>
      </c>
      <c r="B86" s="387" t="s">
        <v>436</v>
      </c>
      <c r="C86" s="388">
        <f ca="1">IF(C85&lt;=0,0,ROUND(C85*D86,0))</f>
        <v>2593</v>
      </c>
      <c r="D86" s="389">
        <f>'数据-取费表'!B41</f>
        <v>5.5000000000000007E-2</v>
      </c>
      <c r="E86" s="390"/>
      <c r="F86" s="42"/>
      <c r="G86" s="42"/>
      <c r="H86" s="1003"/>
      <c r="I86" s="311"/>
      <c r="J86" s="2014"/>
      <c r="K86" s="3475"/>
      <c r="L86" s="3018" t="s">
        <v>2874</v>
      </c>
      <c r="M86" s="3008" t="e">
        <f>N69*0.5%</f>
        <v>#VALUE!</v>
      </c>
      <c r="N86" s="53" t="e">
        <f>IF(M86&gt;0.5,0.5,ROUND(M86,0))</f>
        <v>#VALUE!</v>
      </c>
      <c r="O86" s="2014" t="s">
        <v>2875</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475"/>
      <c r="L87" s="3018" t="s">
        <v>2876</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457" t="s">
        <v>437</v>
      </c>
      <c r="B88" s="3458"/>
      <c r="C88" s="3458"/>
      <c r="D88" s="3458"/>
      <c r="E88" s="3458"/>
      <c r="F88" s="3458"/>
      <c r="G88" s="3458"/>
      <c r="H88" s="3458"/>
      <c r="I88" s="1311"/>
      <c r="J88" s="2022"/>
      <c r="K88" s="3475"/>
      <c r="L88" s="3018" t="s">
        <v>2877</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455" t="s">
        <v>428</v>
      </c>
      <c r="B89" s="3456"/>
      <c r="C89" s="994"/>
      <c r="D89" s="994" t="s">
        <v>429</v>
      </c>
      <c r="E89" s="391" t="s">
        <v>438</v>
      </c>
      <c r="F89" s="392"/>
      <c r="G89" s="392"/>
      <c r="H89" s="393"/>
      <c r="I89" s="1312"/>
      <c r="J89" s="2024"/>
      <c r="K89" s="3475"/>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49138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2807</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418" t="s">
        <v>447</v>
      </c>
      <c r="F94" s="3417"/>
      <c r="G94" s="3417"/>
      <c r="H94" s="345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246</v>
      </c>
      <c r="D96" s="406">
        <f>'数据-取费表'!B43</f>
        <v>5.000000000000001E-3</v>
      </c>
      <c r="E96" s="3446" t="s">
        <v>2425</v>
      </c>
      <c r="F96" s="3447"/>
      <c r="G96" s="3447"/>
      <c r="H96" s="3448"/>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46331</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16.505521909511934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26816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457" t="s">
        <v>454</v>
      </c>
      <c r="B101" s="3458"/>
      <c r="C101" s="3458"/>
      <c r="D101" s="3458"/>
      <c r="E101" s="3458"/>
      <c r="F101" s="3458"/>
      <c r="G101" s="3458"/>
      <c r="H101" s="3458"/>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455" t="s">
        <v>428</v>
      </c>
      <c r="B102" s="3456"/>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49138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936</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449" t="s">
        <v>462</v>
      </c>
      <c r="F109" s="3447"/>
      <c r="G109" s="3447"/>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449" t="s">
        <v>464</v>
      </c>
      <c r="F110" s="3447"/>
      <c r="G110" s="3447"/>
      <c r="H110" s="3448"/>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246</v>
      </c>
      <c r="D111" s="406">
        <f>'数据-取费表'!B43</f>
        <v>5.000000000000001E-3</v>
      </c>
      <c r="E111" s="3446" t="s">
        <v>2425</v>
      </c>
      <c r="F111" s="3447"/>
      <c r="G111" s="3447"/>
      <c r="H111" s="3448"/>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449" t="s">
        <v>2450</v>
      </c>
      <c r="F112" s="3447"/>
      <c r="G112" s="3447"/>
      <c r="H112" s="3448"/>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48202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51.497863247863251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28594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25" sqref="C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-9721</v>
      </c>
      <c r="C2" s="2090"/>
      <c r="D2" s="2090"/>
      <c r="E2" s="2090"/>
      <c r="F2" s="2090"/>
      <c r="G2" s="2090"/>
      <c r="H2" s="2090"/>
      <c r="I2" s="2090"/>
      <c r="J2" s="2090"/>
      <c r="K2" s="2090"/>
    </row>
    <row r="3" spans="1:31" s="2027" customFormat="1" ht="18" customHeight="1">
      <c r="A3" s="2092" t="s">
        <v>1684</v>
      </c>
      <c r="B3" s="2093">
        <f ca="1">ROUND(B2*10000/IF(B1="",'数据-汇总表'!E3,INDIRECT("'数据-取费表'!K"&amp;$K$1)),0)</f>
        <v>-396</v>
      </c>
      <c r="C3" s="2090"/>
      <c r="D3" s="2090"/>
      <c r="E3" s="2090"/>
      <c r="F3" s="2090"/>
      <c r="G3" s="2090"/>
      <c r="H3" s="2090"/>
      <c r="I3" s="2090"/>
      <c r="J3" s="2090"/>
      <c r="K3" s="2090"/>
    </row>
    <row r="4" spans="1:31" s="2027" customFormat="1" ht="18" customHeight="1">
      <c r="A4" s="426" t="s">
        <v>468</v>
      </c>
      <c r="B4" s="427">
        <f ca="1">ROUND(B2*10000/IF(B1="",'数据-汇总表'!D3,INDIRECT("'数据-取费表'!R"&amp;$K$1)),0)</f>
        <v>-396</v>
      </c>
      <c r="C4" s="428"/>
      <c r="D4" s="422"/>
      <c r="E4" s="422"/>
      <c r="F4" s="422"/>
      <c r="G4" s="422"/>
      <c r="H4" s="422"/>
      <c r="I4" s="422"/>
      <c r="J4" s="422"/>
      <c r="K4" s="422"/>
    </row>
    <row r="5" spans="1:31" s="2027" customFormat="1" ht="18" customHeight="1" thickBot="1">
      <c r="A5" s="429"/>
      <c r="B5" s="430">
        <f ca="1">ROUND(B2/(IF(B1="",'数据-汇总表'!D3,INDIRECT("'数据-取费表'!R"&amp;$K$1))/666.67),0)</f>
        <v>-26</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4911</v>
      </c>
      <c r="D16" s="2800">
        <f ca="1">IF(B1="",'数据-汇总表'!E3,INDIRECT("'数据-取费表'!K"&amp;$K$1)+INDIRECT("'数据-取费表'!S"&amp;$K$1))</f>
        <v>245539.3</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4911</v>
      </c>
      <c r="D18" s="2809"/>
      <c r="E18" s="468"/>
      <c r="F18" s="468"/>
      <c r="G18" s="2772" t="s">
        <v>2427</v>
      </c>
      <c r="H18" s="2773"/>
      <c r="I18" s="2773"/>
      <c r="J18" s="2773"/>
      <c r="K18" s="2774"/>
    </row>
    <row r="19" spans="1:14" s="2102" customFormat="1" ht="13.5" customHeight="1">
      <c r="A19" s="2806" t="s">
        <v>1854</v>
      </c>
      <c r="B19" s="2807" t="s">
        <v>488</v>
      </c>
      <c r="C19" s="2764">
        <f ca="1">ROUND(D19*E19/10000,0)</f>
        <v>0</v>
      </c>
      <c r="D19" s="2810">
        <f ca="1">D16</f>
        <v>245539.3</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4911</v>
      </c>
      <c r="D20" s="2810"/>
      <c r="E20" s="2764"/>
      <c r="F20" s="2811"/>
      <c r="G20" s="3041"/>
      <c r="H20" s="2766"/>
      <c r="I20" s="2767" t="s">
        <v>2647</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4911</v>
      </c>
      <c r="D22" s="2800">
        <f ca="1">IF(B1="",'数据-汇总表'!E6,IF(INDIRECT("'数据-取费表'!c"&amp;$K$1)="住宅",INDIRECT("'数据-取费表'!s"&amp;$K$1),INDIRECT("'数据-取费表'!k"&amp;$K$1)+INDIRECT("'数据-取费表'!s"&amp;$K$1)))</f>
        <v>245539.3</v>
      </c>
      <c r="E22" s="53">
        <f>'数据-取费表'!B28</f>
        <v>200</v>
      </c>
      <c r="F22" s="2803"/>
      <c r="G22" s="26"/>
      <c r="H22" s="51"/>
      <c r="I22" s="51"/>
      <c r="J22" s="51"/>
      <c r="K22" s="2775"/>
    </row>
    <row r="23" spans="1:14" s="2102" customFormat="1" ht="13.5" customHeight="1">
      <c r="A23" s="2806" t="s">
        <v>1858</v>
      </c>
      <c r="B23" s="2988" t="s">
        <v>2829</v>
      </c>
      <c r="C23" s="2808">
        <f ca="1">ROUND((C18+C19+C20)*F23,0)</f>
        <v>196</v>
      </c>
      <c r="D23" s="468"/>
      <c r="E23" s="468"/>
      <c r="F23" s="2812">
        <f>'数据-取费表'!B37</f>
        <v>0.02</v>
      </c>
      <c r="G23" s="2768" t="s">
        <v>2428</v>
      </c>
      <c r="H23" s="2769"/>
      <c r="I23" s="2769"/>
      <c r="J23" s="2769"/>
      <c r="K23" s="2770"/>
      <c r="L23" s="2104"/>
      <c r="M23" s="2104"/>
      <c r="N23" s="2104"/>
    </row>
    <row r="24" spans="1:14" s="2102" customFormat="1" ht="13.5" customHeight="1">
      <c r="A24" s="2806" t="s">
        <v>1859</v>
      </c>
      <c r="B24" s="2988" t="s">
        <v>2832</v>
      </c>
      <c r="C24" s="2808">
        <f>ROUND(C6*F24,0)</f>
        <v>0</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2830</v>
      </c>
      <c r="C25" s="3185">
        <f>F25</f>
        <v>3.0499999999999999E-2</v>
      </c>
      <c r="D25" s="462" t="s">
        <v>2824</v>
      </c>
      <c r="E25" s="469"/>
      <c r="F25" s="2812">
        <f>'数据-取费表'!B48+'数据-取费表'!B49</f>
        <v>3.0499999999999999E-2</v>
      </c>
      <c r="G25" s="2776" t="s">
        <v>2987</v>
      </c>
      <c r="H25" s="2769"/>
      <c r="I25" s="2769"/>
      <c r="J25" s="2769"/>
      <c r="K25" s="2770"/>
    </row>
    <row r="26" spans="1:14" s="2104" customFormat="1" ht="13.5" customHeight="1">
      <c r="A26" s="2806" t="s">
        <v>1861</v>
      </c>
      <c r="B26" s="2989" t="s">
        <v>2831</v>
      </c>
      <c r="C26" s="2813">
        <f ca="1">C28</f>
        <v>0</v>
      </c>
      <c r="D26" s="467">
        <f ca="1">C27</f>
        <v>0</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2833</v>
      </c>
      <c r="C28" s="2816">
        <f ca="1">ROUND(IF('数据-取费表'!B22&lt;=1,(C18+C19+C20+C23+C24)*F26*'数据-取费表'!B24/2,(C18+C19+C20+C23+C24)*(POWER((1+F26),'数据-取费表'!B24/2)-1)),0)</f>
        <v>0</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10018</v>
      </c>
      <c r="D30" s="477">
        <f ca="1">C32</f>
        <v>3.0499999999999999E-2</v>
      </c>
      <c r="E30" s="469" t="s">
        <v>495</v>
      </c>
      <c r="F30" s="471"/>
      <c r="G30" s="2776" t="s">
        <v>2967</v>
      </c>
      <c r="H30" s="2769"/>
      <c r="I30" s="2769"/>
      <c r="J30" s="2769"/>
      <c r="K30" s="2770"/>
    </row>
    <row r="31" spans="1:14" s="2106" customFormat="1" ht="13.5" customHeight="1">
      <c r="A31" s="803" t="s">
        <v>1856</v>
      </c>
      <c r="B31" s="2814"/>
      <c r="C31" s="450">
        <f ca="1">C18+C19+C20+C23+C24+C26+C29</f>
        <v>10018</v>
      </c>
      <c r="D31" s="472"/>
      <c r="E31" s="473"/>
      <c r="F31" s="474"/>
      <c r="G31" s="261"/>
      <c r="H31" s="2771"/>
      <c r="I31" s="2771"/>
      <c r="J31" s="2771"/>
      <c r="K31" s="279"/>
    </row>
    <row r="32" spans="1:14" s="2106" customFormat="1" ht="13.5" customHeight="1">
      <c r="A32" s="803" t="s">
        <v>1857</v>
      </c>
      <c r="B32" s="2814"/>
      <c r="C32" s="53">
        <f ca="1">ROUND(C25+D26,4)</f>
        <v>3.0499999999999999E-2</v>
      </c>
      <c r="D32" s="472"/>
      <c r="E32" s="473"/>
      <c r="F32" s="474"/>
      <c r="G32" s="261"/>
      <c r="H32" s="2771"/>
      <c r="I32" s="2771"/>
      <c r="J32" s="2771"/>
      <c r="K32" s="279"/>
    </row>
    <row r="33" spans="1:11" s="2108" customFormat="1" ht="13.5" customHeight="1">
      <c r="A33" s="2987" t="s">
        <v>2828</v>
      </c>
      <c r="B33" s="2985" t="s">
        <v>2826</v>
      </c>
      <c r="C33" s="478">
        <f ca="1">C35</f>
        <v>1202</v>
      </c>
      <c r="D33" s="467">
        <f ca="1">C34</f>
        <v>0.1237</v>
      </c>
      <c r="E33" s="469" t="s">
        <v>495</v>
      </c>
      <c r="F33" s="479">
        <f ca="1">IF(B1="",'数据-取费表'!Q16,INDIRECT("'数据-取费表'!q"&amp;$K$1))</f>
        <v>0.12</v>
      </c>
      <c r="G33" s="2772"/>
      <c r="H33" s="2773"/>
      <c r="I33" s="2773"/>
      <c r="J33" s="2773"/>
      <c r="K33" s="2774"/>
    </row>
    <row r="34" spans="1:11" s="2109" customFormat="1" ht="13.5" customHeight="1">
      <c r="A34" s="375" t="s">
        <v>1856</v>
      </c>
      <c r="B34" s="2819" t="s">
        <v>501</v>
      </c>
      <c r="C34" s="472">
        <f ca="1">ROUND((1+C25)*F33,4)</f>
        <v>0.1237</v>
      </c>
      <c r="D34" s="472"/>
      <c r="E34" s="473"/>
      <c r="F34" s="480"/>
      <c r="G34" s="261" t="s">
        <v>2287</v>
      </c>
      <c r="H34" s="2771"/>
      <c r="I34" s="2771"/>
      <c r="J34" s="2771"/>
      <c r="K34" s="279"/>
    </row>
    <row r="35" spans="1:11" s="2109" customFormat="1" ht="13.5" customHeight="1" thickBot="1">
      <c r="A35" s="1622" t="s">
        <v>1857</v>
      </c>
      <c r="B35" s="2986" t="s">
        <v>2834</v>
      </c>
      <c r="C35" s="1614">
        <f ca="1">ROUND((C18+C19+C20+C23+C24)*F33,0)</f>
        <v>1202</v>
      </c>
      <c r="D35" s="1615"/>
      <c r="E35" s="2820"/>
      <c r="F35" s="1616"/>
      <c r="G35" s="2778"/>
      <c r="H35" s="2779"/>
      <c r="I35" s="2779"/>
      <c r="J35" s="2779"/>
      <c r="K35" s="2780"/>
    </row>
    <row r="36" spans="1:11" s="2071" customFormat="1" ht="13.5" customHeight="1" thickBot="1">
      <c r="A36" s="284" t="s">
        <v>1844</v>
      </c>
      <c r="B36" s="2782"/>
      <c r="C36" s="2821">
        <f ca="1">ROUND((C6-C30-C33)/(1+D30+D33),0)</f>
        <v>-9721</v>
      </c>
      <c r="D36" s="2782"/>
      <c r="E36" s="2782"/>
      <c r="F36" s="2782"/>
      <c r="G36" s="2781" t="s">
        <v>2835</v>
      </c>
      <c r="H36" s="2782"/>
      <c r="I36" s="2782"/>
      <c r="J36" s="2782"/>
      <c r="K36" s="2783"/>
    </row>
    <row r="38" spans="1:11" ht="12.75" customHeight="1"/>
  </sheetData>
  <sheetProtection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8" workbookViewId="0">
      <selection activeCell="C25" sqref="C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#DIV/0!</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#DIV/0!</v>
      </c>
      <c r="C3" s="2090"/>
      <c r="D3" s="2090"/>
      <c r="E3" s="2090"/>
      <c r="F3" s="2090"/>
      <c r="G3" s="2090"/>
      <c r="H3" s="2090"/>
      <c r="I3" s="2090"/>
      <c r="J3" s="2090"/>
      <c r="K3" s="2090"/>
    </row>
    <row r="4" spans="1:41" s="2027" customFormat="1" ht="18" customHeight="1">
      <c r="A4" s="426" t="s">
        <v>468</v>
      </c>
      <c r="B4" s="427" t="e">
        <f ca="1">ROUND(B2*10000/IF(B1="",'数据-汇总表'!D3,INDIRECT("'数据-取费表'!R"&amp;$K$1)),0)</f>
        <v>#DIV/0!</v>
      </c>
      <c r="C4" s="2047"/>
      <c r="D4" s="2090"/>
      <c r="E4" s="2090"/>
      <c r="F4" s="2090"/>
      <c r="G4" s="2090"/>
      <c r="H4" s="2090"/>
      <c r="I4" s="2090"/>
      <c r="J4" s="2090"/>
      <c r="K4" s="2090"/>
    </row>
    <row r="5" spans="1:41" s="2027" customFormat="1" ht="18" customHeight="1" thickBot="1">
      <c r="A5" s="429"/>
      <c r="B5" s="430" t="e">
        <f ca="1">ROUND(B2/(IF(B1="",'数据-汇总表'!D3,INDIRECT("'数据-取费表'!R"&amp;$K$1))/666.67),0)</f>
        <v>#DIV/0!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4911</v>
      </c>
      <c r="D16" s="451">
        <f ca="1">IF(B1="",'数据-汇总表'!E3,INDIRECT("'数据-取费表'!K"&amp;$K$1)+INDIRECT("'数据-取费表'!S"&amp;$K$1))</f>
        <v>245539.3</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4911</v>
      </c>
      <c r="D18" s="461"/>
      <c r="E18" s="462"/>
      <c r="F18" s="462"/>
      <c r="G18" s="1323" t="s">
        <v>2429</v>
      </c>
      <c r="H18" s="447"/>
      <c r="I18" s="447"/>
      <c r="J18" s="447"/>
      <c r="K18" s="448"/>
    </row>
    <row r="19" spans="1:14" s="2105" customFormat="1" ht="13.5" customHeight="1">
      <c r="A19" s="1620" t="s">
        <v>1854</v>
      </c>
      <c r="B19" s="459" t="s">
        <v>493</v>
      </c>
      <c r="C19" s="460">
        <f ca="1">ROUND(C18*F19,0)</f>
        <v>98</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0</v>
      </c>
      <c r="D21" s="467">
        <f ca="1">C23</f>
        <v>0</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2451</v>
      </c>
    </row>
    <row r="22" spans="1:14" s="2106" customFormat="1" ht="13.5" customHeight="1">
      <c r="A22" s="1619" t="s">
        <v>1848</v>
      </c>
      <c r="B22" s="1324" t="s">
        <v>2432</v>
      </c>
      <c r="C22" s="487">
        <f ca="1">ROUND(IF('数据-取费表'!B22&lt;=1,(C18+C19)*F21*'数据-取费表'!B20/2,(C18+C19)*(POWER((1+F21),'数据-取费表'!B20/2)-1)),0)</f>
        <v>0</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f ca="1">ROUND(IF('数据-取费表'!B22&lt;=1,F20*F21*'数据-取费表'!B20/2,F20*(POWER((1+F21),'数据-取费表'!B20/2)-1)),4)</f>
        <v>0</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5" t="s">
        <v>2827</v>
      </c>
      <c r="C24" s="478">
        <f ca="1">C25</f>
        <v>601</v>
      </c>
      <c r="D24" s="489">
        <f ca="1">C26</f>
        <v>2.3999999999999998E-3</v>
      </c>
      <c r="E24" s="469" t="s">
        <v>507</v>
      </c>
      <c r="F24" s="479">
        <f ca="1">IF(B1="",'数据-取费表'!Q16,INDIRECT("'数据-取费表'!q"&amp;$K$1))</f>
        <v>0.12</v>
      </c>
      <c r="G24" s="444"/>
      <c r="H24" s="447"/>
      <c r="I24" s="447"/>
      <c r="J24" s="447"/>
      <c r="K24" s="448"/>
    </row>
    <row r="25" spans="1:14" s="2106" customFormat="1" ht="13.5" customHeight="1">
      <c r="A25" s="1619" t="s">
        <v>1848</v>
      </c>
      <c r="B25" s="1324" t="s">
        <v>2433</v>
      </c>
      <c r="C25" s="490">
        <f ca="1">ROUND((C18+C19)*F24,0)</f>
        <v>601</v>
      </c>
      <c r="D25" s="472"/>
      <c r="E25" s="473"/>
      <c r="F25" s="480"/>
      <c r="G25" s="1322" t="s">
        <v>2430</v>
      </c>
      <c r="H25" s="457"/>
      <c r="I25" s="457"/>
      <c r="J25" s="457"/>
      <c r="K25" s="458"/>
    </row>
    <row r="26" spans="1:14" s="2106" customFormat="1" ht="13.5" customHeight="1">
      <c r="A26" s="1619" t="s">
        <v>1849</v>
      </c>
      <c r="B26" s="1324" t="s">
        <v>509</v>
      </c>
      <c r="C26" s="491">
        <f ca="1">ROUND(F20*F24,4)</f>
        <v>2.3999999999999998E-3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2825</v>
      </c>
      <c r="E27" s="462"/>
      <c r="F27" s="466">
        <f>'数据-取费表'!B41</f>
        <v>5.5000000000000007E-2</v>
      </c>
      <c r="G27" s="1946" t="s">
        <v>2288</v>
      </c>
      <c r="H27" s="447"/>
      <c r="I27" s="447"/>
      <c r="J27" s="447"/>
      <c r="K27" s="448"/>
    </row>
    <row r="28" spans="1:14" s="2107" customFormat="1" ht="13.5" customHeight="1">
      <c r="A28" s="1623" t="s">
        <v>1868</v>
      </c>
      <c r="B28" s="476" t="s">
        <v>512</v>
      </c>
      <c r="C28" s="470">
        <f ca="1">ROUND((C18+C19+C21+C24)/(1-C20-D21-D24-C27),0)</f>
        <v>6064</v>
      </c>
      <c r="D28" s="477"/>
      <c r="E28" s="469"/>
      <c r="F28" s="471"/>
      <c r="G28" s="1323" t="s">
        <v>2431</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#DIV/0!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#DIV/0!</v>
      </c>
      <c r="D32" s="483"/>
      <c r="E32" s="483"/>
      <c r="F32" s="483"/>
      <c r="G32" s="2448" t="s">
        <v>2968</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23" sqref="C23"/>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326" t="str">
        <f>项目基本情况!B1</f>
        <v>出让国有建设用地使用权预评估</v>
      </c>
      <c r="C37" s="3326"/>
      <c r="D37" s="3326"/>
      <c r="E37" s="3326"/>
      <c r="F37" s="3326"/>
      <c r="G37" s="3326"/>
      <c r="H37" s="3326"/>
      <c r="I37" s="3326"/>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陈颖、叶凌</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25" sqref="C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500" t="s">
        <v>522</v>
      </c>
      <c r="D6" s="3501"/>
      <c r="E6" s="3500" t="s">
        <v>523</v>
      </c>
      <c r="F6" s="3501"/>
      <c r="G6" s="3500" t="s">
        <v>524</v>
      </c>
      <c r="H6" s="3501"/>
      <c r="I6" s="3500" t="s">
        <v>525</v>
      </c>
      <c r="J6" s="3501"/>
      <c r="K6" s="514" t="s">
        <v>526</v>
      </c>
      <c r="L6" s="2119"/>
      <c r="M6" s="2118"/>
      <c r="N6" s="2118"/>
      <c r="O6" s="2120"/>
      <c r="P6" s="3502" t="s">
        <v>527</v>
      </c>
      <c r="Q6" s="3503"/>
      <c r="R6" s="3508" t="s">
        <v>523</v>
      </c>
      <c r="S6" s="3509"/>
      <c r="T6" s="3508" t="s">
        <v>524</v>
      </c>
      <c r="U6" s="3509"/>
      <c r="V6" s="3495" t="s">
        <v>525</v>
      </c>
      <c r="W6" s="3495"/>
      <c r="X6" s="1554"/>
      <c r="Y6" s="3508" t="s">
        <v>527</v>
      </c>
      <c r="Z6" s="3509"/>
      <c r="AA6" s="3497" t="s">
        <v>523</v>
      </c>
      <c r="AB6" s="3498" t="s">
        <v>524</v>
      </c>
      <c r="AC6" s="3497" t="s">
        <v>525</v>
      </c>
    </row>
    <row r="7" spans="1:30" ht="20.25">
      <c r="A7" s="515"/>
      <c r="B7" s="516"/>
      <c r="C7" s="3516" t="s">
        <v>2925</v>
      </c>
      <c r="D7" s="3517"/>
      <c r="E7" s="3516" t="s">
        <v>2926</v>
      </c>
      <c r="F7" s="3517"/>
      <c r="G7" s="3516" t="s">
        <v>2927</v>
      </c>
      <c r="H7" s="3517"/>
      <c r="I7" s="3516" t="s">
        <v>2928</v>
      </c>
      <c r="J7" s="3517"/>
      <c r="K7" s="514"/>
      <c r="L7" s="2119"/>
      <c r="M7" s="2118"/>
      <c r="N7" s="2118"/>
      <c r="O7" s="2120"/>
      <c r="P7" s="3504"/>
      <c r="Q7" s="3505"/>
      <c r="R7" s="3510"/>
      <c r="S7" s="3511"/>
      <c r="T7" s="3510"/>
      <c r="U7" s="3511"/>
      <c r="V7" s="3495"/>
      <c r="W7" s="3495"/>
      <c r="X7" s="1554"/>
      <c r="Y7" s="3510"/>
      <c r="Z7" s="3511"/>
      <c r="AA7" s="3498"/>
      <c r="AB7" s="3498"/>
      <c r="AC7" s="3498"/>
    </row>
    <row r="8" spans="1:30" ht="21" thickBot="1">
      <c r="A8" s="515"/>
      <c r="B8" s="516"/>
      <c r="C8" s="3518" t="s">
        <v>2929</v>
      </c>
      <c r="D8" s="3519"/>
      <c r="E8" s="3518" t="s">
        <v>2929</v>
      </c>
      <c r="F8" s="3519"/>
      <c r="G8" s="3514" t="s">
        <v>2929</v>
      </c>
      <c r="H8" s="3515"/>
      <c r="I8" s="3514" t="s">
        <v>2929</v>
      </c>
      <c r="J8" s="3515"/>
      <c r="K8" s="514" t="s">
        <v>528</v>
      </c>
      <c r="L8" s="2119"/>
      <c r="M8" s="2118"/>
      <c r="N8" s="2118"/>
      <c r="O8" s="2120"/>
      <c r="P8" s="3506"/>
      <c r="Q8" s="3507"/>
      <c r="R8" s="3510"/>
      <c r="S8" s="3511"/>
      <c r="T8" s="3512"/>
      <c r="U8" s="3513"/>
      <c r="V8" s="3495"/>
      <c r="W8" s="3495"/>
      <c r="X8" s="1554"/>
      <c r="Y8" s="3512"/>
      <c r="Z8" s="3513"/>
      <c r="AA8" s="3499"/>
      <c r="AB8" s="3499"/>
      <c r="AC8" s="3499"/>
    </row>
    <row r="9" spans="1:30" s="1216" customFormat="1" ht="21" thickBot="1">
      <c r="A9" s="2868"/>
      <c r="B9" s="2875" t="s">
        <v>529</v>
      </c>
      <c r="C9" s="2867">
        <f>'数据-取费表'!B2</f>
        <v>43959</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525" t="s">
        <v>530</v>
      </c>
      <c r="Q9" s="3527"/>
      <c r="R9" s="1555" t="s">
        <v>8</v>
      </c>
      <c r="S9" s="1556">
        <f t="shared" ref="S9:S17" si="0">F9</f>
        <v>0</v>
      </c>
      <c r="T9" s="1555" t="s">
        <v>8</v>
      </c>
      <c r="U9" s="1556">
        <f t="shared" ref="U9:U17" si="1">H9</f>
        <v>0</v>
      </c>
      <c r="V9" s="1555" t="s">
        <v>8</v>
      </c>
      <c r="W9" s="1556">
        <f t="shared" ref="W9:W17" si="2">J9</f>
        <v>0</v>
      </c>
      <c r="X9" s="1557"/>
      <c r="Y9" s="3525" t="s">
        <v>530</v>
      </c>
      <c r="Z9" s="3526"/>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525" t="s">
        <v>533</v>
      </c>
      <c r="Q10" s="3526"/>
      <c r="R10" s="1555" t="s">
        <v>8</v>
      </c>
      <c r="S10" s="1556">
        <f t="shared" si="0"/>
        <v>0</v>
      </c>
      <c r="T10" s="1555" t="s">
        <v>8</v>
      </c>
      <c r="U10" s="1556">
        <f t="shared" si="1"/>
        <v>0</v>
      </c>
      <c r="V10" s="1555" t="s">
        <v>8</v>
      </c>
      <c r="W10" s="1556">
        <f t="shared" si="2"/>
        <v>0</v>
      </c>
      <c r="X10" s="1557"/>
      <c r="Y10" s="3525" t="s">
        <v>533</v>
      </c>
      <c r="Z10" s="3526"/>
      <c r="AA10" s="1558" t="e">
        <f t="shared" ref="AA10:AA47" si="3">D10/F10</f>
        <v>#DIV/0!</v>
      </c>
      <c r="AB10" s="1558" t="e">
        <f t="shared" ref="AB10:AB47" si="4">D10/H10</f>
        <v>#DIV/0!</v>
      </c>
      <c r="AC10" s="1558" t="e">
        <f t="shared" ref="AC10:AC47" si="5">D10/J10</f>
        <v>#DIV/0!</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94" t="s">
        <v>535</v>
      </c>
      <c r="Q11" s="1147" t="str">
        <f t="shared" ref="Q11:Q17" si="6">B11</f>
        <v>用途</v>
      </c>
      <c r="R11" s="1555" t="s">
        <v>8</v>
      </c>
      <c r="S11" s="1556">
        <f t="shared" si="0"/>
        <v>100</v>
      </c>
      <c r="T11" s="1555" t="s">
        <v>8</v>
      </c>
      <c r="U11" s="1556">
        <f t="shared" si="1"/>
        <v>100</v>
      </c>
      <c r="V11" s="1555" t="s">
        <v>8</v>
      </c>
      <c r="W11" s="1556">
        <f t="shared" si="2"/>
        <v>100</v>
      </c>
      <c r="X11" s="1557"/>
      <c r="Y11" s="3440"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112</v>
      </c>
      <c r="G12" s="530"/>
      <c r="H12" s="255">
        <f>ROUND(100/'数据-取费表'!G16,0)</f>
        <v>112</v>
      </c>
      <c r="I12" s="530"/>
      <c r="J12" s="255">
        <f>ROUND(100/'数据-取费表'!G16,0)</f>
        <v>112</v>
      </c>
      <c r="K12" s="531"/>
      <c r="L12" s="2124"/>
      <c r="M12" s="2118"/>
      <c r="N12" s="2118"/>
      <c r="O12" s="2125"/>
      <c r="P12" s="3494"/>
      <c r="Q12" s="1147" t="str">
        <f t="shared" si="6"/>
        <v>土地使用年限（年）</v>
      </c>
      <c r="R12" s="1555" t="s">
        <v>8</v>
      </c>
      <c r="S12" s="1556">
        <f t="shared" si="0"/>
        <v>112</v>
      </c>
      <c r="T12" s="1555" t="s">
        <v>8</v>
      </c>
      <c r="U12" s="1556">
        <f t="shared" si="1"/>
        <v>112</v>
      </c>
      <c r="V12" s="1555" t="s">
        <v>8</v>
      </c>
      <c r="W12" s="1556">
        <f t="shared" si="2"/>
        <v>112</v>
      </c>
      <c r="X12" s="1557"/>
      <c r="Y12" s="3440"/>
      <c r="Z12" s="1146" t="str">
        <f t="shared" si="7"/>
        <v>土地使用年限（年）</v>
      </c>
      <c r="AA12" s="1558">
        <f t="shared" si="3"/>
        <v>0.8928571428571429</v>
      </c>
      <c r="AB12" s="1558">
        <f t="shared" si="4"/>
        <v>0.8928571428571429</v>
      </c>
      <c r="AC12" s="1558">
        <f t="shared" si="5"/>
        <v>0.8928571428571429</v>
      </c>
    </row>
    <row r="13" spans="1:30" ht="20.25">
      <c r="A13" s="2872"/>
      <c r="B13" s="2876" t="s">
        <v>2754</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94"/>
      <c r="Q13" s="1147" t="str">
        <f t="shared" si="6"/>
        <v>容积率</v>
      </c>
      <c r="R13" s="1555" t="s">
        <v>8</v>
      </c>
      <c r="S13" s="1556" t="e">
        <f t="shared" si="0"/>
        <v>#N/A</v>
      </c>
      <c r="T13" s="1555" t="s">
        <v>8</v>
      </c>
      <c r="U13" s="1556" t="e">
        <f t="shared" si="1"/>
        <v>#N/A</v>
      </c>
      <c r="V13" s="1555" t="s">
        <v>8</v>
      </c>
      <c r="W13" s="1556" t="e">
        <f t="shared" si="2"/>
        <v>#N/A</v>
      </c>
      <c r="X13" s="1557"/>
      <c r="Y13" s="3440"/>
      <c r="Z13" s="1146" t="str">
        <f t="shared" si="7"/>
        <v>容积率</v>
      </c>
      <c r="AA13" s="1558" t="e">
        <f t="shared" si="3"/>
        <v>#N/A</v>
      </c>
      <c r="AB13" s="1558" t="e">
        <f t="shared" si="4"/>
        <v>#N/A</v>
      </c>
      <c r="AC13" s="1558" t="e">
        <f t="shared" si="5"/>
        <v>#N/A</v>
      </c>
    </row>
    <row r="14" spans="1:30" s="1216" customFormat="1" ht="20.25">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94"/>
      <c r="Q14" s="1147" t="str">
        <f t="shared" si="6"/>
        <v>配建</v>
      </c>
      <c r="R14" s="1555" t="s">
        <v>8</v>
      </c>
      <c r="S14" s="1556">
        <f t="shared" si="0"/>
        <v>100</v>
      </c>
      <c r="T14" s="1555" t="s">
        <v>8</v>
      </c>
      <c r="U14" s="1556">
        <f t="shared" si="1"/>
        <v>100</v>
      </c>
      <c r="V14" s="1555" t="s">
        <v>8</v>
      </c>
      <c r="W14" s="1556">
        <f t="shared" si="2"/>
        <v>100</v>
      </c>
      <c r="X14" s="1557"/>
      <c r="Y14" s="3440"/>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94"/>
      <c r="Q15" s="1147">
        <f t="shared" si="6"/>
        <v>111</v>
      </c>
      <c r="R15" s="1555" t="s">
        <v>8</v>
      </c>
      <c r="S15" s="1556">
        <f t="shared" si="0"/>
        <v>100</v>
      </c>
      <c r="T15" s="1555" t="s">
        <v>8</v>
      </c>
      <c r="U15" s="1556">
        <f t="shared" si="1"/>
        <v>100</v>
      </c>
      <c r="V15" s="1555" t="s">
        <v>8</v>
      </c>
      <c r="W15" s="1556">
        <f t="shared" si="2"/>
        <v>100</v>
      </c>
      <c r="X15" s="1557"/>
      <c r="Y15" s="3440"/>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94"/>
      <c r="Q16" s="1147">
        <f t="shared" si="6"/>
        <v>111</v>
      </c>
      <c r="R16" s="1555" t="s">
        <v>8</v>
      </c>
      <c r="S16" s="1556">
        <f t="shared" si="0"/>
        <v>100</v>
      </c>
      <c r="T16" s="1555" t="s">
        <v>8</v>
      </c>
      <c r="U16" s="1556">
        <f t="shared" si="1"/>
        <v>100</v>
      </c>
      <c r="V16" s="1555" t="s">
        <v>8</v>
      </c>
      <c r="W16" s="1556">
        <f t="shared" si="2"/>
        <v>100</v>
      </c>
      <c r="X16" s="1557"/>
      <c r="Y16" s="3440"/>
      <c r="Z16" s="1146">
        <f t="shared" si="7"/>
        <v>111</v>
      </c>
      <c r="AA16" s="1558">
        <f>D16/F16</f>
        <v>1</v>
      </c>
      <c r="AB16" s="1558">
        <f>D16/H16</f>
        <v>1</v>
      </c>
      <c r="AC16" s="1558">
        <f>D16/J16</f>
        <v>1</v>
      </c>
    </row>
    <row r="17" spans="1:29" ht="99.75">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528" t="s">
        <v>540</v>
      </c>
      <c r="Q17" s="1559" t="str">
        <f t="shared" si="6"/>
        <v>居住社区成熟度</v>
      </c>
      <c r="R17" s="1560" t="s">
        <v>8</v>
      </c>
      <c r="S17" s="1561">
        <f t="shared" si="0"/>
        <v>100</v>
      </c>
      <c r="T17" s="1560" t="s">
        <v>8</v>
      </c>
      <c r="U17" s="1561">
        <f t="shared" si="1"/>
        <v>100</v>
      </c>
      <c r="V17" s="1560" t="s">
        <v>8</v>
      </c>
      <c r="W17" s="1561">
        <f t="shared" si="2"/>
        <v>100</v>
      </c>
      <c r="X17" s="1554"/>
      <c r="Y17" s="3528"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529"/>
      <c r="Q18" s="1559"/>
      <c r="R18" s="1560"/>
      <c r="S18" s="1561"/>
      <c r="T18" s="1560"/>
      <c r="U18" s="1561"/>
      <c r="V18" s="1560"/>
      <c r="W18" s="1561"/>
      <c r="X18" s="1554"/>
      <c r="Y18" s="3529"/>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529"/>
      <c r="Q19" s="1559" t="str">
        <f>B19</f>
        <v>商业繁华度</v>
      </c>
      <c r="R19" s="1560" t="s">
        <v>8</v>
      </c>
      <c r="S19" s="1561">
        <f>F19</f>
        <v>100</v>
      </c>
      <c r="T19" s="1560" t="s">
        <v>8</v>
      </c>
      <c r="U19" s="1561">
        <f>H19</f>
        <v>100</v>
      </c>
      <c r="V19" s="1560" t="s">
        <v>8</v>
      </c>
      <c r="W19" s="1561">
        <f>J19</f>
        <v>100</v>
      </c>
      <c r="X19" s="1554"/>
      <c r="Y19" s="3529"/>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529"/>
      <c r="Q20" s="1559"/>
      <c r="R20" s="1560"/>
      <c r="S20" s="1561"/>
      <c r="T20" s="1560"/>
      <c r="U20" s="1561"/>
      <c r="V20" s="1560"/>
      <c r="W20" s="1561"/>
      <c r="X20" s="1554"/>
      <c r="Y20" s="3529"/>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529"/>
      <c r="Q21" s="1559" t="str">
        <f>B21</f>
        <v>办公集聚程度</v>
      </c>
      <c r="R21" s="1560" t="s">
        <v>8</v>
      </c>
      <c r="S21" s="1561">
        <f>F21</f>
        <v>100</v>
      </c>
      <c r="T21" s="1560" t="s">
        <v>8</v>
      </c>
      <c r="U21" s="1561">
        <f>H21</f>
        <v>100</v>
      </c>
      <c r="V21" s="1560" t="s">
        <v>8</v>
      </c>
      <c r="W21" s="1561">
        <f>J21</f>
        <v>100</v>
      </c>
      <c r="X21" s="1554"/>
      <c r="Y21" s="3529"/>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529"/>
      <c r="Q22" s="1559"/>
      <c r="R22" s="1560"/>
      <c r="S22" s="1561"/>
      <c r="T22" s="1560"/>
      <c r="U22" s="1561"/>
      <c r="V22" s="1560"/>
      <c r="W22" s="1561"/>
      <c r="X22" s="1554"/>
      <c r="Y22" s="3529"/>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529"/>
      <c r="Q23" s="1559" t="str">
        <f>B23</f>
        <v>交通便捷度</v>
      </c>
      <c r="R23" s="1560" t="s">
        <v>8</v>
      </c>
      <c r="S23" s="1561">
        <f>F23</f>
        <v>100</v>
      </c>
      <c r="T23" s="1560" t="s">
        <v>8</v>
      </c>
      <c r="U23" s="1561">
        <f>H23</f>
        <v>100</v>
      </c>
      <c r="V23" s="1560" t="s">
        <v>8</v>
      </c>
      <c r="W23" s="1561">
        <f>J23</f>
        <v>100</v>
      </c>
      <c r="X23" s="1554"/>
      <c r="Y23" s="3529"/>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529"/>
      <c r="Q24" s="1559"/>
      <c r="R24" s="1560"/>
      <c r="S24" s="1561"/>
      <c r="T24" s="1560"/>
      <c r="U24" s="1561"/>
      <c r="V24" s="1560"/>
      <c r="W24" s="1561"/>
      <c r="X24" s="1554"/>
      <c r="Y24" s="3529"/>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529"/>
      <c r="Q25" s="1559" t="str">
        <f t="shared" ref="Q25:Q39" si="8">B25</f>
        <v>区域土地利用方向</v>
      </c>
      <c r="R25" s="1560" t="s">
        <v>8</v>
      </c>
      <c r="S25" s="1561">
        <f>F25</f>
        <v>100</v>
      </c>
      <c r="T25" s="1560" t="s">
        <v>8</v>
      </c>
      <c r="U25" s="1561">
        <f>H25</f>
        <v>100</v>
      </c>
      <c r="V25" s="1560" t="s">
        <v>8</v>
      </c>
      <c r="W25" s="1561">
        <f>J25</f>
        <v>100</v>
      </c>
      <c r="X25" s="1554"/>
      <c r="Y25" s="3529"/>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529"/>
      <c r="Q26" s="1559"/>
      <c r="R26" s="1560"/>
      <c r="S26" s="1561"/>
      <c r="T26" s="1560"/>
      <c r="U26" s="1561"/>
      <c r="V26" s="1560"/>
      <c r="W26" s="1561"/>
      <c r="X26" s="1554"/>
      <c r="Y26" s="3529"/>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529"/>
      <c r="Q27" s="1559" t="str">
        <f t="shared" si="8"/>
        <v>自然及人文环境状况</v>
      </c>
      <c r="R27" s="1560" t="s">
        <v>8</v>
      </c>
      <c r="S27" s="1561">
        <f>F27</f>
        <v>100</v>
      </c>
      <c r="T27" s="1560" t="s">
        <v>8</v>
      </c>
      <c r="U27" s="1561">
        <f>H27</f>
        <v>100</v>
      </c>
      <c r="V27" s="1560" t="s">
        <v>8</v>
      </c>
      <c r="W27" s="1561">
        <f>J27</f>
        <v>100</v>
      </c>
      <c r="X27" s="1554"/>
      <c r="Y27" s="3529"/>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529"/>
      <c r="Q28" s="1559"/>
      <c r="R28" s="1560"/>
      <c r="S28" s="1561"/>
      <c r="T28" s="1560"/>
      <c r="U28" s="1561"/>
      <c r="V28" s="1560"/>
      <c r="W28" s="1561"/>
      <c r="X28" s="1554"/>
      <c r="Y28" s="3529"/>
      <c r="Z28" s="1562"/>
      <c r="AA28" s="1563">
        <v>1</v>
      </c>
      <c r="AB28" s="1563">
        <v>1</v>
      </c>
      <c r="AC28" s="1563">
        <v>1</v>
      </c>
    </row>
    <row r="29" spans="1:29" s="1216" customFormat="1" ht="42.75">
      <c r="A29" s="577"/>
      <c r="B29" s="2556"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529"/>
      <c r="Q29" s="1147" t="str">
        <f t="shared" si="8"/>
        <v>公共配套设施</v>
      </c>
      <c r="R29" s="1555" t="s">
        <v>8</v>
      </c>
      <c r="S29" s="1556">
        <f>F29</f>
        <v>100</v>
      </c>
      <c r="T29" s="1555" t="s">
        <v>8</v>
      </c>
      <c r="U29" s="1556">
        <f>H29</f>
        <v>100</v>
      </c>
      <c r="V29" s="1555" t="s">
        <v>8</v>
      </c>
      <c r="W29" s="1556">
        <f>J29</f>
        <v>100</v>
      </c>
      <c r="X29" s="1557"/>
      <c r="Y29" s="3529"/>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529"/>
      <c r="Q30" s="1147"/>
      <c r="R30" s="1555"/>
      <c r="S30" s="1556"/>
      <c r="T30" s="1555"/>
      <c r="U30" s="1556"/>
      <c r="V30" s="1555"/>
      <c r="W30" s="1556"/>
      <c r="X30" s="1557"/>
      <c r="Y30" s="3529"/>
      <c r="Z30" s="1146"/>
      <c r="AA30" s="1563">
        <v>1</v>
      </c>
      <c r="AB30" s="1563">
        <v>1</v>
      </c>
      <c r="AC30" s="1563">
        <v>1</v>
      </c>
    </row>
    <row r="31" spans="1:29" s="1216" customFormat="1" ht="28.5">
      <c r="A31" s="577"/>
      <c r="B31" s="2556"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529"/>
      <c r="Q31" s="2543" t="str">
        <f t="shared" ref="Q31" si="9">B31</f>
        <v>基础设施水平</v>
      </c>
      <c r="R31" s="1555" t="s">
        <v>8</v>
      </c>
      <c r="S31" s="1556">
        <f>F31</f>
        <v>100</v>
      </c>
      <c r="T31" s="1555" t="s">
        <v>8</v>
      </c>
      <c r="U31" s="1556">
        <f>H31</f>
        <v>100</v>
      </c>
      <c r="V31" s="1555" t="s">
        <v>8</v>
      </c>
      <c r="W31" s="1556">
        <f>J31</f>
        <v>100</v>
      </c>
      <c r="X31" s="1557"/>
      <c r="Y31" s="3529"/>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529"/>
      <c r="Q32" s="2543"/>
      <c r="R32" s="1555"/>
      <c r="S32" s="1556"/>
      <c r="T32" s="1555"/>
      <c r="U32" s="1556"/>
      <c r="V32" s="1555"/>
      <c r="W32" s="1556"/>
      <c r="X32" s="1557"/>
      <c r="Y32" s="3529"/>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529"/>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529"/>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529"/>
      <c r="Q34" s="1559" t="str">
        <f t="shared" si="8"/>
        <v>毗邻道路的类型与等级</v>
      </c>
      <c r="R34" s="1560" t="s">
        <v>8</v>
      </c>
      <c r="S34" s="1561">
        <f t="shared" si="10"/>
        <v>100</v>
      </c>
      <c r="T34" s="1560" t="s">
        <v>8</v>
      </c>
      <c r="U34" s="1561">
        <f t="shared" si="11"/>
        <v>100</v>
      </c>
      <c r="V34" s="1560" t="s">
        <v>8</v>
      </c>
      <c r="W34" s="1561">
        <f t="shared" si="12"/>
        <v>100</v>
      </c>
      <c r="X34" s="1554"/>
      <c r="Y34" s="3529"/>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529"/>
      <c r="Q35" s="1559"/>
      <c r="R35" s="1560"/>
      <c r="S35" s="1561"/>
      <c r="T35" s="1560"/>
      <c r="U35" s="1561"/>
      <c r="V35" s="1560"/>
      <c r="W35" s="1561"/>
      <c r="X35" s="1554"/>
      <c r="Y35" s="3529"/>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529"/>
      <c r="Q36" s="1559" t="str">
        <f t="shared" si="8"/>
        <v>土地级别</v>
      </c>
      <c r="R36" s="1560" t="s">
        <v>8</v>
      </c>
      <c r="S36" s="1561">
        <f t="shared" si="10"/>
        <v>100</v>
      </c>
      <c r="T36" s="1560" t="s">
        <v>8</v>
      </c>
      <c r="U36" s="1561">
        <f t="shared" si="11"/>
        <v>100</v>
      </c>
      <c r="V36" s="1560" t="s">
        <v>8</v>
      </c>
      <c r="W36" s="1561">
        <f t="shared" si="12"/>
        <v>100</v>
      </c>
      <c r="X36" s="1554"/>
      <c r="Y36" s="3529"/>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529"/>
      <c r="Q37" s="1559">
        <f t="shared" si="8"/>
        <v>111</v>
      </c>
      <c r="R37" s="1560" t="s">
        <v>8</v>
      </c>
      <c r="S37" s="1561">
        <f t="shared" si="10"/>
        <v>100</v>
      </c>
      <c r="T37" s="1560" t="s">
        <v>8</v>
      </c>
      <c r="U37" s="1561">
        <f t="shared" si="11"/>
        <v>100</v>
      </c>
      <c r="V37" s="1560" t="s">
        <v>8</v>
      </c>
      <c r="W37" s="1561">
        <f t="shared" si="12"/>
        <v>100</v>
      </c>
      <c r="X37" s="1554"/>
      <c r="Y37" s="3529"/>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530" t="s">
        <v>550</v>
      </c>
      <c r="Q38" s="1559">
        <f t="shared" si="8"/>
        <v>111</v>
      </c>
      <c r="R38" s="1560" t="s">
        <v>8</v>
      </c>
      <c r="S38" s="1561">
        <f t="shared" si="10"/>
        <v>100</v>
      </c>
      <c r="T38" s="1560" t="s">
        <v>8</v>
      </c>
      <c r="U38" s="1561">
        <f t="shared" si="11"/>
        <v>100</v>
      </c>
      <c r="V38" s="1560" t="s">
        <v>8</v>
      </c>
      <c r="W38" s="1561">
        <f t="shared" si="12"/>
        <v>100</v>
      </c>
      <c r="X38" s="1554"/>
      <c r="Y38" s="3531"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531"/>
      <c r="Q39" s="1559">
        <f t="shared" si="8"/>
        <v>111</v>
      </c>
      <c r="R39" s="1564" t="s">
        <v>8</v>
      </c>
      <c r="S39" s="1565">
        <f t="shared" si="10"/>
        <v>100</v>
      </c>
      <c r="T39" s="1564" t="s">
        <v>8</v>
      </c>
      <c r="U39" s="1565">
        <f t="shared" si="11"/>
        <v>100</v>
      </c>
      <c r="V39" s="1564" t="s">
        <v>8</v>
      </c>
      <c r="W39" s="1565">
        <f t="shared" si="12"/>
        <v>100</v>
      </c>
      <c r="X39" s="1566"/>
      <c r="Y39" s="3531"/>
      <c r="Z39" s="1567">
        <f t="shared" si="13"/>
        <v>111</v>
      </c>
      <c r="AA39" s="1563">
        <f t="shared" si="3"/>
        <v>1</v>
      </c>
      <c r="AB39" s="1563">
        <f t="shared" si="4"/>
        <v>1</v>
      </c>
      <c r="AC39" s="1563">
        <f t="shared" si="5"/>
        <v>1</v>
      </c>
    </row>
    <row r="40" spans="1:29" ht="20.25">
      <c r="A40" s="2863" t="s">
        <v>2751</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531"/>
      <c r="Q40" s="1559" t="str">
        <f>B40</f>
        <v>宗地面积</v>
      </c>
      <c r="R40" s="1560" t="s">
        <v>8</v>
      </c>
      <c r="S40" s="1561" t="e">
        <f t="shared" si="10"/>
        <v>#N/A</v>
      </c>
      <c r="T40" s="1560" t="s">
        <v>8</v>
      </c>
      <c r="U40" s="1561" t="e">
        <f t="shared" si="11"/>
        <v>#N/A</v>
      </c>
      <c r="V40" s="1560" t="s">
        <v>8</v>
      </c>
      <c r="W40" s="1561" t="e">
        <f t="shared" si="12"/>
        <v>#N/A</v>
      </c>
      <c r="X40" s="1554"/>
      <c r="Y40" s="3531"/>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531"/>
      <c r="Q41" s="1559" t="str">
        <f t="shared" ref="Q41:Q47" si="14">B41</f>
        <v>宗地形状</v>
      </c>
      <c r="R41" s="1560" t="s">
        <v>8</v>
      </c>
      <c r="S41" s="1561">
        <f t="shared" si="10"/>
        <v>100</v>
      </c>
      <c r="T41" s="1560" t="s">
        <v>8</v>
      </c>
      <c r="U41" s="1561">
        <f t="shared" si="11"/>
        <v>100</v>
      </c>
      <c r="V41" s="1560" t="s">
        <v>8</v>
      </c>
      <c r="W41" s="1561">
        <f t="shared" si="12"/>
        <v>100</v>
      </c>
      <c r="X41" s="1554"/>
      <c r="Y41" s="3531"/>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531"/>
      <c r="Q42" s="1559" t="str">
        <f t="shared" si="14"/>
        <v>临街宽度及深度</v>
      </c>
      <c r="R42" s="1560" t="s">
        <v>8</v>
      </c>
      <c r="S42" s="1561">
        <f t="shared" si="10"/>
        <v>100</v>
      </c>
      <c r="T42" s="1560" t="s">
        <v>8</v>
      </c>
      <c r="U42" s="1561">
        <f t="shared" si="11"/>
        <v>100</v>
      </c>
      <c r="V42" s="1560" t="s">
        <v>8</v>
      </c>
      <c r="W42" s="1561">
        <f t="shared" si="12"/>
        <v>100</v>
      </c>
      <c r="X42" s="1554"/>
      <c r="Y42" s="3531"/>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531"/>
      <c r="Q43" s="1559" t="str">
        <f t="shared" si="14"/>
        <v>宗地开发程度</v>
      </c>
      <c r="R43" s="1555" t="s">
        <v>8</v>
      </c>
      <c r="S43" s="1556">
        <f t="shared" si="10"/>
        <v>100</v>
      </c>
      <c r="T43" s="1555" t="s">
        <v>8</v>
      </c>
      <c r="U43" s="1556">
        <f t="shared" si="11"/>
        <v>100</v>
      </c>
      <c r="V43" s="1555" t="s">
        <v>8</v>
      </c>
      <c r="W43" s="1556">
        <f t="shared" si="12"/>
        <v>100</v>
      </c>
      <c r="X43" s="1557"/>
      <c r="Y43" s="3531"/>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531" t="s">
        <v>550</v>
      </c>
      <c r="Q44" s="1559" t="str">
        <f t="shared" si="14"/>
        <v>工程地质条件</v>
      </c>
      <c r="R44" s="1560" t="s">
        <v>8</v>
      </c>
      <c r="S44" s="1561">
        <f t="shared" si="10"/>
        <v>100</v>
      </c>
      <c r="T44" s="1560" t="s">
        <v>8</v>
      </c>
      <c r="U44" s="1561">
        <f t="shared" si="11"/>
        <v>100</v>
      </c>
      <c r="V44" s="1560" t="s">
        <v>8</v>
      </c>
      <c r="W44" s="1561">
        <f t="shared" si="12"/>
        <v>100</v>
      </c>
      <c r="X44" s="1554"/>
      <c r="Y44" s="3531"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531"/>
      <c r="Q45" s="1559">
        <f t="shared" si="14"/>
        <v>111</v>
      </c>
      <c r="R45" s="1560" t="s">
        <v>8</v>
      </c>
      <c r="S45" s="1561">
        <f t="shared" si="10"/>
        <v>100</v>
      </c>
      <c r="T45" s="1560" t="s">
        <v>8</v>
      </c>
      <c r="U45" s="1561">
        <f t="shared" si="11"/>
        <v>100</v>
      </c>
      <c r="V45" s="1560" t="s">
        <v>8</v>
      </c>
      <c r="W45" s="1561">
        <f t="shared" si="12"/>
        <v>100</v>
      </c>
      <c r="X45" s="1554"/>
      <c r="Y45" s="3531"/>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531"/>
      <c r="Q46" s="1559">
        <f t="shared" si="14"/>
        <v>111</v>
      </c>
      <c r="R46" s="1560" t="s">
        <v>8</v>
      </c>
      <c r="S46" s="1561">
        <f t="shared" si="10"/>
        <v>100</v>
      </c>
      <c r="T46" s="1560" t="s">
        <v>8</v>
      </c>
      <c r="U46" s="1561">
        <f t="shared" si="11"/>
        <v>100</v>
      </c>
      <c r="V46" s="1560" t="s">
        <v>8</v>
      </c>
      <c r="W46" s="1561">
        <f t="shared" si="12"/>
        <v>100</v>
      </c>
      <c r="X46" s="1554"/>
      <c r="Y46" s="3531"/>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531"/>
      <c r="Q47" s="1559">
        <f t="shared" si="14"/>
        <v>111</v>
      </c>
      <c r="R47" s="1564" t="s">
        <v>8</v>
      </c>
      <c r="S47" s="1565">
        <f t="shared" si="10"/>
        <v>100</v>
      </c>
      <c r="T47" s="1564" t="s">
        <v>8</v>
      </c>
      <c r="U47" s="1565">
        <f t="shared" si="11"/>
        <v>100</v>
      </c>
      <c r="V47" s="1564" t="s">
        <v>8</v>
      </c>
      <c r="W47" s="1565">
        <f t="shared" si="12"/>
        <v>100</v>
      </c>
      <c r="X47" s="1566"/>
      <c r="Y47" s="3531"/>
      <c r="Z47" s="1567">
        <f t="shared" si="13"/>
        <v>111</v>
      </c>
      <c r="AA47" s="1563">
        <f t="shared" si="3"/>
        <v>1</v>
      </c>
      <c r="AB47" s="1563">
        <f t="shared" si="4"/>
        <v>1</v>
      </c>
      <c r="AC47" s="1563">
        <f t="shared" si="5"/>
        <v>1</v>
      </c>
    </row>
    <row r="48" spans="1:29" ht="20.25">
      <c r="A48" s="607" t="s">
        <v>556</v>
      </c>
      <c r="B48" s="608" t="s">
        <v>2930</v>
      </c>
      <c r="C48" s="609" t="s">
        <v>1</v>
      </c>
      <c r="D48" s="610"/>
      <c r="E48" s="611"/>
      <c r="F48" s="612"/>
      <c r="G48" s="613"/>
      <c r="H48" s="614"/>
      <c r="I48" s="611"/>
      <c r="J48" s="614"/>
      <c r="K48" s="1336"/>
      <c r="L48" s="2130"/>
      <c r="M48" s="2118"/>
      <c r="N48" s="2118"/>
      <c r="O48" s="2131"/>
      <c r="P48" s="3494" t="str">
        <f>A48</f>
        <v>成交单价</v>
      </c>
      <c r="Q48" s="3494"/>
      <c r="R48" s="3495">
        <f>E48</f>
        <v>0</v>
      </c>
      <c r="S48" s="3495"/>
      <c r="T48" s="3495">
        <f>G48</f>
        <v>0</v>
      </c>
      <c r="U48" s="3495"/>
      <c r="V48" s="3495">
        <f>I48</f>
        <v>0</v>
      </c>
      <c r="W48" s="3495"/>
      <c r="X48" s="1546"/>
      <c r="Y48" s="1568"/>
      <c r="Z48" s="1546"/>
      <c r="AA48" s="1546"/>
      <c r="AB48" s="1546"/>
      <c r="AC48" s="1546"/>
    </row>
    <row r="49" spans="1:29" ht="21" thickBot="1">
      <c r="A49" s="615" t="s">
        <v>2689</v>
      </c>
      <c r="B49" s="616"/>
      <c r="C49" s="617" t="e">
        <f>R50</f>
        <v>#DIV/0!</v>
      </c>
      <c r="D49" s="618"/>
      <c r="E49" s="617" t="e">
        <f>R49</f>
        <v>#DIV/0!</v>
      </c>
      <c r="F49" s="619"/>
      <c r="G49" s="620" t="e">
        <f>T49</f>
        <v>#DIV/0!</v>
      </c>
      <c r="H49" s="618"/>
      <c r="I49" s="617" t="e">
        <f>V49</f>
        <v>#DIV/0!</v>
      </c>
      <c r="J49" s="618"/>
      <c r="K49" s="1337"/>
      <c r="L49" s="2130"/>
      <c r="M49" s="2118"/>
      <c r="N49" s="2118"/>
      <c r="O49" s="2131"/>
      <c r="P49" s="3494" t="str">
        <f>A49</f>
        <v>比较价格（元/平方米）</v>
      </c>
      <c r="Q49" s="3494"/>
      <c r="R49" s="3496" t="e">
        <f>ROUND(PRODUCT(R48,AA9:AA47),0)</f>
        <v>#DIV/0!</v>
      </c>
      <c r="S49" s="3496"/>
      <c r="T49" s="3496" t="e">
        <f>ROUND(PRODUCT(T48,AB9:AB47),0)</f>
        <v>#DIV/0!</v>
      </c>
      <c r="U49" s="3496"/>
      <c r="V49" s="3496" t="e">
        <f>ROUND(PRODUCT(V48,AC9:AC47),0)</f>
        <v>#DIV/0!</v>
      </c>
      <c r="W49" s="3496"/>
      <c r="X49" s="1546"/>
      <c r="Y49" s="1546"/>
      <c r="Z49" s="1546"/>
      <c r="AA49" s="1546"/>
      <c r="AB49" s="1546"/>
      <c r="AC49" s="1546"/>
    </row>
    <row r="50" spans="1:29" ht="21" thickBot="1">
      <c r="A50" s="621" t="s">
        <v>2931</v>
      </c>
      <c r="B50" s="622"/>
      <c r="C50" s="623" t="e">
        <f>R50</f>
        <v>#DIV/0!</v>
      </c>
      <c r="D50" s="623"/>
      <c r="E50" s="623"/>
      <c r="F50" s="623"/>
      <c r="G50" s="623"/>
      <c r="H50" s="623"/>
      <c r="I50" s="623"/>
      <c r="J50" s="623"/>
      <c r="K50" s="1338"/>
      <c r="L50" s="2130"/>
      <c r="M50" s="2118"/>
      <c r="N50" s="2118"/>
      <c r="O50" s="2131"/>
      <c r="P50" s="3491" t="str">
        <f>A50</f>
        <v>估价对象XX用房的比较价格（楼面单价，元/平方米）</v>
      </c>
      <c r="Q50" s="3492"/>
      <c r="R50" s="3493" t="e">
        <f>ROUND(AVERAGE(R49:V49),0)</f>
        <v>#DIV/0!</v>
      </c>
      <c r="S50" s="3493"/>
      <c r="T50" s="3493"/>
      <c r="U50" s="3493"/>
      <c r="V50" s="3493"/>
      <c r="W50" s="3493"/>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2290</v>
      </c>
      <c r="E57" s="631" t="s">
        <v>562</v>
      </c>
      <c r="F57" s="632" t="s">
        <v>563</v>
      </c>
      <c r="G57" s="3520" t="s">
        <v>2279</v>
      </c>
      <c r="H57" s="3521"/>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245539.3</v>
      </c>
      <c r="F58" s="636" t="e">
        <f t="shared" ref="F58:F67" si="15">ROUND(B58*E58/10000,0)</f>
        <v>#DIV/0!</v>
      </c>
      <c r="G58" s="3522"/>
      <c r="H58" s="3523"/>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524"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524"/>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524"/>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524"/>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t="e">
        <f t="shared" si="17"/>
        <v>#DIV/0!</v>
      </c>
      <c r="C63" s="378">
        <f t="shared" si="16"/>
        <v>0</v>
      </c>
      <c r="D63" s="2215">
        <v>0.25</v>
      </c>
      <c r="E63" s="641">
        <f>'数据-汇总表'!E11</f>
        <v>0</v>
      </c>
      <c r="F63" s="636" t="e">
        <f t="shared" si="15"/>
        <v>#DIV/0!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2291</v>
      </c>
      <c r="E68" s="643">
        <f>IF(B48="楼面地价",SUM(E58:E67),'数据-汇总表'!D3)</f>
        <v>245539.3</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2020-5-1</v>
      </c>
      <c r="D70" s="2755">
        <f>EDATE(C70,-3)</f>
        <v>43862</v>
      </c>
      <c r="E70" s="2755">
        <f t="shared" ref="E70:N70" si="18">EDATE(D70,-3)</f>
        <v>43770</v>
      </c>
      <c r="F70" s="2755">
        <f t="shared" si="18"/>
        <v>43678</v>
      </c>
      <c r="G70" s="2755">
        <f t="shared" si="18"/>
        <v>43586</v>
      </c>
      <c r="H70" s="2755">
        <f t="shared" si="18"/>
        <v>43497</v>
      </c>
      <c r="I70" s="2755">
        <f t="shared" si="18"/>
        <v>43405</v>
      </c>
      <c r="J70" s="2755">
        <f t="shared" si="18"/>
        <v>43313</v>
      </c>
      <c r="K70" s="2755">
        <f t="shared" si="18"/>
        <v>43221</v>
      </c>
      <c r="L70" s="2755">
        <f t="shared" si="18"/>
        <v>43132</v>
      </c>
      <c r="M70" s="2755">
        <f t="shared" si="18"/>
        <v>43040</v>
      </c>
      <c r="N70" s="2755">
        <f t="shared" si="18"/>
        <v>42948</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2529</v>
      </c>
      <c r="B72" s="2534"/>
      <c r="C72" s="2751" t="str">
        <f>YEAR(C70)&amp;"-"&amp;ROUNDUP(MONTH(C70)/3,0)</f>
        <v>2020-2</v>
      </c>
      <c r="D72" s="2757" t="str">
        <f>YEAR(D70)&amp;"-"&amp;ROUNDUP(MONTH(D70)/3,0)</f>
        <v>2020-1</v>
      </c>
      <c r="E72" s="2757" t="str">
        <f t="shared" ref="E72:N72" si="19">YEAR(E70)&amp;"-"&amp;ROUNDUP(MONTH(E70)/3,0)</f>
        <v>2019-4</v>
      </c>
      <c r="F72" s="2757" t="str">
        <f t="shared" si="19"/>
        <v>2019-3</v>
      </c>
      <c r="G72" s="2757" t="str">
        <f t="shared" si="19"/>
        <v>2019-2</v>
      </c>
      <c r="H72" s="2757" t="str">
        <f t="shared" si="19"/>
        <v>2019-1</v>
      </c>
      <c r="I72" s="2757" t="str">
        <f t="shared" si="19"/>
        <v>2018-4</v>
      </c>
      <c r="J72" s="2757" t="str">
        <f t="shared" si="19"/>
        <v>2018-3</v>
      </c>
      <c r="K72" s="2757" t="str">
        <f t="shared" si="19"/>
        <v>2018-2</v>
      </c>
      <c r="L72" s="2757" t="str">
        <f t="shared" si="19"/>
        <v>2018-1</v>
      </c>
      <c r="M72" s="2757" t="str">
        <f t="shared" si="19"/>
        <v>2017-4</v>
      </c>
      <c r="N72" s="2757" t="str">
        <f t="shared" si="19"/>
        <v>2017-3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北京市平均增长率1.85%</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2545</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2547</v>
      </c>
      <c r="C104" s="2563" t="s">
        <v>2548</v>
      </c>
      <c r="D104" s="2563" t="s">
        <v>2549</v>
      </c>
      <c r="E104" s="2563" t="s">
        <v>2550</v>
      </c>
      <c r="F104" s="2563" t="s">
        <v>2551</v>
      </c>
      <c r="G104" s="2563" t="s">
        <v>2552</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25" sqref="C25"/>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500" t="s">
        <v>522</v>
      </c>
      <c r="D6" s="3501"/>
      <c r="E6" s="3534" t="s">
        <v>523</v>
      </c>
      <c r="F6" s="3535"/>
      <c r="G6" s="3500" t="s">
        <v>524</v>
      </c>
      <c r="H6" s="3501"/>
      <c r="I6" s="3500" t="s">
        <v>525</v>
      </c>
      <c r="J6" s="3501"/>
      <c r="K6" s="514" t="s">
        <v>526</v>
      </c>
      <c r="L6" s="2119"/>
      <c r="M6" s="2120"/>
      <c r="N6" s="2120"/>
      <c r="O6" s="2120"/>
      <c r="P6" s="3502" t="s">
        <v>527</v>
      </c>
      <c r="Q6" s="3503"/>
      <c r="R6" s="3508" t="s">
        <v>523</v>
      </c>
      <c r="S6" s="3509"/>
      <c r="T6" s="3508" t="s">
        <v>524</v>
      </c>
      <c r="U6" s="3509"/>
      <c r="V6" s="3495" t="s">
        <v>525</v>
      </c>
      <c r="W6" s="3495"/>
      <c r="X6" s="1554"/>
      <c r="Y6" s="3508" t="s">
        <v>527</v>
      </c>
      <c r="Z6" s="3509"/>
      <c r="AA6" s="3497" t="s">
        <v>523</v>
      </c>
      <c r="AB6" s="3498" t="s">
        <v>524</v>
      </c>
      <c r="AC6" s="3497" t="s">
        <v>525</v>
      </c>
    </row>
    <row r="7" spans="1:29" ht="15">
      <c r="A7" s="515"/>
      <c r="B7" s="516"/>
      <c r="C7" s="3516" t="s">
        <v>2925</v>
      </c>
      <c r="D7" s="3517"/>
      <c r="E7" s="3536" t="s">
        <v>2926</v>
      </c>
      <c r="F7" s="3537"/>
      <c r="G7" s="3516" t="s">
        <v>2927</v>
      </c>
      <c r="H7" s="3517"/>
      <c r="I7" s="3516" t="s">
        <v>2928</v>
      </c>
      <c r="J7" s="3517"/>
      <c r="K7" s="514"/>
      <c r="L7" s="2119"/>
      <c r="M7" s="2120"/>
      <c r="N7" s="2120"/>
      <c r="O7" s="2120"/>
      <c r="P7" s="3504"/>
      <c r="Q7" s="3505"/>
      <c r="R7" s="3510"/>
      <c r="S7" s="3511"/>
      <c r="T7" s="3510"/>
      <c r="U7" s="3511"/>
      <c r="V7" s="3495"/>
      <c r="W7" s="3495"/>
      <c r="X7" s="1554"/>
      <c r="Y7" s="3510"/>
      <c r="Z7" s="3511"/>
      <c r="AA7" s="3498"/>
      <c r="AB7" s="3498"/>
      <c r="AC7" s="3498"/>
    </row>
    <row r="8" spans="1:29" ht="15.75" thickBot="1">
      <c r="A8" s="517"/>
      <c r="B8" s="518"/>
      <c r="C8" s="3514" t="s">
        <v>2929</v>
      </c>
      <c r="D8" s="3515"/>
      <c r="E8" s="3532" t="s">
        <v>2929</v>
      </c>
      <c r="F8" s="3533"/>
      <c r="G8" s="3514" t="s">
        <v>2929</v>
      </c>
      <c r="H8" s="3515"/>
      <c r="I8" s="3514" t="s">
        <v>2929</v>
      </c>
      <c r="J8" s="3515"/>
      <c r="K8" s="514" t="s">
        <v>528</v>
      </c>
      <c r="L8" s="2119"/>
      <c r="M8" s="2120"/>
      <c r="N8" s="2120"/>
      <c r="O8" s="2120"/>
      <c r="P8" s="3506"/>
      <c r="Q8" s="3507"/>
      <c r="R8" s="3510"/>
      <c r="S8" s="3511"/>
      <c r="T8" s="3512"/>
      <c r="U8" s="3513"/>
      <c r="V8" s="3495"/>
      <c r="W8" s="3495"/>
      <c r="X8" s="1554"/>
      <c r="Y8" s="3512"/>
      <c r="Z8" s="3513"/>
      <c r="AA8" s="3499"/>
      <c r="AB8" s="3499"/>
      <c r="AC8" s="3499"/>
    </row>
    <row r="9" spans="1:29" s="1216" customFormat="1" ht="15.75" thickBot="1">
      <c r="A9" s="2868"/>
      <c r="B9" s="2875" t="s">
        <v>529</v>
      </c>
      <c r="C9" s="519">
        <f>'数据-取费表'!B2</f>
        <v>43959</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525" t="s">
        <v>530</v>
      </c>
      <c r="Q9" s="3527"/>
      <c r="R9" s="1555" t="s">
        <v>8</v>
      </c>
      <c r="S9" s="1556">
        <f t="shared" ref="S9:S17" si="0">F9</f>
        <v>0</v>
      </c>
      <c r="T9" s="1555" t="s">
        <v>8</v>
      </c>
      <c r="U9" s="1556">
        <f t="shared" ref="U9:U17" si="1">H9</f>
        <v>0</v>
      </c>
      <c r="V9" s="1555" t="s">
        <v>8</v>
      </c>
      <c r="W9" s="1556">
        <f t="shared" ref="W9:W17" si="2">J9</f>
        <v>0</v>
      </c>
      <c r="X9" s="1557"/>
      <c r="Y9" s="3525" t="s">
        <v>530</v>
      </c>
      <c r="Z9" s="3526"/>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525" t="s">
        <v>533</v>
      </c>
      <c r="Q10" s="3526"/>
      <c r="R10" s="1555" t="s">
        <v>8</v>
      </c>
      <c r="S10" s="1556">
        <f t="shared" si="0"/>
        <v>0</v>
      </c>
      <c r="T10" s="1555" t="s">
        <v>8</v>
      </c>
      <c r="U10" s="1556">
        <f t="shared" si="1"/>
        <v>0</v>
      </c>
      <c r="V10" s="1555" t="s">
        <v>8</v>
      </c>
      <c r="W10" s="1556">
        <f t="shared" si="2"/>
        <v>0</v>
      </c>
      <c r="X10" s="1557"/>
      <c r="Y10" s="3525" t="s">
        <v>533</v>
      </c>
      <c r="Z10" s="3526"/>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94" t="s">
        <v>535</v>
      </c>
      <c r="Q11" s="1147" t="str">
        <f t="shared" ref="Q11:Q17" si="6">B11</f>
        <v>用途</v>
      </c>
      <c r="R11" s="1555" t="s">
        <v>8</v>
      </c>
      <c r="S11" s="1556">
        <f t="shared" si="0"/>
        <v>100</v>
      </c>
      <c r="T11" s="1555" t="s">
        <v>8</v>
      </c>
      <c r="U11" s="1556">
        <f t="shared" si="1"/>
        <v>100</v>
      </c>
      <c r="V11" s="1555" t="s">
        <v>8</v>
      </c>
      <c r="W11" s="1556">
        <f t="shared" si="2"/>
        <v>100</v>
      </c>
      <c r="X11" s="1557"/>
      <c r="Y11" s="3440"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112</v>
      </c>
      <c r="G12" s="528"/>
      <c r="H12" s="255">
        <f>ROUND(100/'数据-取费表'!G16,0)</f>
        <v>112</v>
      </c>
      <c r="I12" s="528"/>
      <c r="J12" s="255">
        <f>ROUND(100/'数据-取费表'!G16,0)</f>
        <v>112</v>
      </c>
      <c r="K12" s="531"/>
      <c r="L12" s="2124"/>
      <c r="M12" s="2164"/>
      <c r="N12" s="2164"/>
      <c r="O12" s="2125"/>
      <c r="P12" s="3494"/>
      <c r="Q12" s="1147" t="str">
        <f t="shared" si="6"/>
        <v>土地使用年限（年）</v>
      </c>
      <c r="R12" s="1555" t="s">
        <v>8</v>
      </c>
      <c r="S12" s="1556">
        <f t="shared" si="0"/>
        <v>112</v>
      </c>
      <c r="T12" s="1555" t="s">
        <v>8</v>
      </c>
      <c r="U12" s="1556">
        <f t="shared" si="1"/>
        <v>112</v>
      </c>
      <c r="V12" s="1555" t="s">
        <v>8</v>
      </c>
      <c r="W12" s="1556">
        <f t="shared" si="2"/>
        <v>112</v>
      </c>
      <c r="X12" s="1557"/>
      <c r="Y12" s="3440"/>
      <c r="Z12" s="1146" t="str">
        <f t="shared" si="7"/>
        <v>土地使用年限（年）</v>
      </c>
      <c r="AA12" s="1558">
        <f t="shared" si="3"/>
        <v>0.8928571428571429</v>
      </c>
      <c r="AB12" s="1558">
        <f t="shared" si="4"/>
        <v>0.8928571428571429</v>
      </c>
      <c r="AC12" s="1558">
        <f t="shared" si="5"/>
        <v>0.8928571428571429</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94"/>
      <c r="Q13" s="1147" t="str">
        <f t="shared" si="6"/>
        <v>容积率</v>
      </c>
      <c r="R13" s="1555" t="s">
        <v>8</v>
      </c>
      <c r="S13" s="1556" t="e">
        <f t="shared" si="0"/>
        <v>#N/A</v>
      </c>
      <c r="T13" s="1555" t="s">
        <v>8</v>
      </c>
      <c r="U13" s="1556" t="e">
        <f t="shared" si="1"/>
        <v>#N/A</v>
      </c>
      <c r="V13" s="1555" t="s">
        <v>8</v>
      </c>
      <c r="W13" s="1556" t="e">
        <f t="shared" si="2"/>
        <v>#N/A</v>
      </c>
      <c r="X13" s="1557"/>
      <c r="Y13" s="3440"/>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94"/>
      <c r="Q14" s="1147">
        <f t="shared" si="6"/>
        <v>111</v>
      </c>
      <c r="R14" s="1555" t="s">
        <v>8</v>
      </c>
      <c r="S14" s="1556">
        <f t="shared" si="0"/>
        <v>100</v>
      </c>
      <c r="T14" s="1555" t="s">
        <v>8</v>
      </c>
      <c r="U14" s="1556">
        <f t="shared" si="1"/>
        <v>100</v>
      </c>
      <c r="V14" s="1555" t="s">
        <v>8</v>
      </c>
      <c r="W14" s="1556">
        <f t="shared" si="2"/>
        <v>100</v>
      </c>
      <c r="X14" s="1557"/>
      <c r="Y14" s="3440"/>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94"/>
      <c r="Q15" s="1147">
        <f t="shared" si="6"/>
        <v>111</v>
      </c>
      <c r="R15" s="1555" t="s">
        <v>8</v>
      </c>
      <c r="S15" s="1556">
        <f t="shared" si="0"/>
        <v>100</v>
      </c>
      <c r="T15" s="1555" t="s">
        <v>8</v>
      </c>
      <c r="U15" s="1556">
        <f t="shared" si="1"/>
        <v>100</v>
      </c>
      <c r="V15" s="1555" t="s">
        <v>8</v>
      </c>
      <c r="W15" s="1556">
        <f t="shared" si="2"/>
        <v>100</v>
      </c>
      <c r="X15" s="1557"/>
      <c r="Y15" s="3440"/>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94"/>
      <c r="Q16" s="1147">
        <f t="shared" si="6"/>
        <v>111</v>
      </c>
      <c r="R16" s="1555" t="s">
        <v>8</v>
      </c>
      <c r="S16" s="1556">
        <f t="shared" si="0"/>
        <v>100</v>
      </c>
      <c r="T16" s="1555" t="s">
        <v>8</v>
      </c>
      <c r="U16" s="1556">
        <f t="shared" si="1"/>
        <v>100</v>
      </c>
      <c r="V16" s="1555" t="s">
        <v>8</v>
      </c>
      <c r="W16" s="1556">
        <f t="shared" si="2"/>
        <v>100</v>
      </c>
      <c r="X16" s="1557"/>
      <c r="Y16" s="3440"/>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528" t="s">
        <v>540</v>
      </c>
      <c r="Q17" s="1559" t="str">
        <f t="shared" si="6"/>
        <v>产业集聚程度</v>
      </c>
      <c r="R17" s="1560" t="s">
        <v>8</v>
      </c>
      <c r="S17" s="1561">
        <f t="shared" si="0"/>
        <v>100</v>
      </c>
      <c r="T17" s="1560" t="s">
        <v>8</v>
      </c>
      <c r="U17" s="1561">
        <f t="shared" si="1"/>
        <v>100</v>
      </c>
      <c r="V17" s="1560" t="s">
        <v>8</v>
      </c>
      <c r="W17" s="1561">
        <f t="shared" si="2"/>
        <v>100</v>
      </c>
      <c r="X17" s="1554"/>
      <c r="Y17" s="3528"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529"/>
      <c r="Q18" s="1559"/>
      <c r="R18" s="1560"/>
      <c r="S18" s="1561"/>
      <c r="T18" s="1560"/>
      <c r="U18" s="1561"/>
      <c r="V18" s="1560"/>
      <c r="W18" s="1561"/>
      <c r="X18" s="1554"/>
      <c r="Y18" s="3529"/>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529"/>
      <c r="Q19" s="1559" t="str">
        <f>B19</f>
        <v>交通便捷度</v>
      </c>
      <c r="R19" s="1560" t="s">
        <v>8</v>
      </c>
      <c r="S19" s="1561">
        <f>F19</f>
        <v>100</v>
      </c>
      <c r="T19" s="1560" t="s">
        <v>8</v>
      </c>
      <c r="U19" s="1561">
        <f>H19</f>
        <v>100</v>
      </c>
      <c r="V19" s="1560" t="s">
        <v>8</v>
      </c>
      <c r="W19" s="1561">
        <f>J19</f>
        <v>100</v>
      </c>
      <c r="X19" s="1554"/>
      <c r="Y19" s="352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529"/>
      <c r="Q20" s="1559"/>
      <c r="R20" s="1560"/>
      <c r="S20" s="1561"/>
      <c r="T20" s="1560"/>
      <c r="U20" s="1561"/>
      <c r="V20" s="1560"/>
      <c r="W20" s="1561"/>
      <c r="X20" s="1554"/>
      <c r="Y20" s="3529"/>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529"/>
      <c r="Q21" s="1559" t="str">
        <f t="shared" ref="Q21:Q35" si="8">B21</f>
        <v>区域土地利用方向</v>
      </c>
      <c r="R21" s="1560" t="s">
        <v>8</v>
      </c>
      <c r="S21" s="1561">
        <f>F21</f>
        <v>100</v>
      </c>
      <c r="T21" s="1560" t="s">
        <v>8</v>
      </c>
      <c r="U21" s="1561">
        <f>H21</f>
        <v>100</v>
      </c>
      <c r="V21" s="1560" t="s">
        <v>8</v>
      </c>
      <c r="W21" s="1561">
        <f>J21</f>
        <v>100</v>
      </c>
      <c r="X21" s="1554"/>
      <c r="Y21" s="352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529"/>
      <c r="Q22" s="1559"/>
      <c r="R22" s="1560"/>
      <c r="S22" s="1561"/>
      <c r="T22" s="1560"/>
      <c r="U22" s="1561"/>
      <c r="V22" s="1560"/>
      <c r="W22" s="1561"/>
      <c r="X22" s="1554"/>
      <c r="Y22" s="3529"/>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529"/>
      <c r="Q23" s="1559" t="str">
        <f t="shared" si="8"/>
        <v>环境状况</v>
      </c>
      <c r="R23" s="1560" t="s">
        <v>8</v>
      </c>
      <c r="S23" s="1561">
        <f>F23</f>
        <v>100</v>
      </c>
      <c r="T23" s="1560" t="s">
        <v>8</v>
      </c>
      <c r="U23" s="1561">
        <f>H23</f>
        <v>100</v>
      </c>
      <c r="V23" s="1560" t="s">
        <v>8</v>
      </c>
      <c r="W23" s="1561">
        <f>J23</f>
        <v>100</v>
      </c>
      <c r="X23" s="1554"/>
      <c r="Y23" s="352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529"/>
      <c r="Q24" s="1559"/>
      <c r="R24" s="1560"/>
      <c r="S24" s="1561"/>
      <c r="T24" s="1560"/>
      <c r="U24" s="1561"/>
      <c r="V24" s="1560"/>
      <c r="W24" s="1561"/>
      <c r="X24" s="1554"/>
      <c r="Y24" s="3529"/>
      <c r="Z24" s="1562"/>
      <c r="AA24" s="1563">
        <v>1</v>
      </c>
      <c r="AB24" s="1563">
        <v>1</v>
      </c>
      <c r="AC24" s="1563">
        <v>1</v>
      </c>
    </row>
    <row r="25" spans="1:29" s="1216" customFormat="1" ht="42.75">
      <c r="A25" s="577"/>
      <c r="B25" s="2558"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529"/>
      <c r="Q25" s="1147" t="str">
        <f t="shared" si="8"/>
        <v>公共配套设施</v>
      </c>
      <c r="R25" s="1555" t="s">
        <v>8</v>
      </c>
      <c r="S25" s="1556">
        <f>F25</f>
        <v>100</v>
      </c>
      <c r="T25" s="1555" t="s">
        <v>8</v>
      </c>
      <c r="U25" s="1556">
        <f>H25</f>
        <v>100</v>
      </c>
      <c r="V25" s="1555" t="s">
        <v>8</v>
      </c>
      <c r="W25" s="1556">
        <f>J25</f>
        <v>100</v>
      </c>
      <c r="X25" s="1557"/>
      <c r="Y25" s="3529"/>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529"/>
      <c r="Q26" s="1147"/>
      <c r="R26" s="1555"/>
      <c r="S26" s="1556"/>
      <c r="T26" s="1555"/>
      <c r="U26" s="1556"/>
      <c r="V26" s="1555"/>
      <c r="W26" s="1556"/>
      <c r="X26" s="1557"/>
      <c r="Y26" s="3529"/>
      <c r="Z26" s="1146"/>
      <c r="AA26" s="1558">
        <v>1</v>
      </c>
      <c r="AB26" s="1558">
        <v>1</v>
      </c>
      <c r="AC26" s="1558">
        <v>1</v>
      </c>
    </row>
    <row r="27" spans="1:29" s="1216" customFormat="1" ht="28.5">
      <c r="A27" s="577"/>
      <c r="B27" s="2558"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529"/>
      <c r="Q27" s="2543" t="str">
        <f t="shared" ref="Q27" si="9">B27</f>
        <v>基础设施水平</v>
      </c>
      <c r="R27" s="1555" t="s">
        <v>8</v>
      </c>
      <c r="S27" s="1556">
        <f>F27</f>
        <v>100</v>
      </c>
      <c r="T27" s="1555" t="s">
        <v>8</v>
      </c>
      <c r="U27" s="1556">
        <f>H27</f>
        <v>100</v>
      </c>
      <c r="V27" s="1555" t="s">
        <v>8</v>
      </c>
      <c r="W27" s="1556">
        <f>J27</f>
        <v>100</v>
      </c>
      <c r="X27" s="1557"/>
      <c r="Y27" s="3529"/>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529"/>
      <c r="Q28" s="2543"/>
      <c r="R28" s="1555"/>
      <c r="S28" s="1556"/>
      <c r="T28" s="1555"/>
      <c r="U28" s="1556"/>
      <c r="V28" s="1555"/>
      <c r="W28" s="1556"/>
      <c r="X28" s="1557"/>
      <c r="Y28" s="3529"/>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52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529"/>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529"/>
      <c r="Q30" s="1559" t="str">
        <f t="shared" si="8"/>
        <v>毗邻道路的类型与等级</v>
      </c>
      <c r="R30" s="1560" t="s">
        <v>8</v>
      </c>
      <c r="S30" s="1561">
        <f t="shared" si="10"/>
        <v>100</v>
      </c>
      <c r="T30" s="1560" t="s">
        <v>8</v>
      </c>
      <c r="U30" s="1561">
        <f t="shared" si="11"/>
        <v>100</v>
      </c>
      <c r="V30" s="1560" t="s">
        <v>8</v>
      </c>
      <c r="W30" s="1561">
        <f t="shared" si="12"/>
        <v>100</v>
      </c>
      <c r="X30" s="1554"/>
      <c r="Y30" s="352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529"/>
      <c r="Q31" s="1559"/>
      <c r="R31" s="1560"/>
      <c r="S31" s="1561"/>
      <c r="T31" s="1560"/>
      <c r="U31" s="1561"/>
      <c r="V31" s="1560"/>
      <c r="W31" s="1561"/>
      <c r="X31" s="1554"/>
      <c r="Y31" s="3529"/>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529"/>
      <c r="Q32" s="1559" t="str">
        <f t="shared" si="8"/>
        <v>土地级别</v>
      </c>
      <c r="R32" s="1560" t="s">
        <v>8</v>
      </c>
      <c r="S32" s="1561">
        <f t="shared" si="10"/>
        <v>100</v>
      </c>
      <c r="T32" s="1560" t="s">
        <v>8</v>
      </c>
      <c r="U32" s="1561">
        <f t="shared" si="11"/>
        <v>100</v>
      </c>
      <c r="V32" s="1560" t="s">
        <v>8</v>
      </c>
      <c r="W32" s="1561">
        <f t="shared" si="12"/>
        <v>100</v>
      </c>
      <c r="X32" s="1554"/>
      <c r="Y32" s="352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529"/>
      <c r="Q33" s="1559">
        <f t="shared" si="8"/>
        <v>111</v>
      </c>
      <c r="R33" s="1560" t="s">
        <v>8</v>
      </c>
      <c r="S33" s="1561">
        <f t="shared" si="10"/>
        <v>100</v>
      </c>
      <c r="T33" s="1560" t="s">
        <v>8</v>
      </c>
      <c r="U33" s="1561">
        <f t="shared" si="11"/>
        <v>100</v>
      </c>
      <c r="V33" s="1560" t="s">
        <v>8</v>
      </c>
      <c r="W33" s="1561">
        <f t="shared" si="12"/>
        <v>100</v>
      </c>
      <c r="X33" s="1554"/>
      <c r="Y33" s="352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530" t="s">
        <v>550</v>
      </c>
      <c r="Q34" s="1559">
        <f t="shared" si="8"/>
        <v>111</v>
      </c>
      <c r="R34" s="1560" t="s">
        <v>8</v>
      </c>
      <c r="S34" s="1561">
        <f t="shared" si="10"/>
        <v>100</v>
      </c>
      <c r="T34" s="1560" t="s">
        <v>8</v>
      </c>
      <c r="U34" s="1561">
        <f t="shared" si="11"/>
        <v>100</v>
      </c>
      <c r="V34" s="1560" t="s">
        <v>8</v>
      </c>
      <c r="W34" s="1561">
        <f t="shared" si="12"/>
        <v>100</v>
      </c>
      <c r="X34" s="1554"/>
      <c r="Y34" s="3531"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531"/>
      <c r="Q35" s="1559">
        <f t="shared" si="8"/>
        <v>111</v>
      </c>
      <c r="R35" s="1564" t="s">
        <v>8</v>
      </c>
      <c r="S35" s="1565">
        <f t="shared" si="10"/>
        <v>100</v>
      </c>
      <c r="T35" s="1564" t="s">
        <v>8</v>
      </c>
      <c r="U35" s="1565">
        <f t="shared" si="11"/>
        <v>100</v>
      </c>
      <c r="V35" s="1564" t="s">
        <v>8</v>
      </c>
      <c r="W35" s="1565">
        <f t="shared" si="12"/>
        <v>100</v>
      </c>
      <c r="X35" s="1566"/>
      <c r="Y35" s="3531"/>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531"/>
      <c r="Q36" s="1559" t="str">
        <f>B36</f>
        <v>宗地面积</v>
      </c>
      <c r="R36" s="1560" t="s">
        <v>8</v>
      </c>
      <c r="S36" s="1561" t="e">
        <f t="shared" si="10"/>
        <v>#N/A</v>
      </c>
      <c r="T36" s="1560" t="s">
        <v>8</v>
      </c>
      <c r="U36" s="1561" t="e">
        <f t="shared" si="11"/>
        <v>#N/A</v>
      </c>
      <c r="V36" s="1560" t="s">
        <v>8</v>
      </c>
      <c r="W36" s="1561" t="e">
        <f t="shared" si="12"/>
        <v>#N/A</v>
      </c>
      <c r="X36" s="1554"/>
      <c r="Y36" s="3531"/>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531"/>
      <c r="Q37" s="1559" t="str">
        <f t="shared" ref="Q37:Q42" si="14">B37</f>
        <v>宗地形状</v>
      </c>
      <c r="R37" s="1560" t="s">
        <v>8</v>
      </c>
      <c r="S37" s="1561">
        <f t="shared" si="10"/>
        <v>100</v>
      </c>
      <c r="T37" s="1560" t="s">
        <v>8</v>
      </c>
      <c r="U37" s="1561">
        <f t="shared" si="11"/>
        <v>100</v>
      </c>
      <c r="V37" s="1560" t="s">
        <v>8</v>
      </c>
      <c r="W37" s="1561">
        <f t="shared" si="12"/>
        <v>100</v>
      </c>
      <c r="X37" s="1554"/>
      <c r="Y37" s="3531"/>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531"/>
      <c r="Q38" s="1559" t="str">
        <f t="shared" si="14"/>
        <v>宗地开发程度</v>
      </c>
      <c r="R38" s="1555" t="s">
        <v>8</v>
      </c>
      <c r="S38" s="1556">
        <f t="shared" si="10"/>
        <v>100</v>
      </c>
      <c r="T38" s="1555" t="s">
        <v>8</v>
      </c>
      <c r="U38" s="1556">
        <f t="shared" si="11"/>
        <v>100</v>
      </c>
      <c r="V38" s="1555" t="s">
        <v>8</v>
      </c>
      <c r="W38" s="1556">
        <f t="shared" si="12"/>
        <v>100</v>
      </c>
      <c r="X38" s="1557"/>
      <c r="Y38" s="3531"/>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531" t="s">
        <v>601</v>
      </c>
      <c r="Q39" s="1559" t="str">
        <f t="shared" si="14"/>
        <v>工程地质条件</v>
      </c>
      <c r="R39" s="1560" t="s">
        <v>8</v>
      </c>
      <c r="S39" s="1561">
        <f t="shared" si="10"/>
        <v>100</v>
      </c>
      <c r="T39" s="1560" t="s">
        <v>8</v>
      </c>
      <c r="U39" s="1561">
        <f t="shared" si="11"/>
        <v>100</v>
      </c>
      <c r="V39" s="1560" t="s">
        <v>8</v>
      </c>
      <c r="W39" s="1561">
        <f t="shared" si="12"/>
        <v>100</v>
      </c>
      <c r="X39" s="1554"/>
      <c r="Y39" s="3531"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531"/>
      <c r="Q40" s="1559">
        <f t="shared" si="14"/>
        <v>111</v>
      </c>
      <c r="R40" s="1560" t="s">
        <v>8</v>
      </c>
      <c r="S40" s="1561">
        <f t="shared" si="10"/>
        <v>100</v>
      </c>
      <c r="T40" s="1560" t="s">
        <v>8</v>
      </c>
      <c r="U40" s="1561">
        <f t="shared" si="11"/>
        <v>100</v>
      </c>
      <c r="V40" s="1560" t="s">
        <v>8</v>
      </c>
      <c r="W40" s="1561">
        <f t="shared" si="12"/>
        <v>100</v>
      </c>
      <c r="X40" s="1554"/>
      <c r="Y40" s="3531"/>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531"/>
      <c r="Q41" s="1559">
        <f t="shared" si="14"/>
        <v>111</v>
      </c>
      <c r="R41" s="1560" t="s">
        <v>8</v>
      </c>
      <c r="S41" s="1561">
        <f t="shared" si="10"/>
        <v>100</v>
      </c>
      <c r="T41" s="1560" t="s">
        <v>8</v>
      </c>
      <c r="U41" s="1561">
        <f t="shared" si="11"/>
        <v>100</v>
      </c>
      <c r="V41" s="1560" t="s">
        <v>8</v>
      </c>
      <c r="W41" s="1561">
        <f t="shared" si="12"/>
        <v>100</v>
      </c>
      <c r="X41" s="1554"/>
      <c r="Y41" s="3531"/>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531"/>
      <c r="Q42" s="1559">
        <f t="shared" si="14"/>
        <v>111</v>
      </c>
      <c r="R42" s="1564" t="s">
        <v>8</v>
      </c>
      <c r="S42" s="1565">
        <f t="shared" si="10"/>
        <v>100</v>
      </c>
      <c r="T42" s="1564" t="s">
        <v>8</v>
      </c>
      <c r="U42" s="1565">
        <f t="shared" si="11"/>
        <v>100</v>
      </c>
      <c r="V42" s="1564" t="s">
        <v>8</v>
      </c>
      <c r="W42" s="1565">
        <f t="shared" si="12"/>
        <v>100</v>
      </c>
      <c r="X42" s="1566"/>
      <c r="Y42" s="3531"/>
      <c r="Z42" s="1567">
        <f t="shared" si="13"/>
        <v>111</v>
      </c>
      <c r="AA42" s="1563">
        <f t="shared" si="3"/>
        <v>1</v>
      </c>
      <c r="AB42" s="1563">
        <f t="shared" si="4"/>
        <v>1</v>
      </c>
      <c r="AC42" s="1563">
        <f t="shared" si="5"/>
        <v>1</v>
      </c>
    </row>
    <row r="43" spans="1:29" ht="15">
      <c r="A43" s="607" t="s">
        <v>556</v>
      </c>
      <c r="B43" s="608" t="s">
        <v>2930</v>
      </c>
      <c r="C43" s="609" t="s">
        <v>1</v>
      </c>
      <c r="D43" s="610"/>
      <c r="E43" s="611"/>
      <c r="F43" s="612"/>
      <c r="G43" s="613"/>
      <c r="H43" s="614"/>
      <c r="I43" s="611"/>
      <c r="J43" s="614"/>
      <c r="K43" s="1336"/>
      <c r="L43" s="2130"/>
      <c r="M43" s="2120"/>
      <c r="N43" s="2120"/>
      <c r="O43" s="2131"/>
      <c r="P43" s="3494" t="str">
        <f>A43</f>
        <v>成交单价</v>
      </c>
      <c r="Q43" s="3494"/>
      <c r="R43" s="3495">
        <f>E43</f>
        <v>0</v>
      </c>
      <c r="S43" s="3495"/>
      <c r="T43" s="3495">
        <f>G43</f>
        <v>0</v>
      </c>
      <c r="U43" s="3495"/>
      <c r="V43" s="3495">
        <f>I43</f>
        <v>0</v>
      </c>
      <c r="W43" s="3495"/>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494" t="str">
        <f>A44</f>
        <v>比较价格（元/平方米）</v>
      </c>
      <c r="Q44" s="3494"/>
      <c r="R44" s="3496" t="e">
        <f>ROUND(PRODUCT(R43,AA9:AA42),0)</f>
        <v>#DIV/0!</v>
      </c>
      <c r="S44" s="3496"/>
      <c r="T44" s="3496" t="e">
        <f>ROUND(PRODUCT(T43,AB9:AB42),0)</f>
        <v>#DIV/0!</v>
      </c>
      <c r="U44" s="3496"/>
      <c r="V44" s="3496" t="e">
        <f>ROUND(PRODUCT(V43,AC9:AC42),0)</f>
        <v>#DIV/0!</v>
      </c>
      <c r="W44" s="3496"/>
      <c r="X44" s="1546"/>
      <c r="Y44" s="1546"/>
      <c r="Z44" s="1546"/>
      <c r="AA44" s="1546"/>
      <c r="AB44" s="1546"/>
      <c r="AC44" s="1546"/>
    </row>
    <row r="45" spans="1:29" ht="15.75" thickBot="1">
      <c r="A45" s="621" t="s">
        <v>2931</v>
      </c>
      <c r="B45" s="622"/>
      <c r="C45" s="623" t="e">
        <f>R45</f>
        <v>#DIV/0!</v>
      </c>
      <c r="D45" s="623"/>
      <c r="E45" s="623"/>
      <c r="F45" s="623"/>
      <c r="G45" s="623"/>
      <c r="H45" s="623"/>
      <c r="I45" s="623"/>
      <c r="J45" s="623"/>
      <c r="K45" s="1338"/>
      <c r="L45" s="2130"/>
      <c r="M45" s="2120"/>
      <c r="N45" s="2120"/>
      <c r="O45" s="2131"/>
      <c r="P45" s="3491" t="str">
        <f>A45</f>
        <v>估价对象XX用房的比较价格（楼面单价，元/平方米）</v>
      </c>
      <c r="Q45" s="3492"/>
      <c r="R45" s="3493" t="e">
        <f>ROUND(AVERAGE(R44:V44),0)</f>
        <v>#DIV/0!</v>
      </c>
      <c r="S45" s="3493"/>
      <c r="T45" s="3493"/>
      <c r="U45" s="3493"/>
      <c r="V45" s="3493"/>
      <c r="W45" s="3493"/>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2290</v>
      </c>
      <c r="E52" s="631" t="s">
        <v>562</v>
      </c>
      <c r="F52" s="1937" t="s">
        <v>563</v>
      </c>
      <c r="G52" s="3538" t="s">
        <v>2282</v>
      </c>
      <c r="H52" s="3539"/>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245539.3</v>
      </c>
      <c r="F53" s="1936" t="e">
        <f t="shared" ref="F53:F62" si="15">ROUND(B53*E53/10000,0)</f>
        <v>#DIV/0!</v>
      </c>
      <c r="G53" s="3540"/>
      <c r="H53" s="354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542"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54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54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54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2291</v>
      </c>
      <c r="E63" s="643">
        <f>IF(B43="楼面地价",SUM(E53:E62),'数据-汇总表'!D3)</f>
        <v>245539.3</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2020-5-1</v>
      </c>
      <c r="D65" s="2755">
        <f>EDATE(C65,-3)</f>
        <v>43862</v>
      </c>
      <c r="E65" s="2755">
        <f t="shared" ref="E65:N65" si="18">EDATE(D65,-3)</f>
        <v>43770</v>
      </c>
      <c r="F65" s="2755">
        <f t="shared" si="18"/>
        <v>43678</v>
      </c>
      <c r="G65" s="2755">
        <f t="shared" si="18"/>
        <v>43586</v>
      </c>
      <c r="H65" s="2755">
        <f t="shared" si="18"/>
        <v>43497</v>
      </c>
      <c r="I65" s="2755">
        <f t="shared" si="18"/>
        <v>43405</v>
      </c>
      <c r="J65" s="2755">
        <f t="shared" si="18"/>
        <v>43313</v>
      </c>
      <c r="K65" s="2755">
        <f t="shared" si="18"/>
        <v>43221</v>
      </c>
      <c r="L65" s="2755">
        <f t="shared" si="18"/>
        <v>43132</v>
      </c>
      <c r="M65" s="2755">
        <f t="shared" si="18"/>
        <v>43040</v>
      </c>
      <c r="N65" s="2755">
        <f t="shared" si="18"/>
        <v>42948</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2530</v>
      </c>
      <c r="B67" s="646"/>
      <c r="C67" s="2751" t="str">
        <f>YEAR(C65)&amp;"-"&amp;ROUNDUP(MONTH(C65)/3,0)</f>
        <v>2020-2</v>
      </c>
      <c r="D67" s="2757" t="str">
        <f t="shared" ref="D67:N67" si="19">YEAR(D65)&amp;"-"&amp;ROUNDUP(MONTH(D65)/3,0)</f>
        <v>2020-1</v>
      </c>
      <c r="E67" s="2757" t="str">
        <f t="shared" si="19"/>
        <v>2019-4</v>
      </c>
      <c r="F67" s="2757" t="str">
        <f t="shared" si="19"/>
        <v>2019-3</v>
      </c>
      <c r="G67" s="2757" t="str">
        <f t="shared" si="19"/>
        <v>2019-2</v>
      </c>
      <c r="H67" s="2757" t="str">
        <f t="shared" si="19"/>
        <v>2019-1</v>
      </c>
      <c r="I67" s="2757" t="str">
        <f t="shared" si="19"/>
        <v>2018-4</v>
      </c>
      <c r="J67" s="2757" t="str">
        <f t="shared" si="19"/>
        <v>2018-3</v>
      </c>
      <c r="K67" s="2757" t="str">
        <f t="shared" si="19"/>
        <v>2018-2</v>
      </c>
      <c r="L67" s="2757" t="str">
        <f t="shared" si="19"/>
        <v>2018-1</v>
      </c>
      <c r="M67" s="2757" t="str">
        <f t="shared" si="19"/>
        <v>2017-4</v>
      </c>
      <c r="N67" s="2757" t="str">
        <f t="shared" si="19"/>
        <v>2017-3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北京市平均增长率1.31%</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2545</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2547</v>
      </c>
      <c r="C95" s="2563" t="s">
        <v>2548</v>
      </c>
      <c r="D95" s="2563" t="s">
        <v>2549</v>
      </c>
      <c r="E95" s="2563" t="s">
        <v>2550</v>
      </c>
      <c r="F95" s="2563" t="s">
        <v>2551</v>
      </c>
      <c r="G95" s="2563" t="s">
        <v>2552</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31" zoomScale="80" zoomScaleNormal="80" workbookViewId="0">
      <selection activeCell="F97" sqref="F97"/>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2423</v>
      </c>
      <c r="D1" s="1509">
        <f>SUM(D29:D30,D33:D39)</f>
        <v>245539.3</v>
      </c>
      <c r="E1" s="1403" t="s">
        <v>2424</v>
      </c>
      <c r="F1" s="2417">
        <f>D1</f>
        <v>245539.3</v>
      </c>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2757</v>
      </c>
      <c r="S1" s="2892" t="s">
        <v>2758</v>
      </c>
      <c r="T1" s="2892" t="s">
        <v>2779</v>
      </c>
      <c r="U1" s="2892" t="s">
        <v>2780</v>
      </c>
      <c r="V1" s="2892" t="s">
        <v>2781</v>
      </c>
      <c r="W1" s="2175"/>
      <c r="X1" s="2175"/>
      <c r="Y1" s="2175"/>
      <c r="Z1" s="2175"/>
      <c r="AA1" s="2175"/>
      <c r="AB1" s="2175"/>
      <c r="AC1" s="2176"/>
    </row>
    <row r="2" spans="1:39" ht="15.75">
      <c r="A2" s="1403" t="s">
        <v>920</v>
      </c>
      <c r="B2" s="1038">
        <f ca="1">C26</f>
        <v>30594</v>
      </c>
      <c r="C2" s="1404" t="s">
        <v>921</v>
      </c>
      <c r="D2" s="1405" t="s">
        <v>922</v>
      </c>
      <c r="E2" s="1406" t="s">
        <v>981</v>
      </c>
      <c r="F2" s="1405" t="s">
        <v>924</v>
      </c>
      <c r="G2" s="1638" t="str">
        <f>IF(E2="商业",项目基本情况!B43,IF(E2="办公",项目基本情况!C43,IF(E2="住宅",项目基本情况!D43,项目基本情况!E43)))</f>
        <v>八级</v>
      </c>
      <c r="H2" s="1405" t="s">
        <v>926</v>
      </c>
      <c r="I2" s="1639" t="str">
        <f>IF(E2="商业",项目基本情况!B44,IF(E2="办公",项目基本情况!C44,IF(E2="住宅",项目基本情况!D44,项目基本情况!E44)))</f>
        <v>Ⅷ-昌1</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1.9419999999999999</v>
      </c>
      <c r="T2" s="2893">
        <f ca="1">ROUND($C$5*$C$18*$C$19*$C$20*S2*$C$24,0)</f>
        <v>2419</v>
      </c>
      <c r="U2" s="2882"/>
      <c r="V2" s="2893">
        <f ca="1">ROUND(T2*U2/10000,0)</f>
        <v>0</v>
      </c>
      <c r="W2" s="2175"/>
      <c r="X2" s="2175"/>
      <c r="Y2" s="2175"/>
      <c r="Z2" s="2175"/>
      <c r="AA2" s="2175"/>
      <c r="AB2" s="2175"/>
      <c r="AC2" s="2176"/>
    </row>
    <row r="3" spans="1:39" ht="15.75">
      <c r="A3" s="1408" t="s">
        <v>1687</v>
      </c>
      <c r="B3" s="1038">
        <f ca="1">ROUND(B2*10000/D1,0)</f>
        <v>1246</v>
      </c>
      <c r="C3" s="1404" t="s">
        <v>927</v>
      </c>
      <c r="D3" s="1405" t="s">
        <v>928</v>
      </c>
      <c r="E3" s="1409" t="s">
        <v>2998</v>
      </c>
      <c r="F3" s="1410" t="s">
        <v>2999</v>
      </c>
      <c r="G3" s="1039">
        <f>IF(F3="宗地容积率",'数据-汇总表'!I4,IF(F3="估价对象容积率",'数据-汇总表'!I6,'数据-汇总表'!I7))</f>
        <v>1</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1.2799</v>
      </c>
      <c r="T3" s="2893">
        <f t="shared" ref="T3:T16" ca="1" si="0">ROUND($C$5*$C$18*$C$19*$C$20*S3*$C$24,0)</f>
        <v>1594</v>
      </c>
      <c r="U3" s="2882"/>
      <c r="V3" s="2893">
        <f t="shared" ref="V3:V16" ca="1" si="1">ROUND(T3*U3/10000,0)</f>
        <v>0</v>
      </c>
      <c r="W3" s="2175"/>
      <c r="X3" s="2175"/>
      <c r="Y3" s="2175"/>
      <c r="Z3" s="2175"/>
      <c r="AA3" s="2175"/>
      <c r="AB3" s="2175"/>
      <c r="AC3" s="2176"/>
    </row>
    <row r="4" spans="1:39" ht="28.5">
      <c r="A4" s="1877" t="s">
        <v>2278</v>
      </c>
      <c r="B4" s="2418">
        <f ca="1">ROUND(B2*10000/F1,0)</f>
        <v>1246</v>
      </c>
      <c r="C4" s="1880" t="s">
        <v>2252</v>
      </c>
      <c r="D4" s="1880">
        <f ca="1">ROUND(B2/(F1/666.67),0)</f>
        <v>83</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1.0072000000000001</v>
      </c>
      <c r="T4" s="2893">
        <f t="shared" ca="1" si="0"/>
        <v>1255</v>
      </c>
      <c r="U4" s="2882"/>
      <c r="V4" s="2893">
        <f t="shared" ca="1" si="1"/>
        <v>0</v>
      </c>
      <c r="W4" s="2175"/>
      <c r="X4" s="2175"/>
      <c r="Y4" s="2175"/>
      <c r="Z4" s="2175"/>
      <c r="AA4" s="2175"/>
      <c r="AB4" s="2175"/>
      <c r="AC4" s="2176"/>
    </row>
    <row r="5" spans="1:39" s="1418" customFormat="1" ht="15.75" thickBot="1">
      <c r="A5" s="1624" t="s">
        <v>1823</v>
      </c>
      <c r="B5" s="1412" t="s">
        <v>931</v>
      </c>
      <c r="C5" s="1041">
        <f>ROUND(IF(E2="商业",C6*C7+C16,(IF(E2="住宅",C6*C12+C16,C6+C16))),0)</f>
        <v>940</v>
      </c>
      <c r="D5" s="3073">
        <f>ROUND(C6+C16,0)</f>
        <v>940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0.75249999999999995</v>
      </c>
      <c r="T5" s="2893">
        <f t="shared" ca="1" si="0"/>
        <v>937</v>
      </c>
      <c r="U5" s="2882"/>
      <c r="V5" s="2893">
        <f t="shared" ca="1" si="1"/>
        <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940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0.56589999999999996</v>
      </c>
      <c r="T6" s="2893">
        <f t="shared" ca="1" si="0"/>
        <v>705</v>
      </c>
      <c r="U6" s="2882"/>
      <c r="V6" s="2893">
        <f t="shared" ca="1" si="1"/>
        <v>0</v>
      </c>
      <c r="W6" s="2175"/>
      <c r="X6" s="2175"/>
      <c r="Y6" s="2175"/>
      <c r="Z6" s="2175"/>
      <c r="AA6" s="2175"/>
      <c r="AB6" s="2175"/>
      <c r="AC6" s="2177"/>
      <c r="AD6" s="1416"/>
      <c r="AE6" s="1416"/>
      <c r="AF6" s="1416"/>
      <c r="AG6" s="1416"/>
      <c r="AH6" s="1416"/>
      <c r="AI6" s="1416"/>
      <c r="AJ6" s="1417"/>
    </row>
    <row r="7" spans="1:39" ht="24">
      <c r="A7" s="3554"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0.45250000000000001</v>
      </c>
      <c r="T7" s="2893">
        <f t="shared" ca="1" si="0"/>
        <v>564</v>
      </c>
      <c r="U7" s="2882"/>
      <c r="V7" s="2893">
        <f t="shared" ca="1" si="1"/>
        <v>0</v>
      </c>
      <c r="W7" s="2891" t="s">
        <v>2760</v>
      </c>
      <c r="X7" s="2883" t="str">
        <f>G2</f>
        <v>八级</v>
      </c>
      <c r="Y7" s="2883" t="s">
        <v>2761</v>
      </c>
      <c r="Z7" s="2884">
        <f>G3</f>
        <v>1</v>
      </c>
      <c r="AA7" s="2178"/>
      <c r="AB7" s="2178"/>
      <c r="AC7" s="2179"/>
      <c r="AD7" s="2885"/>
      <c r="AE7" s="2885"/>
      <c r="AF7" s="2885"/>
      <c r="AG7" s="2885"/>
      <c r="AH7" s="2885"/>
      <c r="AI7" s="2885"/>
      <c r="AJ7" s="2886"/>
    </row>
    <row r="8" spans="1:39" ht="15">
      <c r="A8" s="3555"/>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940</v>
      </c>
      <c r="N8" s="1873">
        <f>SUMPRODUCT((因素修正幅度!B206:B244=I2)*(因素修正幅度!C3:F3=E2)*(因素修正幅度!C206:F244))</f>
        <v>0.15</v>
      </c>
      <c r="O8" s="1453"/>
      <c r="P8" s="1398"/>
      <c r="Q8" s="2175"/>
      <c r="R8" s="2893">
        <v>7</v>
      </c>
      <c r="S8" s="2882"/>
      <c r="T8" s="2893">
        <f t="shared" ca="1" si="0"/>
        <v>0</v>
      </c>
      <c r="U8" s="2882"/>
      <c r="V8" s="2893">
        <f t="shared" ca="1" si="1"/>
        <v>0</v>
      </c>
      <c r="W8" s="3544" t="s">
        <v>2778</v>
      </c>
      <c r="X8" s="3545"/>
      <c r="Y8" s="1835" t="s">
        <v>2762</v>
      </c>
      <c r="Z8" s="1835" t="s">
        <v>2763</v>
      </c>
      <c r="AA8" s="1835" t="s">
        <v>2764</v>
      </c>
      <c r="AB8" s="1835" t="s">
        <v>2765</v>
      </c>
      <c r="AC8" s="1835" t="s">
        <v>2766</v>
      </c>
      <c r="AD8" s="1835" t="s">
        <v>2767</v>
      </c>
      <c r="AE8" s="1835" t="s">
        <v>2768</v>
      </c>
      <c r="AF8" s="1835" t="s">
        <v>2769</v>
      </c>
      <c r="AG8" s="1835" t="s">
        <v>2770</v>
      </c>
      <c r="AH8" s="1835" t="s">
        <v>2771</v>
      </c>
      <c r="AI8" s="1835" t="s">
        <v>2772</v>
      </c>
      <c r="AJ8" s="1835" t="s">
        <v>2773</v>
      </c>
    </row>
    <row r="9" spans="1:39" ht="15">
      <c r="A9" s="3555"/>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f t="shared" ca="1" si="0"/>
        <v>0</v>
      </c>
      <c r="U9" s="2882"/>
      <c r="V9" s="2893">
        <f t="shared" ca="1" si="1"/>
        <v>0</v>
      </c>
      <c r="W9" s="3543" t="s">
        <v>2774</v>
      </c>
      <c r="X9" s="2887" t="s">
        <v>2775</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555"/>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f t="shared" ca="1" si="0"/>
        <v>0</v>
      </c>
      <c r="U10" s="2882"/>
      <c r="V10" s="2893">
        <f t="shared" ca="1" si="1"/>
        <v>0</v>
      </c>
      <c r="W10" s="3543"/>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555"/>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f t="shared" ca="1" si="0"/>
        <v>0</v>
      </c>
      <c r="U11" s="2882"/>
      <c r="V11" s="2893">
        <f t="shared" ca="1" si="1"/>
        <v>0</v>
      </c>
      <c r="W11" s="3543" t="s">
        <v>2776</v>
      </c>
      <c r="X11" s="1048" t="s">
        <v>2761</v>
      </c>
      <c r="Y11" s="1639">
        <f>$G$3</f>
        <v>1</v>
      </c>
      <c r="Z11" s="1639">
        <f t="shared" ref="Z11:AJ11" si="3">$G$3</f>
        <v>1</v>
      </c>
      <c r="AA11" s="1639">
        <f t="shared" si="3"/>
        <v>1</v>
      </c>
      <c r="AB11" s="1639">
        <f t="shared" si="3"/>
        <v>1</v>
      </c>
      <c r="AC11" s="1639">
        <f t="shared" si="3"/>
        <v>1</v>
      </c>
      <c r="AD11" s="1639">
        <f t="shared" si="3"/>
        <v>1</v>
      </c>
      <c r="AE11" s="1639">
        <f t="shared" si="3"/>
        <v>1</v>
      </c>
      <c r="AF11" s="1639">
        <f t="shared" si="3"/>
        <v>1</v>
      </c>
      <c r="AG11" s="1639">
        <f t="shared" si="3"/>
        <v>1</v>
      </c>
      <c r="AH11" s="1639">
        <f t="shared" si="3"/>
        <v>1</v>
      </c>
      <c r="AI11" s="1639">
        <f t="shared" si="3"/>
        <v>1</v>
      </c>
      <c r="AJ11" s="1639">
        <f t="shared" si="3"/>
        <v>1</v>
      </c>
    </row>
    <row r="12" spans="1:39" ht="25.5" thickBot="1">
      <c r="A12" s="3554"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f t="shared" ca="1" si="0"/>
        <v>0</v>
      </c>
      <c r="U12" s="2882"/>
      <c r="V12" s="2893">
        <f t="shared" ca="1" si="1"/>
        <v>0</v>
      </c>
      <c r="W12" s="3543"/>
      <c r="X12" s="2890" t="s">
        <v>2777</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556"/>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f t="shared" ca="1" si="0"/>
        <v>0</v>
      </c>
      <c r="U13" s="2882"/>
      <c r="V13" s="2893">
        <f t="shared" ca="1" si="1"/>
        <v>0</v>
      </c>
      <c r="W13" s="3543"/>
      <c r="X13" s="2890"/>
      <c r="Y13" s="2889">
        <f>(-0.163*(Y12^2)-0.59*Y12+7617)*(10^(-4))/Y11</f>
        <v>0.76170000000000004</v>
      </c>
      <c r="Z13" s="2889">
        <f t="shared" ref="Z13:AJ13" si="5">(-0.163*(Z12^2)-0.59*Z12+7617)*(10^(-4))/Z11</f>
        <v>0.76170000000000004</v>
      </c>
      <c r="AA13" s="2889">
        <f t="shared" si="5"/>
        <v>0.76170000000000004</v>
      </c>
      <c r="AB13" s="2889">
        <f t="shared" si="5"/>
        <v>0.76170000000000004</v>
      </c>
      <c r="AC13" s="2889">
        <f t="shared" si="5"/>
        <v>0.76170000000000004</v>
      </c>
      <c r="AD13" s="2889">
        <f t="shared" si="5"/>
        <v>0.76170000000000004</v>
      </c>
      <c r="AE13" s="2889">
        <f t="shared" si="5"/>
        <v>0.76170000000000004</v>
      </c>
      <c r="AF13" s="2889">
        <f t="shared" si="5"/>
        <v>0.76170000000000004</v>
      </c>
      <c r="AG13" s="2889">
        <f t="shared" si="5"/>
        <v>0.76170000000000004</v>
      </c>
      <c r="AH13" s="2889">
        <f t="shared" si="5"/>
        <v>0.76170000000000004</v>
      </c>
      <c r="AI13" s="2889">
        <f t="shared" si="5"/>
        <v>0.76170000000000004</v>
      </c>
      <c r="AJ13" s="2889">
        <f t="shared" si="5"/>
        <v>0.76170000000000004</v>
      </c>
    </row>
    <row r="14" spans="1:39" ht="12.75" customHeight="1">
      <c r="A14" s="3556"/>
      <c r="B14" s="1448"/>
      <c r="C14" s="1449"/>
      <c r="D14" s="1450"/>
      <c r="E14" s="1450"/>
      <c r="F14" s="1451"/>
      <c r="G14" s="1452" t="s">
        <v>949</v>
      </c>
      <c r="H14" s="1453"/>
      <c r="I14" s="1454"/>
      <c r="J14" s="1455"/>
      <c r="K14" s="3151"/>
      <c r="L14" s="3151"/>
      <c r="M14" s="3151"/>
      <c r="N14" s="3151"/>
      <c r="O14" s="3151"/>
      <c r="P14" s="1398"/>
      <c r="Q14" s="2175"/>
      <c r="R14" s="2893">
        <v>13</v>
      </c>
      <c r="S14" s="2882"/>
      <c r="T14" s="2893">
        <f t="shared" ca="1" si="0"/>
        <v>0</v>
      </c>
      <c r="U14" s="2882"/>
      <c r="V14" s="2893">
        <f t="shared" ca="1" si="1"/>
        <v>0</v>
      </c>
      <c r="W14" s="2175"/>
      <c r="X14" s="2175"/>
      <c r="Y14" s="2175"/>
      <c r="Z14" s="2175"/>
      <c r="AA14" s="2175"/>
      <c r="AB14" s="2175"/>
      <c r="AC14" s="2176"/>
    </row>
    <row r="15" spans="1:39" ht="13.5" customHeight="1" thickBot="1">
      <c r="A15" s="3557"/>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f t="shared" ca="1" si="0"/>
        <v>0</v>
      </c>
      <c r="U15" s="2882"/>
      <c r="V15" s="2893">
        <f t="shared" ca="1" si="1"/>
        <v>0</v>
      </c>
      <c r="W15" s="2175"/>
      <c r="X15" s="2175"/>
      <c r="Y15" s="2175"/>
      <c r="Z15" s="2175"/>
      <c r="AA15" s="2175"/>
      <c r="AB15" s="2175"/>
      <c r="AC15" s="2176"/>
    </row>
    <row r="16" spans="1:39" ht="24.6" customHeight="1">
      <c r="A16" s="3554" t="s">
        <v>1838</v>
      </c>
      <c r="B16" s="1424" t="s">
        <v>950</v>
      </c>
      <c r="C16" s="1052">
        <f>ROUND(IF(F17="与级别开发程度一致",0,(G17-E17)/C17),0)</f>
        <v>0</v>
      </c>
      <c r="D16" s="3551" t="s">
        <v>954</v>
      </c>
      <c r="E16" s="3552"/>
      <c r="F16" s="3551" t="s">
        <v>951</v>
      </c>
      <c r="G16" s="3552"/>
      <c r="H16" s="1456"/>
      <c r="I16" s="1456"/>
      <c r="J16" s="1456"/>
      <c r="K16" s="1456"/>
      <c r="L16" s="1456"/>
      <c r="M16" s="1456"/>
      <c r="N16" s="1456"/>
      <c r="O16" s="3175"/>
      <c r="P16" s="1398"/>
      <c r="Q16" s="2178"/>
      <c r="R16" s="2893">
        <v>15</v>
      </c>
      <c r="S16" s="2882"/>
      <c r="T16" s="2893">
        <f t="shared" ca="1" si="0"/>
        <v>0</v>
      </c>
      <c r="U16" s="2882"/>
      <c r="V16" s="2893">
        <f t="shared" ca="1" si="1"/>
        <v>0</v>
      </c>
      <c r="W16" s="2178"/>
      <c r="X16" s="2178"/>
      <c r="Y16" s="2178"/>
      <c r="Z16" s="2178"/>
      <c r="AA16" s="2178"/>
      <c r="AB16" s="2178"/>
      <c r="AC16" s="2179"/>
    </row>
    <row r="17" spans="1:40" ht="24.75" thickBot="1">
      <c r="A17" s="3558"/>
      <c r="B17" s="3176" t="s">
        <v>953</v>
      </c>
      <c r="C17" s="3177">
        <f>SUMPRODUCT((修正!A2:A5=E2)*(修正!B1:M1=G2)*(修正!B2:M5))</f>
        <v>1</v>
      </c>
      <c r="D17" s="3178" t="str">
        <f>IF(OR(G2="八级",G2="九级",G2="十级",G2="十一级",G2="十二级"),"五通一平","七通一平")</f>
        <v>五通一平</v>
      </c>
      <c r="E17" s="3168">
        <f>SUMPRODUCT((修正!B1:M1=G2)*(修正!B15:M15))</f>
        <v>155</v>
      </c>
      <c r="F17" s="3169" t="s">
        <v>3002</v>
      </c>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1</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ROUND(IF(H19="按公示增长率计算",SUMPRODUCT((地价!A3:A30=YEAR(G19)&amp;"-"&amp;ROUNDUP(MONTH(G19)/3,0))*(地价!X2:AB2=E2)*(地价!X3:AB30)),IF(H19="地价指数",M20/M19,(1+I19)^O19)),4)</f>
        <v>1.4004000000000001</v>
      </c>
      <c r="D19" s="1463" t="s">
        <v>957</v>
      </c>
      <c r="E19" s="1054">
        <v>41640</v>
      </c>
      <c r="F19" s="1463" t="s">
        <v>958</v>
      </c>
      <c r="G19" s="1055">
        <f>'数据-取费表'!B2</f>
        <v>43959</v>
      </c>
      <c r="H19" s="1464" t="s">
        <v>2986</v>
      </c>
      <c r="I19" s="2741" t="str">
        <f>IF(H19="季度增幅（自定义）",SUMIF(N21:N24,E2,O21:O24),"")</f>
        <v/>
      </c>
      <c r="J19" s="1460"/>
      <c r="K19" s="3150"/>
      <c r="L19" s="2993" t="s">
        <v>2836</v>
      </c>
      <c r="M19" s="2994">
        <f>ROUND(SUMIF(地价!B2:F2,E2,地价!B30:F30),0)</f>
        <v>230</v>
      </c>
      <c r="N19" s="2743" t="s">
        <v>1676</v>
      </c>
      <c r="O19" s="2742">
        <f>ROUNDDOWN(DATEDIF(E19,G19,"M")/3,0)</f>
        <v>25</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0.91339999999999999</v>
      </c>
      <c r="D20" s="2738" t="s">
        <v>972</v>
      </c>
      <c r="E20" s="3048">
        <f ca="1">存贷款利率!I4/100</f>
        <v>4.3499999999999997E-2</v>
      </c>
      <c r="F20" s="2738" t="s">
        <v>973</v>
      </c>
      <c r="G20" s="2739">
        <f ca="1">SUMIF(M26:P26,E2,M28:P28)</f>
        <v>4.8000000000000001E-2</v>
      </c>
      <c r="H20" s="2738" t="s">
        <v>974</v>
      </c>
      <c r="I20" s="2734">
        <f>SUMIF('数据-取费表'!C6:C15,E2,'数据-取费表'!F6:F15)/COUNTIF('数据-取费表'!C6:C15,E2)</f>
        <v>37.270000000000003</v>
      </c>
      <c r="J20" s="2740">
        <f>IF(E2="住宅",70,IF(E2="商业",40,50))</f>
        <v>50</v>
      </c>
      <c r="K20" s="3152"/>
      <c r="L20" s="2995" t="s">
        <v>2837</v>
      </c>
      <c r="M20" s="3159">
        <f>ROUND(SUMPRODUCT((地价!A4:A30=YEAR(G19)&amp;"-"&amp;ROUNDUP(MONTH(G19)/3,0))*(地价!B2:F2=E2)*(地价!B4:F30)),0)</f>
        <v>318</v>
      </c>
      <c r="N20" s="2746" t="s">
        <v>2641</v>
      </c>
      <c r="O20" s="2744" t="s">
        <v>2640</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3001</v>
      </c>
      <c r="C21" s="1154">
        <f>IF(B21="容积率修正",IF(G3&lt;=10,D22,J22),C23)</f>
        <v>1</v>
      </c>
      <c r="D21" s="1470"/>
      <c r="E21" s="1470"/>
      <c r="F21" s="1470"/>
      <c r="G21" s="1470"/>
      <c r="H21" s="1470"/>
      <c r="I21" s="1470"/>
      <c r="J21" s="1471"/>
      <c r="K21" s="3150"/>
      <c r="L21" s="1470"/>
      <c r="M21" s="1470"/>
      <c r="N21" s="1467" t="s">
        <v>975</v>
      </c>
      <c r="O21" s="1530"/>
      <c r="P21" s="2733">
        <f>SUMPRODUCT((地价!A3:A30=YEAR(G19)&amp;"-"&amp;ROUNDUP(MONTH(G19)/3,0))*(地价!AD2:AH2=N21)*(地价!AD3:AH30))</f>
        <v>1.2800000000000001E-2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1</v>
      </c>
      <c r="E22" s="1039">
        <f>ROUNDDOWN(G3,1)</f>
        <v>1</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6" t="s">
        <v>977</v>
      </c>
      <c r="J22" s="1056" t="str">
        <f>IF(G3&gt;10,D113,"——")</f>
        <v>——</v>
      </c>
      <c r="K22" s="3153"/>
      <c r="L22" s="1470"/>
      <c r="M22" s="1470"/>
      <c r="N22" s="1467" t="s">
        <v>978</v>
      </c>
      <c r="O22" s="1530"/>
      <c r="P22" s="2733">
        <f>SUMPRODUCT((地价!A3:A30=YEAR(G19)&amp;"-"&amp;ROUNDUP(MONTH(G19)/3,0))*(地价!AD2:AH2=N22)*(地价!AD3:AH30))</f>
        <v>1.2800000000000001E-2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0.44750000000000001</v>
      </c>
      <c r="D23" s="1518"/>
      <c r="E23" s="1518"/>
      <c r="F23" s="1519"/>
      <c r="G23" s="1520"/>
      <c r="H23" s="1521"/>
      <c r="I23" s="1522"/>
      <c r="J23" s="1522"/>
      <c r="K23" s="3154"/>
      <c r="L23" s="1398"/>
      <c r="M23" s="1398"/>
      <c r="N23" s="1467" t="s">
        <v>923</v>
      </c>
      <c r="O23" s="1530"/>
      <c r="P23" s="2733">
        <f>SUMPRODUCT((地价!A3:A30=YEAR(G19)&amp;"-"&amp;ROUNDUP(MONTH(G19)/3,0))*(地价!AD2:AH2=N23)*(地价!AD3:AH30))</f>
        <v>2.0299999999999999E-2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1.0359</v>
      </c>
      <c r="D24" s="1523"/>
      <c r="E24" s="1524"/>
      <c r="F24" s="1524"/>
      <c r="G24" s="1524"/>
      <c r="H24" s="1524"/>
      <c r="I24" s="1524"/>
      <c r="J24" s="1524"/>
      <c r="K24" s="3154"/>
      <c r="L24" s="1470"/>
      <c r="M24" s="1470"/>
      <c r="N24" s="1467" t="s">
        <v>981</v>
      </c>
      <c r="O24" s="3158"/>
      <c r="P24" s="2733">
        <f>SUMPRODUCT((地价!A3:A30=YEAR(G19)&amp;"-"&amp;ROUNDUP(MONTH(G19)/3,0))*(地价!AD2:AH2=N24)*(地价!AD3:AH30))</f>
        <v>1.3100000000000001E-2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2644</v>
      </c>
      <c r="O25" s="3161"/>
      <c r="P25" s="2412">
        <f>SUMPRODUCT((地价!A3:A30=YEAR(G19)&amp;"-"&amp;ROUNDUP(MONTH(G19)/3,0))*(地价!AD2:AH2=N25)*(地价!AD3:AH30))</f>
        <v>1.8499999999999999E-2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f ca="1">E29+SUM(E33:E39)</f>
        <v>30594</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f ca="1">E30+SUM(I33:I39)</f>
        <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f ca="1">ROUND(C5*C18*C19*C20*C21*C24,0)</f>
        <v>1246</v>
      </c>
      <c r="D29" s="1492">
        <f>'数据-基础表'!A3</f>
        <v>245539.3</v>
      </c>
      <c r="E29" s="1835">
        <f ca="1">ROUND(C29*D29/10000,0)</f>
        <v>30594</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f ca="1">ROUND(IF(E2="工业",C29*M39,C29*M38),0)</f>
        <v>187</v>
      </c>
      <c r="D30" s="1498"/>
      <c r="E30" s="1835">
        <f ca="1">ROUND(C30*D30/10000,0)</f>
        <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561" t="s">
        <v>2956</v>
      </c>
      <c r="B33" s="1512" t="s">
        <v>999</v>
      </c>
      <c r="C33" s="1059">
        <f ca="1">ROUND(D5*C19*C20*C24*F33,0)</f>
        <v>747</v>
      </c>
      <c r="D33" s="1525"/>
      <c r="E33" s="1048">
        <f ca="1">ROUND(C33*D33/10000,0)</f>
        <v>0</v>
      </c>
      <c r="F33" s="1048">
        <f>SUMIF(修正!A45:A56,G2,修正!B45:B56)</f>
        <v>0.6</v>
      </c>
      <c r="G33" s="1048">
        <f t="shared" ref="G33" ca="1" si="6">ROUND(IF(E2="工业",C33*$M$39,C33*$M$38),0)</f>
        <v>112</v>
      </c>
      <c r="H33" s="1048">
        <f>D33</f>
        <v>0</v>
      </c>
      <c r="I33" s="1048">
        <f ca="1">ROUND(G33*H33/10000,0)</f>
        <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562"/>
      <c r="B34" s="1442" t="s">
        <v>1000</v>
      </c>
      <c r="C34" s="1059">
        <f ca="1">ROUND(D5*C19*C20*C24*F34,0)</f>
        <v>374</v>
      </c>
      <c r="D34" s="1525"/>
      <c r="E34" s="1048">
        <f t="shared" ref="E34:E39" ca="1" si="7">ROUND(C34*D34/10000,0)</f>
        <v>0</v>
      </c>
      <c r="F34" s="1048">
        <f>SUMIF(修正!A45:A56,G2,修正!C45:C56)</f>
        <v>0.3</v>
      </c>
      <c r="G34" s="1048">
        <f ca="1">ROUND(IF(E2="工业",C34*$M$39,C34*$M$38),0)</f>
        <v>56</v>
      </c>
      <c r="H34" s="1048">
        <f t="shared" ref="H34:H39" si="8">D34</f>
        <v>0</v>
      </c>
      <c r="I34" s="1048">
        <f t="shared" ref="I34:I39" ca="1" si="9">ROUND(G34*H34/10000,0)</f>
        <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562"/>
      <c r="B35" s="1442" t="s">
        <v>1001</v>
      </c>
      <c r="C35" s="1059">
        <f ca="1">ROUND(D5*C19*C20*C24*F35,0)</f>
        <v>249</v>
      </c>
      <c r="D35" s="1525"/>
      <c r="E35" s="1048">
        <f t="shared" ca="1" si="7"/>
        <v>0</v>
      </c>
      <c r="F35" s="1048">
        <f>SUMIF(修正!A45:A56,G2,修正!D45:D56)</f>
        <v>0.2</v>
      </c>
      <c r="G35" s="1048">
        <f ca="1">ROUND(IF(E2="工业",C35*$M$39,C35*$M$38),0)</f>
        <v>37</v>
      </c>
      <c r="H35" s="1048">
        <f t="shared" si="8"/>
        <v>0</v>
      </c>
      <c r="I35" s="1048">
        <f t="shared" ca="1" si="9"/>
        <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563"/>
      <c r="B36" s="1442" t="s">
        <v>1002</v>
      </c>
      <c r="C36" s="1059">
        <f ca="1">ROUND(D5*C19*C20*C24*F36,0)</f>
        <v>249</v>
      </c>
      <c r="D36" s="1525"/>
      <c r="E36" s="1048">
        <f t="shared" ca="1" si="7"/>
        <v>0</v>
      </c>
      <c r="F36" s="1048">
        <f>SUMIF(修正!A45:A56,G2,修正!E45:E56)</f>
        <v>0.2</v>
      </c>
      <c r="G36" s="1048">
        <f ca="1">ROUND(IF(E2="工业",C36*$M$39,C36*$M$38),0)</f>
        <v>37</v>
      </c>
      <c r="H36" s="1048">
        <f t="shared" si="8"/>
        <v>0</v>
      </c>
      <c r="I36" s="1048">
        <f t="shared" ca="1" si="9"/>
        <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f ca="1">ROUND(D5*C19*C20*C24*F37,0)</f>
        <v>249</v>
      </c>
      <c r="D37" s="1525"/>
      <c r="E37" s="1048">
        <f t="shared" ca="1" si="7"/>
        <v>0</v>
      </c>
      <c r="F37" s="1059">
        <f>SUMIF(修正!A45:A56,G2,修正!F45:F56)</f>
        <v>0.2</v>
      </c>
      <c r="G37" s="1048">
        <f ca="1">ROUND(IF(E2="工业",C37*$M$39,C37*$M$38),0)</f>
        <v>37</v>
      </c>
      <c r="H37" s="1048">
        <f t="shared" si="8"/>
        <v>0</v>
      </c>
      <c r="I37" s="1048">
        <f t="shared" ca="1" si="9"/>
        <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f ca="1">ROUND(D5*C19*C41*C24*F38,0)</f>
        <v>0</v>
      </c>
      <c r="D38" s="1525"/>
      <c r="E38" s="1048">
        <f t="shared" ca="1" si="7"/>
        <v>0</v>
      </c>
      <c r="F38" s="1059">
        <f>SUMIF(修正!A45:A56,G2,修正!G45:G56)</f>
        <v>0.2</v>
      </c>
      <c r="G38" s="1048">
        <f ca="1">ROUND(IF(E2="工业",C38*$M$39,C38*$M$38),0)</f>
        <v>0</v>
      </c>
      <c r="H38" s="1048">
        <f t="shared" si="8"/>
        <v>0</v>
      </c>
      <c r="I38" s="1048">
        <f t="shared" ca="1" si="9"/>
        <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f ca="1">ROUND(D5*C19*C41*C24*F39,0)</f>
        <v>0</v>
      </c>
      <c r="D39" s="1526"/>
      <c r="E39" s="1051">
        <f t="shared" ca="1" si="7"/>
        <v>0</v>
      </c>
      <c r="F39" s="1061">
        <f>SUMIF(修正!A45:A56,G2,修正!H45:H56)</f>
        <v>0.15</v>
      </c>
      <c r="G39" s="1051">
        <f ca="1">ROUND(IF(E2="工业",C39*$M$39,C39*$M$38),0)</f>
        <v>0</v>
      </c>
      <c r="H39" s="1051">
        <f t="shared" si="8"/>
        <v>0</v>
      </c>
      <c r="I39" s="1051">
        <f t="shared" ca="1" si="9"/>
        <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2980</v>
      </c>
      <c r="C41" s="839">
        <f ca="1">ROUND(POWER(1+E41,H41-G41)*(POWER(1+E41,G41)-1)/(POWER(1+E41,H41)-1),4)</f>
        <v>0</v>
      </c>
      <c r="D41" s="378" t="s">
        <v>2978</v>
      </c>
      <c r="E41" s="3147">
        <f ca="1">G20</f>
        <v>4.8000000000000001E-2</v>
      </c>
      <c r="F41" s="378" t="s">
        <v>2979</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ht="12.75" thickBo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hidden="1"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hidden="1">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hidden="1">
      <c r="A46" s="1063" t="s">
        <v>1008</v>
      </c>
      <c r="B46" s="2373" t="s">
        <v>1009</v>
      </c>
      <c r="C46" s="2395" t="s">
        <v>1010</v>
      </c>
      <c r="D46" s="2396" t="s">
        <v>1011</v>
      </c>
      <c r="E46" s="2397" t="s">
        <v>1013</v>
      </c>
      <c r="F46" s="2398" t="s">
        <v>2248</v>
      </c>
      <c r="G46" s="2396" t="s">
        <v>1014</v>
      </c>
      <c r="H46" s="2379" t="s">
        <v>2415</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hidden="1">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hidden="1">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hidden="1">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hidden="1">
      <c r="A50" s="1063" t="s">
        <v>1023</v>
      </c>
      <c r="B50" s="3050" t="s">
        <v>2933</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hidden="1">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hidden="1">
      <c r="A52" s="1063" t="s">
        <v>1025</v>
      </c>
      <c r="B52" s="3049" t="s">
        <v>2932</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hidden="1">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hidden="1">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hidden="1"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hidden="1">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hidden="1">
      <c r="A57" s="1063" t="s">
        <v>1008</v>
      </c>
      <c r="B57" s="2373"/>
      <c r="C57" s="2395" t="s">
        <v>1010</v>
      </c>
      <c r="D57" s="2396" t="s">
        <v>1011</v>
      </c>
      <c r="E57" s="2397" t="s">
        <v>1013</v>
      </c>
      <c r="F57" s="2398" t="s">
        <v>2249</v>
      </c>
      <c r="G57" s="2396" t="s">
        <v>1014</v>
      </c>
      <c r="H57" s="2379" t="s">
        <v>2415</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hidden="1">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hidden="1">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hidden="1">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hidden="1">
      <c r="A61" s="1063" t="s">
        <v>1023</v>
      </c>
      <c r="B61" s="3050" t="s">
        <v>2934</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hidden="1">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hidden="1">
      <c r="A63" s="1063" t="s">
        <v>1025</v>
      </c>
      <c r="B63" s="3049" t="s">
        <v>2932</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hidden="1">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hidden="1">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hidden="1"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hidden="1">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hidden="1">
      <c r="A68" s="1063" t="s">
        <v>1008</v>
      </c>
      <c r="B68" s="2373"/>
      <c r="C68" s="2395" t="s">
        <v>1010</v>
      </c>
      <c r="D68" s="2396" t="s">
        <v>1011</v>
      </c>
      <c r="E68" s="2397" t="s">
        <v>1013</v>
      </c>
      <c r="F68" s="2398" t="s">
        <v>2250</v>
      </c>
      <c r="G68" s="2396" t="s">
        <v>1014</v>
      </c>
      <c r="H68" s="2379" t="s">
        <v>2415</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hidden="1">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hidden="1">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hidden="1">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hidden="1">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hidden="1">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hidden="1">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hidden="1">
      <c r="A75" s="1063" t="s">
        <v>1025</v>
      </c>
      <c r="B75" s="3049" t="s">
        <v>2932</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hidden="1">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hidden="1"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1.0359</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2415</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t="s">
        <v>3288</v>
      </c>
      <c r="D80" s="2382">
        <f t="shared" ref="D80:D87" si="25">SUMIF($J$79:$N$79,C80,J80:N80)</f>
        <v>1.95E-2</v>
      </c>
      <c r="E80" s="2401">
        <f>ROUND(SUM(D80:D87),4)</f>
        <v>3.5900000000000001E-2</v>
      </c>
      <c r="F80" s="2402">
        <f>IF(E2="工业",SUMIF(L1:L12,G2,N1:N12),"——")</f>
        <v>0.15</v>
      </c>
      <c r="G80" s="2380">
        <v>1.95E-2</v>
      </c>
      <c r="H80" s="2426">
        <f t="shared" ref="H80:H87" si="26">IFERROR(ROUNDDOWN($F$80*I80/2,4),"——")</f>
        <v>1.95E-2</v>
      </c>
      <c r="I80" s="2400">
        <v>0.26</v>
      </c>
      <c r="J80" s="2403">
        <f t="shared" ref="J80:J87" si="27">K80+$G80</f>
        <v>3.9E-2</v>
      </c>
      <c r="K80" s="2403">
        <f t="shared" ref="K80:K87" si="28">$L80+$G80</f>
        <v>1.95E-2</v>
      </c>
      <c r="L80" s="2403">
        <v>0</v>
      </c>
      <c r="M80" s="2403">
        <f t="shared" ref="M80:N87" si="29">L80-$G80</f>
        <v>-1.95E-2</v>
      </c>
      <c r="N80" s="2403">
        <f t="shared" si="29"/>
        <v>-3.9E-2</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t="s">
        <v>3289</v>
      </c>
      <c r="D81" s="2382">
        <f t="shared" si="25"/>
        <v>0</v>
      </c>
      <c r="E81" s="2410"/>
      <c r="F81" s="2411"/>
      <c r="G81" s="2380">
        <v>2.47E-2</v>
      </c>
      <c r="H81" s="2426">
        <f t="shared" si="26"/>
        <v>2.47E-2</v>
      </c>
      <c r="I81" s="2400">
        <v>0.33</v>
      </c>
      <c r="J81" s="2403">
        <f t="shared" si="27"/>
        <v>4.9399999999999999E-2</v>
      </c>
      <c r="K81" s="2403">
        <f t="shared" si="28"/>
        <v>2.47E-2</v>
      </c>
      <c r="L81" s="2403">
        <v>0</v>
      </c>
      <c r="M81" s="2403">
        <f t="shared" si="29"/>
        <v>-2.47E-2</v>
      </c>
      <c r="N81" s="2403">
        <f t="shared" si="29"/>
        <v>-4.9399999999999999E-2</v>
      </c>
      <c r="AC81" s="1402"/>
      <c r="AD81" s="1401"/>
      <c r="AJ81" s="1400"/>
      <c r="AN81" s="1401"/>
    </row>
    <row r="82" spans="1:40" ht="24">
      <c r="A82" s="1063" t="s">
        <v>1022</v>
      </c>
      <c r="B82" s="2373">
        <f>估价对象房地状况!G17</f>
        <v>0</v>
      </c>
      <c r="C82" s="1050" t="s">
        <v>3288</v>
      </c>
      <c r="D82" s="2382">
        <f t="shared" si="25"/>
        <v>3.7000000000000002E-3</v>
      </c>
      <c r="E82" s="2410"/>
      <c r="F82" s="2411"/>
      <c r="G82" s="2380">
        <v>3.7000000000000002E-3</v>
      </c>
      <c r="H82" s="2426">
        <f t="shared" si="26"/>
        <v>3.7000000000000002E-3</v>
      </c>
      <c r="I82" s="2400">
        <v>0.05</v>
      </c>
      <c r="J82" s="2403">
        <f t="shared" si="27"/>
        <v>7.4000000000000003E-3</v>
      </c>
      <c r="K82" s="2403">
        <f t="shared" si="28"/>
        <v>3.7000000000000002E-3</v>
      </c>
      <c r="L82" s="2403">
        <v>0</v>
      </c>
      <c r="M82" s="2403">
        <f t="shared" si="29"/>
        <v>-3.7000000000000002E-3</v>
      </c>
      <c r="N82" s="2403">
        <f t="shared" si="29"/>
        <v>-7.4000000000000003E-3</v>
      </c>
      <c r="AC82" s="1402"/>
      <c r="AD82" s="1401"/>
      <c r="AJ82" s="1400"/>
      <c r="AN82" s="1401"/>
    </row>
    <row r="83" spans="1:40" ht="14.25">
      <c r="A83" s="1063" t="s">
        <v>1034</v>
      </c>
      <c r="B83" s="2373">
        <f>估价对象房地状况!G22</f>
        <v>0</v>
      </c>
      <c r="C83" s="1050" t="s">
        <v>3289</v>
      </c>
      <c r="D83" s="2382">
        <f t="shared" si="25"/>
        <v>0</v>
      </c>
      <c r="E83" s="2410"/>
      <c r="F83" s="2411"/>
      <c r="G83" s="2380">
        <v>3.0000000000000001E-3</v>
      </c>
      <c r="H83" s="2426">
        <f t="shared" si="26"/>
        <v>3.0000000000000001E-3</v>
      </c>
      <c r="I83" s="2400">
        <v>0.04</v>
      </c>
      <c r="J83" s="2403">
        <f t="shared" si="27"/>
        <v>6.0000000000000001E-3</v>
      </c>
      <c r="K83" s="2403">
        <f t="shared" si="28"/>
        <v>3.0000000000000001E-3</v>
      </c>
      <c r="L83" s="2403">
        <v>0</v>
      </c>
      <c r="M83" s="2403">
        <f t="shared" si="29"/>
        <v>-3.0000000000000001E-3</v>
      </c>
      <c r="N83" s="2403">
        <f t="shared" si="29"/>
        <v>-6.0000000000000001E-3</v>
      </c>
      <c r="AC83" s="1402"/>
      <c r="AD83" s="1401"/>
      <c r="AJ83" s="1400"/>
      <c r="AN83" s="1401"/>
    </row>
    <row r="84" spans="1:40" ht="24">
      <c r="A84" s="1063" t="s">
        <v>1026</v>
      </c>
      <c r="B84" s="2374" t="str">
        <f>估价对象房地状况!G19</f>
        <v>估价对象所在区域公共配套设施齐备情况</v>
      </c>
      <c r="C84" s="1050" t="s">
        <v>3288</v>
      </c>
      <c r="D84" s="2382">
        <f t="shared" si="25"/>
        <v>4.4999999999999997E-3</v>
      </c>
      <c r="E84" s="2410"/>
      <c r="F84" s="2411"/>
      <c r="G84" s="2380">
        <v>4.4999999999999997E-3</v>
      </c>
      <c r="H84" s="2426">
        <f t="shared" si="26"/>
        <v>4.4999999999999997E-3</v>
      </c>
      <c r="I84" s="2400">
        <v>0.06</v>
      </c>
      <c r="J84" s="2403">
        <f t="shared" si="27"/>
        <v>8.9999999999999993E-3</v>
      </c>
      <c r="K84" s="2403">
        <f t="shared" si="28"/>
        <v>4.4999999999999997E-3</v>
      </c>
      <c r="L84" s="2403">
        <v>0</v>
      </c>
      <c r="M84" s="2403">
        <f t="shared" si="29"/>
        <v>-4.4999999999999997E-3</v>
      </c>
      <c r="N84" s="2403">
        <f t="shared" si="29"/>
        <v>-8.9999999999999993E-3</v>
      </c>
      <c r="AC84" s="1402"/>
      <c r="AD84" s="1401"/>
      <c r="AJ84" s="1400"/>
      <c r="AN84" s="1401"/>
    </row>
    <row r="85" spans="1:40" ht="24">
      <c r="A85" s="1063" t="s">
        <v>1027</v>
      </c>
      <c r="B85" s="2374" t="str">
        <f>估价对象房地状况!G20</f>
        <v>估价对象所在区域基础设施水平</v>
      </c>
      <c r="C85" s="1050" t="s">
        <v>3289</v>
      </c>
      <c r="D85" s="2382">
        <f t="shared" si="25"/>
        <v>0</v>
      </c>
      <c r="E85" s="2410"/>
      <c r="F85" s="2411"/>
      <c r="G85" s="2380">
        <v>1.12E-2</v>
      </c>
      <c r="H85" s="2426">
        <f t="shared" si="26"/>
        <v>1.12E-2</v>
      </c>
      <c r="I85" s="2400">
        <v>0.15</v>
      </c>
      <c r="J85" s="2403">
        <f t="shared" si="27"/>
        <v>2.24E-2</v>
      </c>
      <c r="K85" s="2403">
        <f t="shared" si="28"/>
        <v>1.12E-2</v>
      </c>
      <c r="L85" s="2403">
        <v>0</v>
      </c>
      <c r="M85" s="2403">
        <f t="shared" si="29"/>
        <v>-1.12E-2</v>
      </c>
      <c r="N85" s="2403">
        <f t="shared" si="29"/>
        <v>-2.24E-2</v>
      </c>
      <c r="AC85" s="1402"/>
      <c r="AD85" s="1401"/>
      <c r="AJ85" s="1400"/>
      <c r="AN85" s="1401"/>
    </row>
    <row r="86" spans="1:40" ht="24">
      <c r="A86" s="1063" t="s">
        <v>1025</v>
      </c>
      <c r="B86" s="3049" t="s">
        <v>2932</v>
      </c>
      <c r="C86" s="1050" t="s">
        <v>3288</v>
      </c>
      <c r="D86" s="2382">
        <f t="shared" si="25"/>
        <v>3.7000000000000002E-3</v>
      </c>
      <c r="E86" s="2410"/>
      <c r="F86" s="2411"/>
      <c r="G86" s="2380">
        <v>3.7000000000000002E-3</v>
      </c>
      <c r="H86" s="2426">
        <f t="shared" si="26"/>
        <v>3.7000000000000002E-3</v>
      </c>
      <c r="I86" s="2400">
        <v>0.05</v>
      </c>
      <c r="J86" s="2403">
        <f t="shared" si="27"/>
        <v>7.4000000000000003E-3</v>
      </c>
      <c r="K86" s="2403">
        <f t="shared" si="28"/>
        <v>3.7000000000000002E-3</v>
      </c>
      <c r="L86" s="2403">
        <v>0</v>
      </c>
      <c r="M86" s="2403">
        <f t="shared" si="29"/>
        <v>-3.7000000000000002E-3</v>
      </c>
      <c r="N86" s="2403">
        <f t="shared" si="29"/>
        <v>-7.4000000000000003E-3</v>
      </c>
      <c r="AC86" s="1402"/>
      <c r="AD86" s="1401"/>
      <c r="AJ86" s="1400"/>
      <c r="AN86" s="1401"/>
    </row>
    <row r="87" spans="1:40" ht="36.75" thickBot="1">
      <c r="A87" s="2406" t="s">
        <v>1038</v>
      </c>
      <c r="B87" s="2375" t="str">
        <f>估价对象房地状况!G18</f>
        <v>该园区内是否有污染型企业，绿化情况，卫生条件，整体环境状况判断</v>
      </c>
      <c r="C87" s="1050" t="s">
        <v>3288</v>
      </c>
      <c r="D87" s="2382">
        <f t="shared" si="25"/>
        <v>4.4999999999999997E-3</v>
      </c>
      <c r="E87" s="2412"/>
      <c r="F87" s="2411"/>
      <c r="G87" s="2380">
        <v>4.4999999999999997E-3</v>
      </c>
      <c r="H87" s="2426">
        <f t="shared" si="26"/>
        <v>4.4999999999999997E-3</v>
      </c>
      <c r="I87" s="2407">
        <v>0.06</v>
      </c>
      <c r="J87" s="2403">
        <f t="shared" si="27"/>
        <v>8.9999999999999993E-3</v>
      </c>
      <c r="K87" s="2403">
        <f t="shared" si="28"/>
        <v>4.4999999999999997E-3</v>
      </c>
      <c r="L87" s="2403">
        <v>0</v>
      </c>
      <c r="M87" s="2403">
        <f t="shared" si="29"/>
        <v>-4.4999999999999997E-3</v>
      </c>
      <c r="N87" s="2403">
        <f t="shared" si="29"/>
        <v>-8.9999999999999993E-3</v>
      </c>
      <c r="AC87" s="1402"/>
      <c r="AD87" s="1401"/>
      <c r="AJ87" s="1400"/>
      <c r="AN87" s="1401"/>
    </row>
    <row r="90" spans="1:40">
      <c r="A90" s="3559" t="s">
        <v>1633</v>
      </c>
      <c r="B90" s="3559"/>
      <c r="C90" s="3559"/>
      <c r="D90" s="3559"/>
      <c r="E90" s="3559"/>
      <c r="F90" s="3559"/>
      <c r="G90" s="3559"/>
      <c r="H90" s="3559"/>
      <c r="I90" s="3559"/>
      <c r="J90" s="3559"/>
      <c r="K90" s="2415"/>
      <c r="L90" s="2415"/>
      <c r="M90" s="2415"/>
      <c r="N90" s="2415"/>
    </row>
    <row r="91" spans="1:40">
      <c r="A91" s="3560" t="s">
        <v>1443</v>
      </c>
      <c r="B91" s="3560" t="s">
        <v>1634</v>
      </c>
      <c r="C91" s="1136" t="s">
        <v>1635</v>
      </c>
      <c r="D91" s="1137"/>
      <c r="E91" s="1137"/>
      <c r="F91" s="1137"/>
      <c r="G91" s="1137"/>
      <c r="H91" s="1137"/>
      <c r="I91" s="1137"/>
      <c r="J91" s="1138"/>
      <c r="K91" s="1130"/>
      <c r="L91" s="1130"/>
      <c r="M91" s="1130"/>
      <c r="N91" s="1130"/>
    </row>
    <row r="92" spans="1:40">
      <c r="A92" s="3560"/>
      <c r="B92" s="3560"/>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546"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4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4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4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4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4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47"/>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4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46" t="s">
        <v>1637</v>
      </c>
      <c r="B101" s="1143" t="s">
        <v>906</v>
      </c>
      <c r="C101" s="1144">
        <f>$G$3</f>
        <v>1</v>
      </c>
      <c r="D101" s="1144">
        <f t="shared" ref="D101:N101" si="31">$G$3</f>
        <v>1</v>
      </c>
      <c r="E101" s="1144">
        <f t="shared" si="31"/>
        <v>1</v>
      </c>
      <c r="F101" s="1144">
        <f t="shared" si="31"/>
        <v>1</v>
      </c>
      <c r="G101" s="1144">
        <f t="shared" si="31"/>
        <v>1</v>
      </c>
      <c r="H101" s="1144">
        <f t="shared" si="31"/>
        <v>1</v>
      </c>
      <c r="I101" s="1144">
        <f t="shared" si="31"/>
        <v>1</v>
      </c>
      <c r="J101" s="1144">
        <f t="shared" si="31"/>
        <v>1</v>
      </c>
      <c r="K101" s="1144">
        <f t="shared" si="31"/>
        <v>1</v>
      </c>
      <c r="L101" s="1144">
        <f t="shared" si="31"/>
        <v>1</v>
      </c>
      <c r="M101" s="1144">
        <f t="shared" si="31"/>
        <v>1</v>
      </c>
      <c r="N101" s="1144">
        <f t="shared" si="31"/>
        <v>1</v>
      </c>
    </row>
    <row r="102" spans="1:14">
      <c r="A102" s="3547"/>
      <c r="B102" s="1139">
        <v>1</v>
      </c>
      <c r="C102" s="1140">
        <f>1.9362/C101</f>
        <v>1.9361999999999999</v>
      </c>
      <c r="D102" s="1140">
        <f>1.9362/D101</f>
        <v>1.9361999999999999</v>
      </c>
      <c r="E102" s="1140">
        <f>1.8629/E101</f>
        <v>1.8629</v>
      </c>
      <c r="F102" s="1140">
        <f>1.8629/F101</f>
        <v>1.8629</v>
      </c>
      <c r="G102" s="1140">
        <f>1.8629/G101</f>
        <v>1.8629</v>
      </c>
      <c r="H102" s="1140">
        <f>1.8629/H101</f>
        <v>1.8629</v>
      </c>
      <c r="I102" s="1140">
        <f>1.8629/I101</f>
        <v>1.8629</v>
      </c>
      <c r="J102" s="1140">
        <f>1.942/J101</f>
        <v>1.9419999999999999</v>
      </c>
      <c r="K102" s="1140">
        <f>1.942/K101</f>
        <v>1.9419999999999999</v>
      </c>
      <c r="L102" s="1140">
        <f>1.942/L101</f>
        <v>1.9419999999999999</v>
      </c>
      <c r="M102" s="1140">
        <f>1.942/M101</f>
        <v>1.9419999999999999</v>
      </c>
      <c r="N102" s="1140">
        <f>1.942/N101</f>
        <v>1.9419999999999999</v>
      </c>
    </row>
    <row r="103" spans="1:14">
      <c r="A103" s="3547"/>
      <c r="B103" s="1139">
        <v>2</v>
      </c>
      <c r="C103" s="1140">
        <f>1.4198/C101</f>
        <v>1.4198</v>
      </c>
      <c r="D103" s="1140">
        <f>1.4198/D101</f>
        <v>1.4198</v>
      </c>
      <c r="E103" s="1140">
        <f>1.3372/E101</f>
        <v>1.3371999999999999</v>
      </c>
      <c r="F103" s="1140">
        <f>1.3372/F101</f>
        <v>1.3371999999999999</v>
      </c>
      <c r="G103" s="1140">
        <f>1.3372/G101</f>
        <v>1.3371999999999999</v>
      </c>
      <c r="H103" s="1140">
        <f>1.3372/H101</f>
        <v>1.3371999999999999</v>
      </c>
      <c r="I103" s="1140">
        <f>1.3372/I101</f>
        <v>1.3371999999999999</v>
      </c>
      <c r="J103" s="1140">
        <f>1.2799/J101</f>
        <v>1.2799</v>
      </c>
      <c r="K103" s="1140">
        <f>1.2799/K101</f>
        <v>1.2799</v>
      </c>
      <c r="L103" s="1140">
        <f>1.2799/L101</f>
        <v>1.2799</v>
      </c>
      <c r="M103" s="1140">
        <f>1.2799/M101</f>
        <v>1.2799</v>
      </c>
      <c r="N103" s="1140">
        <f>1.2799/N101</f>
        <v>1.2799</v>
      </c>
    </row>
    <row r="104" spans="1:14">
      <c r="A104" s="3547"/>
      <c r="B104" s="1139">
        <v>3</v>
      </c>
      <c r="C104" s="1140">
        <f>1.1594/C101</f>
        <v>1.1594</v>
      </c>
      <c r="D104" s="1140">
        <f>1.1594/D101</f>
        <v>1.1594</v>
      </c>
      <c r="E104" s="1140">
        <f>1.0788/E101</f>
        <v>1.0788</v>
      </c>
      <c r="F104" s="1140">
        <f>1.0788/F101</f>
        <v>1.0788</v>
      </c>
      <c r="G104" s="1140">
        <f>1.0788/G101</f>
        <v>1.0788</v>
      </c>
      <c r="H104" s="1140">
        <f>1.0788/H101</f>
        <v>1.0788</v>
      </c>
      <c r="I104" s="1140">
        <f>1.0788/I101</f>
        <v>1.0788</v>
      </c>
      <c r="J104" s="1140">
        <f>1.0072/J101</f>
        <v>1.0072000000000001</v>
      </c>
      <c r="K104" s="1140">
        <f>1.0072/K101</f>
        <v>1.0072000000000001</v>
      </c>
      <c r="L104" s="1140">
        <f>1.0072/L101</f>
        <v>1.0072000000000001</v>
      </c>
      <c r="M104" s="1140">
        <f>1.0072/M101</f>
        <v>1.0072000000000001</v>
      </c>
      <c r="N104" s="1140">
        <f>1.0072/N101</f>
        <v>1.0072000000000001</v>
      </c>
    </row>
    <row r="105" spans="1:14">
      <c r="A105" s="3547"/>
      <c r="B105" s="1139">
        <v>4</v>
      </c>
      <c r="C105" s="1140">
        <f>0.9622/C101</f>
        <v>0.96220000000000006</v>
      </c>
      <c r="D105" s="1140">
        <f>0.9622/D101</f>
        <v>0.96220000000000006</v>
      </c>
      <c r="E105" s="1140">
        <f>0.8656/E101</f>
        <v>0.86560000000000004</v>
      </c>
      <c r="F105" s="1140">
        <f>0.8656/F101</f>
        <v>0.86560000000000004</v>
      </c>
      <c r="G105" s="1140">
        <f>0.8656/G101</f>
        <v>0.86560000000000004</v>
      </c>
      <c r="H105" s="1140">
        <f>0.8656/H101</f>
        <v>0.86560000000000004</v>
      </c>
      <c r="I105" s="1140">
        <f>0.8656/I101</f>
        <v>0.86560000000000004</v>
      </c>
      <c r="J105" s="1140">
        <f>0.7525/J101</f>
        <v>0.75249999999999995</v>
      </c>
      <c r="K105" s="1140">
        <f>0.7525/K101</f>
        <v>0.75249999999999995</v>
      </c>
      <c r="L105" s="1140">
        <f>0.7525/L101</f>
        <v>0.75249999999999995</v>
      </c>
      <c r="M105" s="1140">
        <f>0.7525/M101</f>
        <v>0.75249999999999995</v>
      </c>
      <c r="N105" s="1140">
        <f>0.7525/N101</f>
        <v>0.75249999999999995</v>
      </c>
    </row>
    <row r="106" spans="1:14">
      <c r="A106" s="3547"/>
      <c r="B106" s="1139">
        <v>5</v>
      </c>
      <c r="C106" s="1140">
        <f>0.8417/C101</f>
        <v>0.8417</v>
      </c>
      <c r="D106" s="1140">
        <f>0.8417/D101</f>
        <v>0.8417</v>
      </c>
      <c r="E106" s="1140">
        <f>0.7371/E101</f>
        <v>0.73709999999999998</v>
      </c>
      <c r="F106" s="1140">
        <f>0.7371/F101</f>
        <v>0.73709999999999998</v>
      </c>
      <c r="G106" s="1140">
        <f>0.7371/G101</f>
        <v>0.73709999999999998</v>
      </c>
      <c r="H106" s="1140">
        <f>0.7371/H101</f>
        <v>0.73709999999999998</v>
      </c>
      <c r="I106" s="1140">
        <f>0.7371/I101</f>
        <v>0.73709999999999998</v>
      </c>
      <c r="J106" s="1140">
        <f>0.5659/J101</f>
        <v>0.56589999999999996</v>
      </c>
      <c r="K106" s="1140">
        <f>0.5659/K101</f>
        <v>0.56589999999999996</v>
      </c>
      <c r="L106" s="1140">
        <f>0.5659/L101</f>
        <v>0.56589999999999996</v>
      </c>
      <c r="M106" s="1140">
        <f>0.5659/M101</f>
        <v>0.56589999999999996</v>
      </c>
      <c r="N106" s="1140">
        <f>0.5659/N101</f>
        <v>0.56589999999999996</v>
      </c>
    </row>
    <row r="107" spans="1:14">
      <c r="A107" s="3547"/>
      <c r="B107" s="1139">
        <v>6</v>
      </c>
      <c r="C107" s="1140">
        <f>0.7608/C101</f>
        <v>0.76080000000000003</v>
      </c>
      <c r="D107" s="1140">
        <f>0.7608/D101</f>
        <v>0.76080000000000003</v>
      </c>
      <c r="E107" s="1140">
        <f>0.6482/E101</f>
        <v>0.6482</v>
      </c>
      <c r="F107" s="1140">
        <f>0.6482/F101</f>
        <v>0.6482</v>
      </c>
      <c r="G107" s="1140">
        <f>0.6482/G101</f>
        <v>0.6482</v>
      </c>
      <c r="H107" s="1140">
        <f>0.6482/H101</f>
        <v>0.6482</v>
      </c>
      <c r="I107" s="1140">
        <f>0.6482/I101</f>
        <v>0.6482</v>
      </c>
      <c r="J107" s="1140">
        <f>0.4525/J101</f>
        <v>0.45250000000000001</v>
      </c>
      <c r="K107" s="1140">
        <f>0.4525/K101</f>
        <v>0.45250000000000001</v>
      </c>
      <c r="L107" s="1140">
        <f>0.4525/L101</f>
        <v>0.45250000000000001</v>
      </c>
      <c r="M107" s="1140">
        <f>0.4525/M101</f>
        <v>0.45250000000000001</v>
      </c>
      <c r="N107" s="1140">
        <f>0.4525/N101</f>
        <v>0.45250000000000001</v>
      </c>
    </row>
    <row r="108" spans="1:14">
      <c r="A108" s="3547"/>
      <c r="B108" s="3549"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48"/>
      <c r="B109" s="3550"/>
      <c r="C109" s="1142">
        <f>(-0.163*(C108^2)-0.59*C108+7617)*(10^(-4))/C101</f>
        <v>0.76018479999999999</v>
      </c>
      <c r="D109" s="1142">
        <f>(-0.163*(D108^2)-0.59*D108+7617)*(10^(-4))/D101</f>
        <v>0.76018479999999999</v>
      </c>
      <c r="E109" s="1142">
        <f>(-0.161*(E108^2)-7.509*E108+6533)*(10^(-4))/E101</f>
        <v>0.64626240000000001</v>
      </c>
      <c r="F109" s="1142">
        <f>(-0.161*(F108^2)-7.509*F108+6533)*(10^(-4))/F101</f>
        <v>0.64626240000000001</v>
      </c>
      <c r="G109" s="1142">
        <f>(-0.161*(G108^2)-7.509*G108+6533)*(10^(-4))/G101</f>
        <v>0.64626240000000001</v>
      </c>
      <c r="H109" s="1142">
        <f>(-0.161*(H108^2)-7.509*H108+6533)*(10^(-4))/H101</f>
        <v>0.64626240000000001</v>
      </c>
      <c r="I109" s="1142">
        <f>(-0.161*(I108^2)-7.509*I108+6533)*(10^(-4))/I101</f>
        <v>0.64626240000000001</v>
      </c>
      <c r="J109" s="1142">
        <f>(-0.214*(J108^2)-21.991*J108+4665)*(10^(-4))/J101</f>
        <v>0.44753760000000004</v>
      </c>
      <c r="K109" s="1142">
        <f>(-0.214*(K108^2)-21.991*K108+4665)*(10^(-4))/K101</f>
        <v>0.44753760000000004</v>
      </c>
      <c r="L109" s="1142">
        <f>(-0.214*(L108^2)-21.991*L108+4665)*(10^(-4))/L101</f>
        <v>0.44753760000000004</v>
      </c>
      <c r="M109" s="1142">
        <f>(-0.214*(M108^2)-21.991*M108+4665)*(10^(-4))/M101</f>
        <v>0.44753760000000004</v>
      </c>
      <c r="N109" s="1142">
        <f>(-0.214*(N108^2)-21.991*N108+4665)*(10^(-4))/N101</f>
        <v>0.44753760000000004</v>
      </c>
    </row>
    <row r="110" spans="1:14">
      <c r="A110" s="3553" t="s">
        <v>1639</v>
      </c>
      <c r="B110" s="3553"/>
      <c r="C110" s="3553"/>
      <c r="D110" s="3553"/>
      <c r="E110" s="3553"/>
      <c r="F110" s="3553"/>
      <c r="G110" s="3553"/>
      <c r="H110" s="3553"/>
      <c r="I110" s="3553"/>
      <c r="J110" s="3553"/>
      <c r="K110" s="2413"/>
      <c r="L110" s="2413"/>
      <c r="M110" s="2413"/>
      <c r="N110" s="2413"/>
    </row>
    <row r="112" spans="1:14" ht="12.75" thickBot="1"/>
    <row r="113" spans="1:13" ht="25.5" thickBot="1">
      <c r="A113" s="1016" t="s">
        <v>896</v>
      </c>
      <c r="B113" s="2416">
        <f>G3</f>
        <v>1</v>
      </c>
      <c r="C113" s="1017" t="s">
        <v>897</v>
      </c>
      <c r="D113" s="1018">
        <f>SUMPRODUCT((A115:A118=F113)*(B114:M114=H113)*B115:M118)</f>
        <v>0.55310000000000004</v>
      </c>
      <c r="E113" s="1019" t="s">
        <v>898</v>
      </c>
      <c r="F113" s="1020" t="str">
        <f>E2</f>
        <v>工业</v>
      </c>
      <c r="G113" s="1019" t="s">
        <v>899</v>
      </c>
      <c r="H113" s="1020" t="str">
        <f>G2</f>
        <v>八级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2983</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560" t="s">
        <v>1007</v>
      </c>
      <c r="B18" s="1150" t="s">
        <v>1446</v>
      </c>
      <c r="C18" s="1127" t="s">
        <v>1447</v>
      </c>
      <c r="D18" s="1128"/>
      <c r="E18" s="1150">
        <v>1</v>
      </c>
      <c r="F18" s="1129" t="s">
        <v>1448</v>
      </c>
      <c r="G18" s="1130"/>
      <c r="H18" s="1101"/>
      <c r="I18" s="1101"/>
    </row>
    <row r="19" spans="1:9" s="1585" customFormat="1" ht="19.5" customHeight="1">
      <c r="A19" s="3560"/>
      <c r="B19" s="3560" t="s">
        <v>1449</v>
      </c>
      <c r="C19" s="1127" t="s">
        <v>1450</v>
      </c>
      <c r="D19" s="1128"/>
      <c r="E19" s="1150">
        <v>0.9</v>
      </c>
      <c r="F19" s="1129" t="s">
        <v>1451</v>
      </c>
      <c r="G19" s="1130"/>
      <c r="H19" s="1101"/>
      <c r="I19" s="1101"/>
    </row>
    <row r="20" spans="1:9" s="1585" customFormat="1" ht="19.5" customHeight="1">
      <c r="A20" s="3560"/>
      <c r="B20" s="3560"/>
      <c r="C20" s="1127" t="s">
        <v>1452</v>
      </c>
      <c r="D20" s="1128"/>
      <c r="E20" s="1150">
        <v>1.1000000000000001</v>
      </c>
      <c r="F20" s="1129" t="s">
        <v>1453</v>
      </c>
      <c r="G20" s="1130"/>
      <c r="H20" s="1101"/>
      <c r="I20" s="1101"/>
    </row>
    <row r="21" spans="1:9" s="1585" customFormat="1" ht="19.5" customHeight="1">
      <c r="A21" s="3560"/>
      <c r="B21" s="3560"/>
      <c r="C21" s="1127" t="s">
        <v>1454</v>
      </c>
      <c r="D21" s="1128"/>
      <c r="E21" s="1150">
        <v>0.8</v>
      </c>
      <c r="F21" s="1129" t="s">
        <v>1455</v>
      </c>
      <c r="G21" s="1130"/>
      <c r="H21" s="1101"/>
      <c r="I21" s="1101"/>
    </row>
    <row r="22" spans="1:9" s="1585" customFormat="1" ht="19.5" customHeight="1">
      <c r="A22" s="3560"/>
      <c r="B22" s="3560"/>
      <c r="C22" s="1127" t="s">
        <v>1456</v>
      </c>
      <c r="D22" s="1128"/>
      <c r="E22" s="1150">
        <v>0.5</v>
      </c>
      <c r="F22" s="1129"/>
      <c r="G22" s="1130"/>
      <c r="H22" s="1101"/>
      <c r="I22" s="1101"/>
    </row>
    <row r="23" spans="1:9" s="1585" customFormat="1" ht="19.5" customHeight="1">
      <c r="A23" s="3560" t="s">
        <v>1029</v>
      </c>
      <c r="B23" s="1150" t="s">
        <v>1446</v>
      </c>
      <c r="C23" s="1127" t="s">
        <v>1457</v>
      </c>
      <c r="D23" s="1128"/>
      <c r="E23" s="1150">
        <v>1</v>
      </c>
      <c r="F23" s="1129" t="s">
        <v>1458</v>
      </c>
      <c r="G23" s="1130"/>
      <c r="H23" s="1101"/>
      <c r="I23" s="1101"/>
    </row>
    <row r="24" spans="1:9" s="1585" customFormat="1" ht="19.5" customHeight="1">
      <c r="A24" s="3560"/>
      <c r="B24" s="3560" t="s">
        <v>1449</v>
      </c>
      <c r="C24" s="1127" t="s">
        <v>1459</v>
      </c>
      <c r="D24" s="1128"/>
      <c r="E24" s="1150">
        <v>0.5</v>
      </c>
      <c r="F24" s="1129"/>
      <c r="G24" s="1130"/>
      <c r="H24" s="1101"/>
      <c r="I24" s="1101"/>
    </row>
    <row r="25" spans="1:9" s="1585" customFormat="1" ht="19.5" customHeight="1">
      <c r="A25" s="3560"/>
      <c r="B25" s="3560"/>
      <c r="C25" s="1127" t="s">
        <v>1460</v>
      </c>
      <c r="D25" s="1128"/>
      <c r="E25" s="1150">
        <v>1.1000000000000001</v>
      </c>
      <c r="F25" s="1129"/>
      <c r="G25" s="1130"/>
      <c r="H25" s="1101"/>
      <c r="I25" s="1101"/>
    </row>
    <row r="26" spans="1:9" s="1585" customFormat="1" ht="19.5" customHeight="1">
      <c r="A26" s="3560"/>
      <c r="B26" s="3560"/>
      <c r="C26" s="1127" t="s">
        <v>1461</v>
      </c>
      <c r="D26" s="1128"/>
      <c r="E26" s="1150">
        <v>1.1000000000000001</v>
      </c>
      <c r="F26" s="1129"/>
      <c r="G26" s="1130"/>
      <c r="H26" s="1101"/>
      <c r="I26" s="1101"/>
    </row>
    <row r="27" spans="1:9" s="1585" customFormat="1" ht="19.5" customHeight="1">
      <c r="A27" s="3560"/>
      <c r="B27" s="3560"/>
      <c r="C27" s="1127" t="s">
        <v>1462</v>
      </c>
      <c r="D27" s="1128"/>
      <c r="E27" s="1150">
        <v>0.9</v>
      </c>
      <c r="F27" s="1129" t="s">
        <v>1463</v>
      </c>
      <c r="G27" s="1130"/>
      <c r="H27" s="1101"/>
      <c r="I27" s="1101"/>
    </row>
    <row r="28" spans="1:9" s="1585" customFormat="1" ht="19.5" customHeight="1">
      <c r="A28" s="3560"/>
      <c r="B28" s="3560"/>
      <c r="C28" s="1127" t="s">
        <v>1464</v>
      </c>
      <c r="D28" s="1128"/>
      <c r="E28" s="1150">
        <v>0.9</v>
      </c>
      <c r="F28" s="1129" t="s">
        <v>1465</v>
      </c>
      <c r="G28" s="1130"/>
      <c r="H28" s="1101"/>
      <c r="I28" s="1101"/>
    </row>
    <row r="29" spans="1:9" s="1585" customFormat="1" ht="19.5" customHeight="1">
      <c r="A29" s="3560"/>
      <c r="B29" s="3560"/>
      <c r="C29" s="1127" t="s">
        <v>1466</v>
      </c>
      <c r="D29" s="1128"/>
      <c r="E29" s="1150">
        <v>0.9</v>
      </c>
      <c r="F29" s="1129" t="s">
        <v>1467</v>
      </c>
      <c r="G29" s="1130"/>
      <c r="H29" s="1101"/>
      <c r="I29" s="1101"/>
    </row>
    <row r="30" spans="1:9" s="1585" customFormat="1" ht="19.5" customHeight="1">
      <c r="A30" s="3560"/>
      <c r="B30" s="3560"/>
      <c r="C30" s="1127" t="s">
        <v>1468</v>
      </c>
      <c r="D30" s="1128"/>
      <c r="E30" s="1150">
        <v>0.9</v>
      </c>
      <c r="F30" s="1129" t="s">
        <v>1469</v>
      </c>
      <c r="G30" s="1130"/>
      <c r="H30" s="1101"/>
      <c r="I30" s="1101"/>
    </row>
    <row r="31" spans="1:9" s="1585" customFormat="1" ht="19.5" customHeight="1">
      <c r="A31" s="3560"/>
      <c r="B31" s="3560"/>
      <c r="C31" s="1127" t="s">
        <v>1470</v>
      </c>
      <c r="D31" s="1128"/>
      <c r="E31" s="1150">
        <v>0.8</v>
      </c>
      <c r="F31" s="1129" t="s">
        <v>1471</v>
      </c>
      <c r="G31" s="1130"/>
      <c r="H31" s="1101"/>
      <c r="I31" s="1101"/>
    </row>
    <row r="32" spans="1:9" s="1585" customFormat="1" ht="19.5" customHeight="1">
      <c r="A32" s="3560"/>
      <c r="B32" s="3560"/>
      <c r="C32" s="1127" t="s">
        <v>1472</v>
      </c>
      <c r="D32" s="1128"/>
      <c r="E32" s="1150">
        <v>0.8</v>
      </c>
      <c r="F32" s="1129" t="s">
        <v>1473</v>
      </c>
      <c r="G32" s="1130"/>
      <c r="H32" s="1101"/>
      <c r="I32" s="1101"/>
    </row>
    <row r="33" spans="1:9" s="1585" customFormat="1" ht="19.5" customHeight="1">
      <c r="A33" s="3560" t="s">
        <v>1474</v>
      </c>
      <c r="B33" s="1150" t="s">
        <v>1446</v>
      </c>
      <c r="C33" s="1127" t="s">
        <v>1475</v>
      </c>
      <c r="D33" s="1128"/>
      <c r="E33" s="1150">
        <v>1</v>
      </c>
      <c r="F33" s="1129" t="s">
        <v>1476</v>
      </c>
      <c r="G33" s="1130"/>
      <c r="H33" s="1101"/>
      <c r="I33" s="1101"/>
    </row>
    <row r="34" spans="1:9" s="1585" customFormat="1" ht="19.5" customHeight="1">
      <c r="A34" s="3560"/>
      <c r="B34" s="1150" t="s">
        <v>1449</v>
      </c>
      <c r="C34" s="1127" t="s">
        <v>1477</v>
      </c>
      <c r="D34" s="1128"/>
      <c r="E34" s="1150">
        <v>1.5</v>
      </c>
      <c r="F34" s="1129" t="s">
        <v>1478</v>
      </c>
      <c r="G34" s="1130"/>
      <c r="H34" s="1101"/>
      <c r="I34" s="1101"/>
    </row>
    <row r="35" spans="1:9" s="1585" customFormat="1" ht="19.5" customHeight="1">
      <c r="A35" s="3560" t="s">
        <v>1432</v>
      </c>
      <c r="B35" s="1150" t="s">
        <v>1446</v>
      </c>
      <c r="C35" s="1127" t="s">
        <v>1479</v>
      </c>
      <c r="D35" s="1128"/>
      <c r="E35" s="1150">
        <v>1</v>
      </c>
      <c r="F35" s="1129" t="s">
        <v>1480</v>
      </c>
      <c r="G35" s="1130"/>
      <c r="H35" s="1101"/>
      <c r="I35" s="1101"/>
    </row>
    <row r="36" spans="1:9" s="1585" customFormat="1" ht="19.5" customHeight="1">
      <c r="A36" s="3560"/>
      <c r="B36" s="3560" t="s">
        <v>1449</v>
      </c>
      <c r="C36" s="1127" t="s">
        <v>1481</v>
      </c>
      <c r="D36" s="1128"/>
      <c r="E36" s="1150">
        <v>1</v>
      </c>
      <c r="F36" s="1129" t="s">
        <v>1482</v>
      </c>
      <c r="G36" s="1130"/>
      <c r="H36" s="1101"/>
      <c r="I36" s="1101"/>
    </row>
    <row r="37" spans="1:9" s="1585" customFormat="1" ht="19.5" customHeight="1">
      <c r="A37" s="3560"/>
      <c r="B37" s="3560"/>
      <c r="C37" s="1127" t="s">
        <v>1483</v>
      </c>
      <c r="D37" s="1128"/>
      <c r="E37" s="1150">
        <v>1.5</v>
      </c>
      <c r="F37" s="1129" t="s">
        <v>1484</v>
      </c>
      <c r="G37" s="1130"/>
      <c r="H37" s="1101"/>
      <c r="I37" s="1101"/>
    </row>
    <row r="38" spans="1:9" s="1585" customFormat="1" ht="19.5" customHeight="1">
      <c r="A38" s="3560"/>
      <c r="B38" s="3560"/>
      <c r="C38" s="1127" t="s">
        <v>1485</v>
      </c>
      <c r="D38" s="1128"/>
      <c r="E38" s="1150">
        <v>1</v>
      </c>
      <c r="F38" s="1129" t="s">
        <v>1486</v>
      </c>
      <c r="G38" s="1130"/>
      <c r="H38" s="1101"/>
      <c r="I38" s="1101"/>
    </row>
    <row r="39" spans="1:9" s="1585" customFormat="1" ht="19.5" customHeight="1">
      <c r="A39" s="3560"/>
      <c r="B39" s="3560"/>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560" t="s">
        <v>1501</v>
      </c>
      <c r="C61" s="1064" t="s">
        <v>1502</v>
      </c>
      <c r="D61" s="1064" t="s">
        <v>1503</v>
      </c>
      <c r="E61" s="1135">
        <v>0.5</v>
      </c>
      <c r="F61" s="1150">
        <v>80</v>
      </c>
      <c r="H61" s="1101">
        <f>SUMIF(C59:C119,基准地价!C8,E59:E119)</f>
        <v>0</v>
      </c>
    </row>
    <row r="62" spans="1:8" s="1101" customFormat="1" ht="24">
      <c r="A62" s="1150">
        <v>2</v>
      </c>
      <c r="B62" s="3560"/>
      <c r="C62" s="1064" t="s">
        <v>1504</v>
      </c>
      <c r="D62" s="1064" t="s">
        <v>1505</v>
      </c>
      <c r="E62" s="1135">
        <v>0.5</v>
      </c>
      <c r="F62" s="1150">
        <v>80</v>
      </c>
    </row>
    <row r="63" spans="1:8" s="1101" customFormat="1" ht="36">
      <c r="A63" s="1150">
        <v>3</v>
      </c>
      <c r="B63" s="3560"/>
      <c r="C63" s="1064" t="s">
        <v>1506</v>
      </c>
      <c r="D63" s="1064" t="s">
        <v>1507</v>
      </c>
      <c r="E63" s="1135">
        <v>0.5</v>
      </c>
      <c r="F63" s="1150">
        <v>80</v>
      </c>
    </row>
    <row r="64" spans="1:8" s="1101" customFormat="1" ht="36">
      <c r="A64" s="1150">
        <v>4</v>
      </c>
      <c r="B64" s="3560"/>
      <c r="C64" s="1064" t="s">
        <v>1508</v>
      </c>
      <c r="D64" s="1064" t="s">
        <v>1509</v>
      </c>
      <c r="E64" s="1135">
        <v>0.4</v>
      </c>
      <c r="F64" s="1150">
        <v>60</v>
      </c>
    </row>
    <row r="65" spans="1:6" s="1101" customFormat="1" ht="36">
      <c r="A65" s="1150">
        <v>5</v>
      </c>
      <c r="B65" s="3560"/>
      <c r="C65" s="1064" t="s">
        <v>1510</v>
      </c>
      <c r="D65" s="1064" t="s">
        <v>1511</v>
      </c>
      <c r="E65" s="1135">
        <v>0.2</v>
      </c>
      <c r="F65" s="1150">
        <v>30</v>
      </c>
    </row>
    <row r="66" spans="1:6" s="1101" customFormat="1" ht="36">
      <c r="A66" s="1150">
        <v>6</v>
      </c>
      <c r="B66" s="3560"/>
      <c r="C66" s="1064" t="s">
        <v>1512</v>
      </c>
      <c r="D66" s="1064" t="s">
        <v>1513</v>
      </c>
      <c r="E66" s="1135">
        <v>0.3</v>
      </c>
      <c r="F66" s="1150">
        <v>50</v>
      </c>
    </row>
    <row r="67" spans="1:6" s="1101" customFormat="1" ht="36">
      <c r="A67" s="1150">
        <v>7</v>
      </c>
      <c r="B67" s="3560"/>
      <c r="C67" s="1064" t="s">
        <v>1514</v>
      </c>
      <c r="D67" s="1064" t="s">
        <v>1515</v>
      </c>
      <c r="E67" s="1135">
        <v>0.2</v>
      </c>
      <c r="F67" s="1150">
        <v>30</v>
      </c>
    </row>
    <row r="68" spans="1:6" s="1101" customFormat="1" ht="36">
      <c r="A68" s="1150">
        <v>8</v>
      </c>
      <c r="B68" s="3560"/>
      <c r="C68" s="1064" t="s">
        <v>1516</v>
      </c>
      <c r="D68" s="1064" t="s">
        <v>1517</v>
      </c>
      <c r="E68" s="1135">
        <v>0.2</v>
      </c>
      <c r="F68" s="1150">
        <v>30</v>
      </c>
    </row>
    <row r="69" spans="1:6" s="1101" customFormat="1" ht="36">
      <c r="A69" s="1150">
        <v>9</v>
      </c>
      <c r="B69" s="3560"/>
      <c r="C69" s="1064" t="s">
        <v>1518</v>
      </c>
      <c r="D69" s="1064" t="s">
        <v>1519</v>
      </c>
      <c r="E69" s="1135">
        <v>0.2</v>
      </c>
      <c r="F69" s="1150">
        <v>30</v>
      </c>
    </row>
    <row r="70" spans="1:6" s="1101" customFormat="1" ht="48">
      <c r="A70" s="1150">
        <v>10</v>
      </c>
      <c r="B70" s="3560"/>
      <c r="C70" s="1064" t="s">
        <v>1520</v>
      </c>
      <c r="D70" s="1064" t="s">
        <v>1521</v>
      </c>
      <c r="E70" s="1135">
        <v>0.2</v>
      </c>
      <c r="F70" s="1150">
        <v>30</v>
      </c>
    </row>
    <row r="71" spans="1:6" s="1101" customFormat="1" ht="48">
      <c r="A71" s="1150">
        <v>11</v>
      </c>
      <c r="B71" s="3560"/>
      <c r="C71" s="1064" t="s">
        <v>1522</v>
      </c>
      <c r="D71" s="1064" t="s">
        <v>1523</v>
      </c>
      <c r="E71" s="1135">
        <v>0.2</v>
      </c>
      <c r="F71" s="1150">
        <v>30</v>
      </c>
    </row>
    <row r="72" spans="1:6" s="1101" customFormat="1" ht="36">
      <c r="A72" s="1150">
        <v>12</v>
      </c>
      <c r="B72" s="3560"/>
      <c r="C72" s="1064" t="s">
        <v>1524</v>
      </c>
      <c r="D72" s="1064" t="s">
        <v>1525</v>
      </c>
      <c r="E72" s="1135">
        <v>0.5</v>
      </c>
      <c r="F72" s="1150">
        <v>80</v>
      </c>
    </row>
    <row r="73" spans="1:6" s="1101" customFormat="1" ht="24">
      <c r="A73" s="1150">
        <v>13</v>
      </c>
      <c r="B73" s="3560"/>
      <c r="C73" s="1064" t="s">
        <v>1526</v>
      </c>
      <c r="D73" s="1064" t="s">
        <v>1527</v>
      </c>
      <c r="E73" s="1135">
        <v>0.4</v>
      </c>
      <c r="F73" s="1150">
        <v>60</v>
      </c>
    </row>
    <row r="74" spans="1:6" s="1101" customFormat="1" ht="24">
      <c r="A74" s="1150">
        <v>14</v>
      </c>
      <c r="B74" s="3560"/>
      <c r="C74" s="1064" t="s">
        <v>1528</v>
      </c>
      <c r="D74" s="1064" t="s">
        <v>1529</v>
      </c>
      <c r="E74" s="1135">
        <v>0.2</v>
      </c>
      <c r="F74" s="1150">
        <v>30</v>
      </c>
    </row>
    <row r="75" spans="1:6" s="1101" customFormat="1" ht="24">
      <c r="A75" s="1150">
        <v>15</v>
      </c>
      <c r="B75" s="3560"/>
      <c r="C75" s="1064" t="s">
        <v>1530</v>
      </c>
      <c r="D75" s="1064" t="s">
        <v>1531</v>
      </c>
      <c r="E75" s="1135">
        <v>0.2</v>
      </c>
      <c r="F75" s="1150">
        <v>30</v>
      </c>
    </row>
    <row r="76" spans="1:6" s="1101" customFormat="1" ht="24">
      <c r="A76" s="1150">
        <v>16</v>
      </c>
      <c r="B76" s="3560" t="s">
        <v>1532</v>
      </c>
      <c r="C76" s="1064" t="s">
        <v>1533</v>
      </c>
      <c r="D76" s="1064" t="s">
        <v>1534</v>
      </c>
      <c r="E76" s="1135">
        <v>0.5</v>
      </c>
      <c r="F76" s="1150">
        <v>80</v>
      </c>
    </row>
    <row r="77" spans="1:6" s="1101" customFormat="1" ht="24">
      <c r="A77" s="1150">
        <v>17</v>
      </c>
      <c r="B77" s="3560"/>
      <c r="C77" s="1064" t="s">
        <v>1535</v>
      </c>
      <c r="D77" s="1064" t="s">
        <v>1536</v>
      </c>
      <c r="E77" s="1135">
        <v>0.5</v>
      </c>
      <c r="F77" s="1150">
        <v>80</v>
      </c>
    </row>
    <row r="78" spans="1:6" s="1101" customFormat="1" ht="24">
      <c r="A78" s="1150">
        <v>18</v>
      </c>
      <c r="B78" s="3560"/>
      <c r="C78" s="1064" t="s">
        <v>1537</v>
      </c>
      <c r="D78" s="1064" t="s">
        <v>1538</v>
      </c>
      <c r="E78" s="1135">
        <v>0.2</v>
      </c>
      <c r="F78" s="1150">
        <v>30</v>
      </c>
    </row>
    <row r="79" spans="1:6" s="1101" customFormat="1" ht="24">
      <c r="A79" s="1150">
        <v>19</v>
      </c>
      <c r="B79" s="3560"/>
      <c r="C79" s="1064" t="s">
        <v>1539</v>
      </c>
      <c r="D79" s="1064" t="s">
        <v>1540</v>
      </c>
      <c r="E79" s="1135">
        <v>0.5</v>
      </c>
      <c r="F79" s="1150">
        <v>80</v>
      </c>
    </row>
    <row r="80" spans="1:6" s="1101" customFormat="1" ht="36">
      <c r="A80" s="1150">
        <v>20</v>
      </c>
      <c r="B80" s="3560"/>
      <c r="C80" s="1064" t="s">
        <v>1541</v>
      </c>
      <c r="D80" s="1064" t="s">
        <v>1542</v>
      </c>
      <c r="E80" s="1135">
        <v>0.2</v>
      </c>
      <c r="F80" s="1150">
        <v>30</v>
      </c>
    </row>
    <row r="81" spans="1:6" s="1101" customFormat="1" ht="36">
      <c r="A81" s="1150">
        <v>21</v>
      </c>
      <c r="B81" s="3560"/>
      <c r="C81" s="1064" t="s">
        <v>1543</v>
      </c>
      <c r="D81" s="1064" t="s">
        <v>1544</v>
      </c>
      <c r="E81" s="1135">
        <v>0.2</v>
      </c>
      <c r="F81" s="1150">
        <v>30</v>
      </c>
    </row>
    <row r="82" spans="1:6" s="1101" customFormat="1" ht="48">
      <c r="A82" s="1150">
        <v>22</v>
      </c>
      <c r="B82" s="3560"/>
      <c r="C82" s="1064" t="s">
        <v>1545</v>
      </c>
      <c r="D82" s="1064" t="s">
        <v>1546</v>
      </c>
      <c r="E82" s="1135">
        <v>0.2</v>
      </c>
      <c r="F82" s="1150">
        <v>30</v>
      </c>
    </row>
    <row r="83" spans="1:6" s="1101" customFormat="1" ht="48">
      <c r="A83" s="1150">
        <v>23</v>
      </c>
      <c r="B83" s="3560"/>
      <c r="C83" s="1064" t="s">
        <v>1547</v>
      </c>
      <c r="D83" s="1064" t="s">
        <v>1548</v>
      </c>
      <c r="E83" s="1135">
        <v>0.2</v>
      </c>
      <c r="F83" s="1150">
        <v>30</v>
      </c>
    </row>
    <row r="84" spans="1:6" s="1101" customFormat="1" ht="36">
      <c r="A84" s="1150">
        <v>24</v>
      </c>
      <c r="B84" s="3560"/>
      <c r="C84" s="1064" t="s">
        <v>1549</v>
      </c>
      <c r="D84" s="1064" t="s">
        <v>1550</v>
      </c>
      <c r="E84" s="1135">
        <v>0.2</v>
      </c>
      <c r="F84" s="1150">
        <v>30</v>
      </c>
    </row>
    <row r="85" spans="1:6" s="1101" customFormat="1" ht="36">
      <c r="A85" s="1150">
        <v>25</v>
      </c>
      <c r="B85" s="3560"/>
      <c r="C85" s="1064" t="s">
        <v>1551</v>
      </c>
      <c r="D85" s="1064" t="s">
        <v>1552</v>
      </c>
      <c r="E85" s="1135">
        <v>0.5</v>
      </c>
      <c r="F85" s="1150">
        <v>80</v>
      </c>
    </row>
    <row r="86" spans="1:6" s="1101" customFormat="1" ht="36">
      <c r="A86" s="1150">
        <v>26</v>
      </c>
      <c r="B86" s="3560"/>
      <c r="C86" s="1064" t="s">
        <v>1553</v>
      </c>
      <c r="D86" s="1064" t="s">
        <v>1554</v>
      </c>
      <c r="E86" s="1135">
        <v>0.2</v>
      </c>
      <c r="F86" s="1150">
        <v>30</v>
      </c>
    </row>
    <row r="87" spans="1:6" s="1101" customFormat="1" ht="36">
      <c r="A87" s="1150">
        <v>27</v>
      </c>
      <c r="B87" s="3560"/>
      <c r="C87" s="1064" t="s">
        <v>1555</v>
      </c>
      <c r="D87" s="1064" t="s">
        <v>1556</v>
      </c>
      <c r="E87" s="1135">
        <v>0.2</v>
      </c>
      <c r="F87" s="1150">
        <v>30</v>
      </c>
    </row>
    <row r="88" spans="1:6" s="1101" customFormat="1" ht="36">
      <c r="A88" s="1150">
        <v>28</v>
      </c>
      <c r="B88" s="3560"/>
      <c r="C88" s="1064" t="s">
        <v>1557</v>
      </c>
      <c r="D88" s="1064" t="s">
        <v>1558</v>
      </c>
      <c r="E88" s="1135">
        <v>0.2</v>
      </c>
      <c r="F88" s="1150">
        <v>30</v>
      </c>
    </row>
    <row r="89" spans="1:6" s="1101" customFormat="1" ht="24">
      <c r="A89" s="1150">
        <v>29</v>
      </c>
      <c r="B89" s="3560"/>
      <c r="C89" s="1064" t="s">
        <v>1559</v>
      </c>
      <c r="D89" s="1064" t="s">
        <v>1560</v>
      </c>
      <c r="E89" s="1135">
        <v>0.2</v>
      </c>
      <c r="F89" s="1150">
        <v>30</v>
      </c>
    </row>
    <row r="90" spans="1:6" s="1101" customFormat="1" ht="24">
      <c r="A90" s="1150">
        <v>30</v>
      </c>
      <c r="B90" s="3560"/>
      <c r="C90" s="1064" t="s">
        <v>1561</v>
      </c>
      <c r="D90" s="1064" t="s">
        <v>1562</v>
      </c>
      <c r="E90" s="1135">
        <v>0.2</v>
      </c>
      <c r="F90" s="1150">
        <v>30</v>
      </c>
    </row>
    <row r="91" spans="1:6" s="1101" customFormat="1" ht="36">
      <c r="A91" s="1150">
        <v>31</v>
      </c>
      <c r="B91" s="3560"/>
      <c r="C91" s="1064" t="s">
        <v>1563</v>
      </c>
      <c r="D91" s="1064" t="s">
        <v>1564</v>
      </c>
      <c r="E91" s="1135">
        <v>0.2</v>
      </c>
      <c r="F91" s="1150">
        <v>30</v>
      </c>
    </row>
    <row r="92" spans="1:6" s="1101" customFormat="1" ht="24">
      <c r="A92" s="1150">
        <v>32</v>
      </c>
      <c r="B92" s="3560" t="s">
        <v>1565</v>
      </c>
      <c r="C92" s="1150" t="s">
        <v>1566</v>
      </c>
      <c r="D92" s="1064" t="s">
        <v>1567</v>
      </c>
      <c r="E92" s="1135">
        <v>0.2</v>
      </c>
      <c r="F92" s="1150">
        <v>30</v>
      </c>
    </row>
    <row r="93" spans="1:6" s="1101" customFormat="1" ht="36">
      <c r="A93" s="1150">
        <v>33</v>
      </c>
      <c r="B93" s="3560"/>
      <c r="C93" s="1150" t="s">
        <v>1568</v>
      </c>
      <c r="D93" s="1064" t="s">
        <v>1569</v>
      </c>
      <c r="E93" s="1135">
        <v>0.2</v>
      </c>
      <c r="F93" s="1150">
        <v>30</v>
      </c>
    </row>
    <row r="94" spans="1:6" s="1101" customFormat="1" ht="48">
      <c r="A94" s="1150">
        <v>34</v>
      </c>
      <c r="B94" s="3560"/>
      <c r="C94" s="1150" t="s">
        <v>1570</v>
      </c>
      <c r="D94" s="1064" t="s">
        <v>1571</v>
      </c>
      <c r="E94" s="1135">
        <v>0.2</v>
      </c>
      <c r="F94" s="1150">
        <v>30</v>
      </c>
    </row>
    <row r="95" spans="1:6" s="1101" customFormat="1" ht="36">
      <c r="A95" s="1150">
        <v>35</v>
      </c>
      <c r="B95" s="3560"/>
      <c r="C95" s="1150" t="s">
        <v>1572</v>
      </c>
      <c r="D95" s="1064" t="s">
        <v>1573</v>
      </c>
      <c r="E95" s="1135">
        <v>0.2</v>
      </c>
      <c r="F95" s="1150">
        <v>30</v>
      </c>
    </row>
    <row r="96" spans="1:6" s="1101" customFormat="1" ht="48">
      <c r="A96" s="1150">
        <v>36</v>
      </c>
      <c r="B96" s="3560"/>
      <c r="C96" s="1064" t="s">
        <v>1574</v>
      </c>
      <c r="D96" s="1064" t="s">
        <v>1575</v>
      </c>
      <c r="E96" s="1135">
        <v>0.2</v>
      </c>
      <c r="F96" s="1150">
        <v>30</v>
      </c>
    </row>
    <row r="97" spans="1:6" s="1101" customFormat="1" ht="36">
      <c r="A97" s="1150">
        <v>37</v>
      </c>
      <c r="B97" s="3560"/>
      <c r="C97" s="1150" t="s">
        <v>1576</v>
      </c>
      <c r="D97" s="1064" t="s">
        <v>1577</v>
      </c>
      <c r="E97" s="1135">
        <v>0.2</v>
      </c>
      <c r="F97" s="1150">
        <v>30</v>
      </c>
    </row>
    <row r="98" spans="1:6" s="1101" customFormat="1" ht="36">
      <c r="A98" s="1150">
        <v>38</v>
      </c>
      <c r="B98" s="3560"/>
      <c r="C98" s="1150" t="s">
        <v>1578</v>
      </c>
      <c r="D98" s="1064" t="s">
        <v>1579</v>
      </c>
      <c r="E98" s="1135">
        <v>0.2</v>
      </c>
      <c r="F98" s="1150">
        <v>30</v>
      </c>
    </row>
    <row r="99" spans="1:6" s="1101" customFormat="1" ht="36">
      <c r="A99" s="1150">
        <v>39</v>
      </c>
      <c r="B99" s="3560" t="s">
        <v>1580</v>
      </c>
      <c r="C99" s="1150" t="s">
        <v>1581</v>
      </c>
      <c r="D99" s="1064" t="s">
        <v>1582</v>
      </c>
      <c r="E99" s="1135">
        <v>0.3</v>
      </c>
      <c r="F99" s="1150">
        <v>50</v>
      </c>
    </row>
    <row r="100" spans="1:6" s="1101" customFormat="1" ht="24">
      <c r="A100" s="1150">
        <v>40</v>
      </c>
      <c r="B100" s="3560"/>
      <c r="C100" s="1150" t="s">
        <v>1583</v>
      </c>
      <c r="D100" s="1064" t="s">
        <v>1584</v>
      </c>
      <c r="E100" s="1135">
        <v>0.2</v>
      </c>
      <c r="F100" s="1150">
        <v>30</v>
      </c>
    </row>
    <row r="101" spans="1:6" s="1101" customFormat="1" ht="36">
      <c r="A101" s="1150">
        <v>41</v>
      </c>
      <c r="B101" s="3560"/>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560" t="s">
        <v>1595</v>
      </c>
      <c r="C105" s="1150" t="s">
        <v>1596</v>
      </c>
      <c r="D105" s="1064" t="s">
        <v>1597</v>
      </c>
      <c r="E105" s="1135">
        <v>0.2</v>
      </c>
      <c r="F105" s="1150">
        <v>30</v>
      </c>
    </row>
    <row r="106" spans="1:6" s="1101" customFormat="1" ht="36">
      <c r="A106" s="1150">
        <v>46</v>
      </c>
      <c r="B106" s="3560"/>
      <c r="C106" s="1150" t="s">
        <v>1598</v>
      </c>
      <c r="D106" s="1064" t="s">
        <v>1599</v>
      </c>
      <c r="E106" s="1135">
        <v>0.2</v>
      </c>
      <c r="F106" s="1150">
        <v>30</v>
      </c>
    </row>
    <row r="107" spans="1:6" s="1101" customFormat="1" ht="36">
      <c r="A107" s="1150">
        <v>47</v>
      </c>
      <c r="B107" s="3560" t="s">
        <v>1600</v>
      </c>
      <c r="C107" s="1150" t="s">
        <v>1601</v>
      </c>
      <c r="D107" s="1064" t="s">
        <v>1602</v>
      </c>
      <c r="E107" s="1135">
        <v>0.3</v>
      </c>
      <c r="F107" s="1150">
        <v>50</v>
      </c>
    </row>
    <row r="108" spans="1:6" s="1101" customFormat="1" ht="36">
      <c r="A108" s="1150">
        <v>48</v>
      </c>
      <c r="B108" s="356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560" t="s">
        <v>1611</v>
      </c>
      <c r="C111" s="1150" t="s">
        <v>1612</v>
      </c>
      <c r="D111" s="1064" t="s">
        <v>1613</v>
      </c>
      <c r="E111" s="1135">
        <v>0.2</v>
      </c>
      <c r="F111" s="1150">
        <v>30</v>
      </c>
    </row>
    <row r="112" spans="1:6" s="1101" customFormat="1" ht="24">
      <c r="A112" s="1150">
        <v>52</v>
      </c>
      <c r="B112" s="3560"/>
      <c r="C112" s="1150" t="s">
        <v>1614</v>
      </c>
      <c r="D112" s="1064" t="s">
        <v>1615</v>
      </c>
      <c r="E112" s="1135">
        <v>0.2</v>
      </c>
      <c r="F112" s="1150">
        <v>30</v>
      </c>
    </row>
    <row r="113" spans="1:14" s="1101" customFormat="1" ht="24">
      <c r="A113" s="1150">
        <v>53</v>
      </c>
      <c r="B113" s="3560"/>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560" t="s">
        <v>1624</v>
      </c>
      <c r="C116" s="1150" t="s">
        <v>1625</v>
      </c>
      <c r="D116" s="1064" t="s">
        <v>1626</v>
      </c>
      <c r="E116" s="1135">
        <v>0.2</v>
      </c>
      <c r="F116" s="1150">
        <v>30</v>
      </c>
    </row>
    <row r="117" spans="1:14" ht="36">
      <c r="A117" s="1150">
        <v>57</v>
      </c>
      <c r="B117" s="356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559" t="s">
        <v>1633</v>
      </c>
      <c r="B121" s="3559"/>
      <c r="C121" s="3559"/>
      <c r="D121" s="3559"/>
      <c r="E121" s="3559"/>
      <c r="F121" s="3559"/>
      <c r="G121" s="3559"/>
      <c r="H121" s="3559"/>
      <c r="I121" s="3559"/>
      <c r="J121" s="355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64" t="s">
        <v>1039</v>
      </c>
      <c r="B1" s="3564"/>
      <c r="C1" s="3564"/>
      <c r="D1" s="3564"/>
      <c r="E1" s="3564"/>
      <c r="F1" s="3564"/>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65" t="s">
        <v>1052</v>
      </c>
      <c r="B2" s="3565"/>
      <c r="C2" s="3565"/>
      <c r="D2" s="3565"/>
      <c r="E2" s="3565"/>
      <c r="F2" s="3565"/>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66"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67"/>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940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1.2383999999999999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568" t="s">
        <v>2077</v>
      </c>
      <c r="B1" s="3568"/>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S6" sqref="S6:V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576" t="s">
        <v>2572</v>
      </c>
      <c r="C1" s="3576"/>
      <c r="D1" s="3576"/>
      <c r="E1" s="3576"/>
      <c r="F1" s="3576"/>
      <c r="G1" s="3575" t="s">
        <v>2573</v>
      </c>
      <c r="H1" s="3575"/>
      <c r="I1" s="3575"/>
      <c r="J1" s="3575"/>
      <c r="K1" s="3575"/>
      <c r="L1" s="3575"/>
      <c r="N1" s="3575" t="s">
        <v>2574</v>
      </c>
      <c r="O1" s="3575"/>
      <c r="P1" s="3575"/>
      <c r="Q1" s="3575"/>
      <c r="R1" s="2619"/>
      <c r="S1" s="3575" t="s">
        <v>2575</v>
      </c>
      <c r="T1" s="3575"/>
      <c r="U1" s="3575"/>
      <c r="V1" s="3575"/>
      <c r="X1" s="3574" t="s">
        <v>2635</v>
      </c>
      <c r="Y1" s="3575"/>
      <c r="Z1" s="3575"/>
      <c r="AA1" s="3575"/>
      <c r="AB1" s="3575"/>
      <c r="AD1" s="3574" t="s">
        <v>2639</v>
      </c>
      <c r="AE1" s="3575"/>
      <c r="AF1" s="3575"/>
      <c r="AG1" s="3575"/>
      <c r="AH1" s="3575"/>
    </row>
    <row r="2" spans="1:34" s="2720" customFormat="1" ht="14.25" thickBot="1">
      <c r="B2" s="2728" t="s">
        <v>2576</v>
      </c>
      <c r="C2" s="2728" t="s">
        <v>2637</v>
      </c>
      <c r="D2" s="2721" t="s">
        <v>1644</v>
      </c>
      <c r="E2" s="2721" t="s">
        <v>1947</v>
      </c>
      <c r="F2" s="2728" t="s">
        <v>2638</v>
      </c>
      <c r="G2" s="2724"/>
      <c r="H2" s="2723"/>
      <c r="I2" s="2728" t="s">
        <v>2951</v>
      </c>
      <c r="J2" s="2721" t="s">
        <v>2953</v>
      </c>
      <c r="K2" s="2721" t="s">
        <v>2954</v>
      </c>
      <c r="L2" s="2728" t="s">
        <v>2955</v>
      </c>
      <c r="N2" s="2728" t="s">
        <v>2576</v>
      </c>
      <c r="O2" s="2721" t="s">
        <v>2952</v>
      </c>
      <c r="P2" s="2721" t="s">
        <v>1947</v>
      </c>
      <c r="Q2" s="2728" t="s">
        <v>2638</v>
      </c>
      <c r="R2" s="2722"/>
      <c r="S2" s="2728" t="s">
        <v>2576</v>
      </c>
      <c r="T2" s="2721" t="s">
        <v>2952</v>
      </c>
      <c r="U2" s="2721" t="s">
        <v>1947</v>
      </c>
      <c r="V2" s="2728" t="s">
        <v>2638</v>
      </c>
      <c r="X2" s="2728" t="s">
        <v>2576</v>
      </c>
      <c r="Y2" s="2728" t="s">
        <v>2637</v>
      </c>
      <c r="Z2" s="2721" t="s">
        <v>1644</v>
      </c>
      <c r="AA2" s="2721" t="s">
        <v>1947</v>
      </c>
      <c r="AB2" s="2728" t="s">
        <v>2638</v>
      </c>
      <c r="AD2" s="2728" t="s">
        <v>2576</v>
      </c>
      <c r="AE2" s="2728" t="s">
        <v>2637</v>
      </c>
      <c r="AF2" s="2721" t="s">
        <v>1644</v>
      </c>
      <c r="AG2" s="2721" t="s">
        <v>1947</v>
      </c>
      <c r="AH2" s="2728" t="s">
        <v>2638</v>
      </c>
    </row>
    <row r="3" spans="1:34" s="3084" customFormat="1" ht="14.25">
      <c r="A3" s="3096" t="s">
        <v>2964</v>
      </c>
      <c r="B3" s="3085"/>
      <c r="C3" s="3085"/>
      <c r="D3" s="3086"/>
      <c r="E3" s="3086"/>
      <c r="F3" s="3085"/>
      <c r="G3" s="3087"/>
      <c r="H3" s="3088"/>
      <c r="I3" s="3095">
        <f>ROUND(AVERAGE($I4:$I30),2)</f>
        <v>1.85</v>
      </c>
      <c r="J3" s="3095">
        <f>ROUND(AVERAGE($J4:$J30),2)</f>
        <v>1.28</v>
      </c>
      <c r="K3" s="3095">
        <f>ROUND(AVERAGE($K4:$K30),2)</f>
        <v>2.0299999999999998</v>
      </c>
      <c r="L3" s="3095">
        <f>ROUND(AVERAGE($L4:$L30),2)</f>
        <v>1.31</v>
      </c>
      <c r="N3" s="3087"/>
      <c r="O3" s="3089"/>
      <c r="P3" s="3089"/>
      <c r="Q3" s="3089"/>
      <c r="R3" s="3089"/>
      <c r="S3" s="3087"/>
      <c r="T3" s="3089"/>
      <c r="U3" s="3089"/>
      <c r="V3" s="3089"/>
      <c r="W3" s="3092"/>
      <c r="X3" s="3090">
        <f>ROUND(SUMPRODUCT(PRODUCT(1+N3:N$29)),4)</f>
        <v>1.5605</v>
      </c>
      <c r="Y3" s="3090">
        <f>ROUND(SUMPRODUCT(PRODUCT(1+O3:O$29)),4)</f>
        <v>1.3577999999999999</v>
      </c>
      <c r="Z3" s="3090">
        <f t="shared" ref="Z3" si="0">Y3</f>
        <v>1.3577999999999999</v>
      </c>
      <c r="AA3" s="3090">
        <f>ROUND(SUMPRODUCT(PRODUCT(1+P3:P$29)),4)</f>
        <v>1.6254999999999999</v>
      </c>
      <c r="AB3" s="3090">
        <f>ROUND(SUMPRODUCT(PRODUCT(1+Q3:Q$29)),4)</f>
        <v>1.3815999999999999</v>
      </c>
      <c r="AD3" s="3091">
        <f>ROUND(AVERAGE(I3:I$30)/100,4)</f>
        <v>1.8499999999999999E-2</v>
      </c>
      <c r="AE3" s="3091">
        <f>ROUND(AVERAGE(J3:J$30)/100,4)</f>
        <v>1.2800000000000001E-2</v>
      </c>
      <c r="AF3" s="3091">
        <f t="shared" ref="AF3:AF28" si="1">AE3</f>
        <v>1.2800000000000001E-2</v>
      </c>
      <c r="AG3" s="3091">
        <f>ROUND(AVERAGE(K3:K$30)/100,4)</f>
        <v>2.0299999999999999E-2</v>
      </c>
      <c r="AH3" s="3091">
        <f>ROUND(AVERAGE(L3:L$30)/100,4)</f>
        <v>1.3100000000000001E-2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2994</v>
      </c>
      <c r="B5" s="2752">
        <f t="shared" ref="B5" si="2">B6*(1+N5)</f>
        <v>479.92259063878413</v>
      </c>
      <c r="C5" s="2752">
        <f t="shared" ref="C5" si="3">C6*(1+O5)</f>
        <v>350.02082268341775</v>
      </c>
      <c r="D5" s="2752">
        <f t="shared" ref="D5" si="4">C5</f>
        <v>350.02082268341775</v>
      </c>
      <c r="E5" s="2752">
        <f t="shared" ref="E5" si="5">E6*(1+P5)</f>
        <v>687.42265944181099</v>
      </c>
      <c r="F5" s="2752">
        <f t="shared" ref="F5" si="6">F6*(1+Q5)</f>
        <v>317.63846657708956</v>
      </c>
      <c r="G5" s="2719">
        <v>2020</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2965</v>
      </c>
      <c r="X5" s="3071">
        <f>ROUND(SUMPRODUCT(PRODUCT(1+N5:N$30)),4)</f>
        <v>1.6068</v>
      </c>
      <c r="Y5" s="3071">
        <f>ROUND(SUMPRODUCT(PRODUCT(1+O5:O$30)),4)</f>
        <v>1.3895999999999999</v>
      </c>
      <c r="Z5" s="3071">
        <f t="shared" ref="Z5" si="11">Y5</f>
        <v>1.3895999999999999</v>
      </c>
      <c r="AA5" s="3071">
        <f>ROUND(SUMPRODUCT(PRODUCT(1+P5:P$30)),4)</f>
        <v>1.6788000000000001</v>
      </c>
      <c r="AB5" s="3071">
        <f>ROUND(SUMPRODUCT(PRODUCT(1+Q5:Q$30)),4)</f>
        <v>1.4004000000000001</v>
      </c>
      <c r="AD5" s="3072">
        <f>ROUND(AVERAGE(I5:I$30)/100,4)</f>
        <v>1.8499999999999999E-2</v>
      </c>
      <c r="AE5" s="3072">
        <f>ROUND(AVERAGE(J5:J$30)/100,4)</f>
        <v>1.2800000000000001E-2</v>
      </c>
      <c r="AF5" s="3072">
        <f t="shared" ref="AF5" si="12">AE5</f>
        <v>1.2800000000000001E-2</v>
      </c>
      <c r="AG5" s="3072">
        <f>ROUND(AVERAGE(K5:K$30)/100,4)</f>
        <v>2.0299999999999999E-2</v>
      </c>
      <c r="AH5" s="3072">
        <f>ROUND(AVERAGE(L5:L$30)/100,4)</f>
        <v>1.3100000000000001E-2</v>
      </c>
    </row>
    <row r="6" spans="1:34" s="2725" customFormat="1">
      <c r="A6" s="2620" t="s">
        <v>2993</v>
      </c>
      <c r="B6" s="2633">
        <f t="shared" ref="B6" si="13">B7*(1+N6)</f>
        <v>479.92259063878413</v>
      </c>
      <c r="C6" s="2633">
        <f t="shared" ref="C6" si="14">C7*(1+O6)</f>
        <v>350.02082268341775</v>
      </c>
      <c r="D6" s="2633">
        <f t="shared" ref="D6" si="15">C6</f>
        <v>350.02082268341775</v>
      </c>
      <c r="E6" s="2633">
        <f t="shared" ref="E6" si="16">E7*(1+P6)</f>
        <v>687.42265944181099</v>
      </c>
      <c r="F6" s="2633">
        <f t="shared" ref="F6" si="17">F7*(1+Q6)</f>
        <v>317.63846657708956</v>
      </c>
      <c r="G6" s="2719">
        <v>2020</v>
      </c>
      <c r="H6" s="2623">
        <v>1</v>
      </c>
      <c r="I6" s="3186">
        <v>0.12</v>
      </c>
      <c r="J6" s="3186">
        <v>-0.4</v>
      </c>
      <c r="K6" s="3186">
        <v>0.21</v>
      </c>
      <c r="L6" s="3187">
        <v>0.27</v>
      </c>
      <c r="M6" s="2627"/>
      <c r="N6" s="2628">
        <f t="shared" ref="N6" si="18">I6/100</f>
        <v>1.1999999999999999E-3</v>
      </c>
      <c r="O6" s="2629">
        <f t="shared" ref="O6" si="19">J6/100</f>
        <v>-4.0000000000000001E-3</v>
      </c>
      <c r="P6" s="2629">
        <f t="shared" ref="P6" si="20">K6/100</f>
        <v>2.0999999999999999E-3</v>
      </c>
      <c r="Q6" s="2629">
        <f t="shared" ref="Q6" si="21">L6/100</f>
        <v>2.7000000000000001E-3</v>
      </c>
      <c r="R6" s="2630"/>
      <c r="S6" s="2636">
        <f>B6/B7-1</f>
        <v>1.2000000000000899E-3</v>
      </c>
      <c r="T6" s="2637">
        <f>C6/C7-1</f>
        <v>-4.0000000000000036E-3</v>
      </c>
      <c r="U6" s="2637">
        <f>E6/E7-1</f>
        <v>2.0999999999999908E-3</v>
      </c>
      <c r="V6" s="2637">
        <f>F6/F7-1</f>
        <v>2.6999999999999247E-3</v>
      </c>
      <c r="W6" s="2627"/>
      <c r="X6" s="2718">
        <f>ROUND(SUMPRODUCT(PRODUCT(1+N6:N$30)),4)</f>
        <v>1.6068</v>
      </c>
      <c r="Y6" s="2718">
        <f>ROUND(SUMPRODUCT(PRODUCT(1+O6:O$30)),4)</f>
        <v>1.3895999999999999</v>
      </c>
      <c r="Z6" s="2718">
        <f t="shared" ref="Z6" si="22">Y6</f>
        <v>1.3895999999999999</v>
      </c>
      <c r="AA6" s="2718">
        <f>ROUND(SUMPRODUCT(PRODUCT(1+P6:P$30)),4)</f>
        <v>1.6788000000000001</v>
      </c>
      <c r="AB6" s="2718">
        <f>ROUND(SUMPRODUCT(PRODUCT(1+Q6:Q$30)),4)</f>
        <v>1.4004000000000001</v>
      </c>
      <c r="AC6" s="2627"/>
      <c r="AD6" s="2638">
        <f>ROUND(AVERAGE(I6:I$30)/100,4)</f>
        <v>1.9199999999999998E-2</v>
      </c>
      <c r="AE6" s="2638">
        <f>ROUND(AVERAGE(J6:J$30)/100,4)</f>
        <v>1.3299999999999999E-2</v>
      </c>
      <c r="AF6" s="2638">
        <f t="shared" ref="AF6" si="23">AE6</f>
        <v>1.3299999999999999E-2</v>
      </c>
      <c r="AG6" s="2638">
        <f>ROUND(AVERAGE(K6:K$30)/100,4)</f>
        <v>2.1100000000000001E-2</v>
      </c>
      <c r="AH6" s="2638">
        <f>ROUND(AVERAGE(L6:L$30)/100,4)</f>
        <v>1.3599999999999999E-2</v>
      </c>
    </row>
    <row r="7" spans="1:34" s="2725" customFormat="1">
      <c r="A7" s="2620" t="s">
        <v>2992</v>
      </c>
      <c r="B7" s="2633">
        <f t="shared" ref="B7" si="24">B8*(1+N7)</f>
        <v>479.34737379023579</v>
      </c>
      <c r="C7" s="2633">
        <f t="shared" ref="C7" si="25">C8*(1+O7)</f>
        <v>351.4265287986122</v>
      </c>
      <c r="D7" s="2633">
        <f t="shared" ref="D7" si="26">C7</f>
        <v>351.4265287986122</v>
      </c>
      <c r="E7" s="2633">
        <f t="shared" ref="E7" si="27">E8*(1+P7)</f>
        <v>685.98209703803116</v>
      </c>
      <c r="F7" s="2633">
        <f t="shared" ref="F7" si="28">F8*(1+Q7)</f>
        <v>316.78315206651001</v>
      </c>
      <c r="G7" s="2719">
        <v>2019</v>
      </c>
      <c r="H7" s="2623">
        <v>4</v>
      </c>
      <c r="I7" s="2623">
        <v>0.45</v>
      </c>
      <c r="J7" s="2623">
        <v>-0.12</v>
      </c>
      <c r="K7" s="2623">
        <v>0.54</v>
      </c>
      <c r="L7" s="2634">
        <v>0.48</v>
      </c>
      <c r="M7" s="2627"/>
      <c r="N7" s="2628">
        <f t="shared" ref="N7" si="29">I7/100</f>
        <v>4.5000000000000005E-3</v>
      </c>
      <c r="O7" s="2629">
        <f t="shared" ref="O7" si="30">J7/100</f>
        <v>-1.1999999999999999E-3</v>
      </c>
      <c r="P7" s="2629">
        <f t="shared" ref="P7" si="31">K7/100</f>
        <v>5.4000000000000003E-3</v>
      </c>
      <c r="Q7" s="2629">
        <f t="shared" ref="Q7" si="32">L7/100</f>
        <v>4.7999999999999996E-3</v>
      </c>
      <c r="R7" s="2630"/>
      <c r="S7" s="2636"/>
      <c r="T7" s="2637"/>
      <c r="U7" s="2637"/>
      <c r="V7" s="2637"/>
      <c r="W7" s="2627"/>
      <c r="X7" s="2718">
        <f>ROUND(SUMPRODUCT(PRODUCT(1+N7:N$30)),4)</f>
        <v>1.6049</v>
      </c>
      <c r="Y7" s="2718">
        <f>ROUND(SUMPRODUCT(PRODUCT(1+O7:O$30)),4)</f>
        <v>1.3952</v>
      </c>
      <c r="Z7" s="2718">
        <f t="shared" ref="Z7:Z10" si="33">Y7</f>
        <v>1.3952</v>
      </c>
      <c r="AA7" s="2718">
        <f>ROUND(SUMPRODUCT(PRODUCT(1+P7:P$30)),4)</f>
        <v>1.6753</v>
      </c>
      <c r="AB7" s="2718">
        <f>ROUND(SUMPRODUCT(PRODUCT(1+Q7:Q$30)),4)</f>
        <v>1.3966000000000001</v>
      </c>
      <c r="AC7" s="2627"/>
      <c r="AD7" s="2638">
        <f>ROUND(AVERAGE(I7:I$30)/100,4)</f>
        <v>0.02</v>
      </c>
      <c r="AE7" s="2638">
        <f>ROUND(AVERAGE(J7:J$30)/100,4)</f>
        <v>1.4E-2</v>
      </c>
      <c r="AF7" s="2638">
        <f t="shared" ref="AF7" si="34">AE7</f>
        <v>1.4E-2</v>
      </c>
      <c r="AG7" s="2638">
        <f>ROUND(AVERAGE(K7:K$30)/100,4)</f>
        <v>2.1899999999999999E-2</v>
      </c>
      <c r="AH7" s="2638">
        <f>ROUND(AVERAGE(L7:L$30)/100,4)</f>
        <v>1.4E-2</v>
      </c>
    </row>
    <row r="8" spans="1:34" s="2725" customFormat="1" ht="13.5" thickBot="1">
      <c r="A8" s="2620" t="s">
        <v>2988</v>
      </c>
      <c r="B8" s="2633">
        <f t="shared" ref="B8" si="35">B9*(1+N8)</f>
        <v>477.19997390765138</v>
      </c>
      <c r="C8" s="2633">
        <f t="shared" ref="C8" si="36">C9*(1+O8)</f>
        <v>351.84874729536665</v>
      </c>
      <c r="D8" s="2633">
        <f t="shared" ref="D8" si="37">C8</f>
        <v>351.84874729536665</v>
      </c>
      <c r="E8" s="2633">
        <f t="shared" ref="E8" si="38">E9*(1+P8)</f>
        <v>682.29768951465201</v>
      </c>
      <c r="F8" s="2633">
        <f t="shared" ref="F8" si="39">F9*(1+Q8)</f>
        <v>315.26985675409043</v>
      </c>
      <c r="G8" s="2719">
        <v>2019</v>
      </c>
      <c r="H8" s="2623">
        <v>3</v>
      </c>
      <c r="I8" s="2623">
        <v>0.61</v>
      </c>
      <c r="J8" s="2623">
        <v>0.67</v>
      </c>
      <c r="K8" s="2623">
        <v>0.6</v>
      </c>
      <c r="L8" s="2634">
        <v>1.03</v>
      </c>
      <c r="M8" s="2627"/>
      <c r="N8" s="2628">
        <f t="shared" ref="N8" si="40">I8/100</f>
        <v>6.0999999999999995E-3</v>
      </c>
      <c r="O8" s="2629">
        <f t="shared" ref="O8" si="41">J8/100</f>
        <v>6.7000000000000002E-3</v>
      </c>
      <c r="P8" s="2629">
        <f t="shared" ref="P8" si="42">K8/100</f>
        <v>6.0000000000000001E-3</v>
      </c>
      <c r="Q8" s="2629">
        <f t="shared" ref="Q8" si="43">L8/100</f>
        <v>1.03E-2</v>
      </c>
      <c r="R8" s="2630"/>
      <c r="S8" s="2636"/>
      <c r="T8" s="2637"/>
      <c r="U8" s="2637"/>
      <c r="V8" s="2637"/>
      <c r="W8" s="2627"/>
      <c r="X8" s="2718">
        <f>ROUND(SUMPRODUCT(PRODUCT(1+N8:N$30)),4)</f>
        <v>1.5976999999999999</v>
      </c>
      <c r="Y8" s="2718">
        <f>ROUND(SUMPRODUCT(PRODUCT(1+O8:O$30)),4)</f>
        <v>1.3969</v>
      </c>
      <c r="Z8" s="2718">
        <f t="shared" si="33"/>
        <v>1.3969</v>
      </c>
      <c r="AA8" s="2718">
        <f>ROUND(SUMPRODUCT(PRODUCT(1+P8:P$30)),4)</f>
        <v>1.6662999999999999</v>
      </c>
      <c r="AB8" s="2718">
        <f>ROUND(SUMPRODUCT(PRODUCT(1+Q8:Q$30)),4)</f>
        <v>1.3898999999999999</v>
      </c>
      <c r="AC8" s="2627"/>
      <c r="AD8" s="2638">
        <f>ROUND(AVERAGE(I8:I$30)/100,4)</f>
        <v>2.07E-2</v>
      </c>
      <c r="AE8" s="2638">
        <f>ROUND(AVERAGE(J8:J$30)/100,4)</f>
        <v>1.47E-2</v>
      </c>
      <c r="AF8" s="2638">
        <f t="shared" ref="AF8" si="44">AE8</f>
        <v>1.47E-2</v>
      </c>
      <c r="AG8" s="2638">
        <f>ROUND(AVERAGE(K8:K$30)/100,4)</f>
        <v>2.2599999999999999E-2</v>
      </c>
      <c r="AH8" s="2638">
        <f>ROUND(AVERAGE(L8:L$30)/100,4)</f>
        <v>1.44E-2</v>
      </c>
    </row>
    <row r="9" spans="1:34" s="2725" customFormat="1">
      <c r="A9" s="2620" t="s">
        <v>2985</v>
      </c>
      <c r="B9" s="2633">
        <f t="shared" ref="B9:B14" si="45">B10*(1+N9)</f>
        <v>474.30670301923408</v>
      </c>
      <c r="C9" s="2633">
        <f t="shared" ref="C9" si="46">C10*(1+O9)</f>
        <v>349.50705005996491</v>
      </c>
      <c r="D9" s="2633">
        <f t="shared" ref="D9" si="47">C9</f>
        <v>349.50705005996491</v>
      </c>
      <c r="E9" s="2633">
        <f t="shared" ref="E9" si="48">E10*(1+P9)</f>
        <v>678.22831959706957</v>
      </c>
      <c r="F9" s="2633">
        <f t="shared" ref="F9" si="49">F10*(1+Q9)</f>
        <v>312.0556832169558</v>
      </c>
      <c r="G9" s="2719">
        <v>2019</v>
      </c>
      <c r="H9" s="2621">
        <v>2</v>
      </c>
      <c r="I9" s="2621">
        <v>1.53</v>
      </c>
      <c r="J9" s="2621">
        <v>1.01</v>
      </c>
      <c r="K9" s="2621">
        <v>1.62</v>
      </c>
      <c r="L9" s="2622">
        <v>1.25</v>
      </c>
      <c r="M9" s="2627"/>
      <c r="N9" s="2628">
        <f t="shared" ref="N9" si="50">I9/100</f>
        <v>1.5300000000000001E-2</v>
      </c>
      <c r="O9" s="2629">
        <f t="shared" ref="O9" si="51">J9/100</f>
        <v>1.01E-2</v>
      </c>
      <c r="P9" s="2629">
        <f t="shared" ref="P9" si="52">K9/100</f>
        <v>1.6200000000000003E-2</v>
      </c>
      <c r="Q9" s="2629">
        <f t="shared" ref="Q9" si="53">L9/100</f>
        <v>1.2500000000000001E-2</v>
      </c>
      <c r="R9" s="2630"/>
      <c r="S9" s="2636"/>
      <c r="T9" s="2637"/>
      <c r="U9" s="2637"/>
      <c r="V9" s="2637"/>
      <c r="W9" s="2627"/>
      <c r="X9" s="2718">
        <f>ROUND(SUMPRODUCT(PRODUCT(1+N9:N$30)),4)</f>
        <v>1.5880000000000001</v>
      </c>
      <c r="Y9" s="2718">
        <f>ROUND(SUMPRODUCT(PRODUCT(1+O9:O$30)),4)</f>
        <v>1.3875999999999999</v>
      </c>
      <c r="Z9" s="2718">
        <f t="shared" si="33"/>
        <v>1.3875999999999999</v>
      </c>
      <c r="AA9" s="2718">
        <f>ROUND(SUMPRODUCT(PRODUCT(1+P9:P$30)),4)</f>
        <v>1.6563000000000001</v>
      </c>
      <c r="AB9" s="2718">
        <f>ROUND(SUMPRODUCT(PRODUCT(1+Q9:Q$30)),4)</f>
        <v>1.3756999999999999</v>
      </c>
      <c r="AC9" s="2627"/>
      <c r="AD9" s="2638">
        <f>ROUND(AVERAGE(I9:I$30)/100,4)</f>
        <v>2.1299999999999999E-2</v>
      </c>
      <c r="AE9" s="2638">
        <f>ROUND(AVERAGE(J9:J$30)/100,4)</f>
        <v>1.4999999999999999E-2</v>
      </c>
      <c r="AF9" s="2638">
        <f t="shared" ref="AF9" si="54">AE9</f>
        <v>1.4999999999999999E-2</v>
      </c>
      <c r="AG9" s="2638">
        <f>ROUND(AVERAGE(K9:K$30)/100,4)</f>
        <v>2.3300000000000001E-2</v>
      </c>
      <c r="AH9" s="2638">
        <f>ROUND(AVERAGE(L9:L$30)/100,4)</f>
        <v>1.46E-2</v>
      </c>
    </row>
    <row r="10" spans="1:34" s="2725" customFormat="1" ht="13.5" thickBot="1">
      <c r="A10" s="2620" t="s">
        <v>2984</v>
      </c>
      <c r="B10" s="2633">
        <f t="shared" si="45"/>
        <v>467.15916775261894</v>
      </c>
      <c r="C10" s="2633">
        <f t="shared" ref="C10" si="55">C11*(1+O10)</f>
        <v>346.01232557169084</v>
      </c>
      <c r="D10" s="2633">
        <f t="shared" ref="D10" si="56">C10</f>
        <v>346.01232557169084</v>
      </c>
      <c r="E10" s="2633">
        <f t="shared" ref="E10" si="57">E11*(1+P10)</f>
        <v>667.41617752122568</v>
      </c>
      <c r="F10" s="2633">
        <f t="shared" ref="F10" si="58">F11*(1+Q10)</f>
        <v>308.20314391798104</v>
      </c>
      <c r="G10" s="2719">
        <v>2019</v>
      </c>
      <c r="H10" s="2623">
        <v>1</v>
      </c>
      <c r="I10" s="2623">
        <v>0.6</v>
      </c>
      <c r="J10" s="2623">
        <v>0.37</v>
      </c>
      <c r="K10" s="2623">
        <v>0.63</v>
      </c>
      <c r="L10" s="2634">
        <v>1.1299999999999999</v>
      </c>
      <c r="M10" s="2627"/>
      <c r="N10" s="2628">
        <f t="shared" ref="N10" si="59">I10/100</f>
        <v>6.0000000000000001E-3</v>
      </c>
      <c r="O10" s="2629">
        <f t="shared" ref="O10" si="60">J10/100</f>
        <v>3.7000000000000002E-3</v>
      </c>
      <c r="P10" s="2629">
        <f t="shared" ref="P10" si="61">K10/100</f>
        <v>6.3E-3</v>
      </c>
      <c r="Q10" s="2629">
        <f t="shared" ref="Q10" si="62">L10/100</f>
        <v>1.1299999999999999E-2</v>
      </c>
      <c r="R10" s="2630"/>
      <c r="S10" s="2636">
        <f>B10/B11-1</f>
        <v>6.0000000000000053E-3</v>
      </c>
      <c r="T10" s="2637">
        <f>C10/C11-1</f>
        <v>3.7000000000000366E-3</v>
      </c>
      <c r="U10" s="2637">
        <f>E10/E11-1</f>
        <v>6.2999999999999723E-3</v>
      </c>
      <c r="V10" s="2637">
        <f>F10/F11-1</f>
        <v>1.1300000000000088E-2</v>
      </c>
      <c r="W10" s="2627"/>
      <c r="X10" s="3184">
        <f>ROUND(SUMPRODUCT(PRODUCT(1+N10:N$30)),4)</f>
        <v>1.5641</v>
      </c>
      <c r="Y10" s="3184">
        <f>ROUND(SUMPRODUCT(PRODUCT(1+O10:O$30)),4)</f>
        <v>1.3736999999999999</v>
      </c>
      <c r="Z10" s="3184">
        <f t="shared" si="33"/>
        <v>1.3736999999999999</v>
      </c>
      <c r="AA10" s="3184">
        <f>ROUND(SUMPRODUCT(PRODUCT(1+P10:P$30)),4)</f>
        <v>1.6298999999999999</v>
      </c>
      <c r="AB10" s="3184">
        <f>ROUND(SUMPRODUCT(PRODUCT(1+Q10:Q$30)),4)</f>
        <v>1.3588</v>
      </c>
      <c r="AC10" s="2627"/>
      <c r="AD10" s="2638">
        <f>ROUND(AVERAGE(I10:I$30)/100,4)</f>
        <v>2.1600000000000001E-2</v>
      </c>
      <c r="AE10" s="2638">
        <f>ROUND(AVERAGE(J10:J$30)/100,4)</f>
        <v>1.5299999999999999E-2</v>
      </c>
      <c r="AF10" s="2638">
        <f t="shared" ref="AF10" si="63">AE10</f>
        <v>1.5299999999999999E-2</v>
      </c>
      <c r="AG10" s="2638">
        <f>ROUND(AVERAGE(K10:K$30)/100,4)</f>
        <v>2.3699999999999999E-2</v>
      </c>
      <c r="AH10" s="2638">
        <f>ROUND(AVERAGE(L10:L$30)/100,4)</f>
        <v>1.47E-2</v>
      </c>
    </row>
    <row r="11" spans="1:34" s="2725" customFormat="1">
      <c r="A11" s="2620" t="s">
        <v>2981</v>
      </c>
      <c r="B11" s="3180">
        <f t="shared" si="45"/>
        <v>464.37293017158942</v>
      </c>
      <c r="C11" s="3180">
        <f t="shared" ref="C11" si="64">C12*(1+O11)</f>
        <v>344.73679941385956</v>
      </c>
      <c r="D11" s="3180">
        <f t="shared" ref="D11" si="65">C11</f>
        <v>344.73679941385956</v>
      </c>
      <c r="E11" s="3180">
        <f t="shared" ref="E11" si="66">E12*(1+P11)</f>
        <v>663.2377795103107</v>
      </c>
      <c r="F11" s="3181">
        <f t="shared" ref="F11" si="67">F12*(1+Q11)</f>
        <v>304.75936311478398</v>
      </c>
      <c r="G11" s="3570">
        <v>2018</v>
      </c>
      <c r="H11" s="2621">
        <v>4</v>
      </c>
      <c r="I11" s="2621">
        <v>0.96</v>
      </c>
      <c r="J11" s="2621">
        <v>1.03</v>
      </c>
      <c r="K11" s="2621">
        <v>0.92</v>
      </c>
      <c r="L11" s="2622">
        <v>1.29</v>
      </c>
      <c r="M11" s="2627"/>
      <c r="N11" s="2628">
        <f t="shared" ref="N11" si="68">I11/100</f>
        <v>9.5999999999999992E-3</v>
      </c>
      <c r="O11" s="2629">
        <f t="shared" ref="O11" si="69">J11/100</f>
        <v>1.03E-2</v>
      </c>
      <c r="P11" s="2629">
        <f t="shared" ref="P11" si="70">K11/100</f>
        <v>9.1999999999999998E-3</v>
      </c>
      <c r="Q11" s="2629">
        <f t="shared" ref="Q11" si="71">L11/100</f>
        <v>1.29E-2</v>
      </c>
      <c r="R11" s="2630"/>
      <c r="S11" s="2631"/>
      <c r="T11" s="2632"/>
      <c r="U11" s="2632"/>
      <c r="V11" s="2632"/>
      <c r="W11" s="2627"/>
      <c r="X11" s="3184">
        <f>ROUND(SUMPRODUCT(PRODUCT(1+N11:N$30)),4)</f>
        <v>1.5548</v>
      </c>
      <c r="Y11" s="3184">
        <f>ROUND(SUMPRODUCT(PRODUCT(1+O11:O$30)),4)</f>
        <v>1.3686</v>
      </c>
      <c r="Z11" s="3184">
        <f t="shared" ref="Z11:Z29" si="72">Y11</f>
        <v>1.3686</v>
      </c>
      <c r="AA11" s="3184">
        <f>ROUND(SUMPRODUCT(PRODUCT(1+P11:P$30)),4)</f>
        <v>1.6196999999999999</v>
      </c>
      <c r="AB11" s="3184">
        <f>ROUND(SUMPRODUCT(PRODUCT(1+Q11:Q$30)),4)</f>
        <v>1.3435999999999999</v>
      </c>
      <c r="AC11" s="2627"/>
      <c r="AD11" s="2638">
        <f>ROUND(AVERAGE(I11:I$30)/100,4)</f>
        <v>2.24E-2</v>
      </c>
      <c r="AE11" s="2638">
        <f>ROUND(AVERAGE(J11:J$30)/100,4)</f>
        <v>1.5800000000000002E-2</v>
      </c>
      <c r="AF11" s="2638">
        <f t="shared" ref="AF11" si="73">AE11</f>
        <v>1.5800000000000002E-2</v>
      </c>
      <c r="AG11" s="2638">
        <f>ROUND(AVERAGE(K11:K$30)/100,4)</f>
        <v>2.4500000000000001E-2</v>
      </c>
      <c r="AH11" s="2638">
        <f>ROUND(AVERAGE(L11:L$30)/100,4)</f>
        <v>1.49E-2</v>
      </c>
    </row>
    <row r="12" spans="1:34" s="2725" customFormat="1" ht="14.45" customHeight="1">
      <c r="A12" s="2620" t="s">
        <v>2974</v>
      </c>
      <c r="B12" s="2633">
        <f t="shared" si="45"/>
        <v>459.95733971036987</v>
      </c>
      <c r="C12" s="2633">
        <f t="shared" ref="C12" si="74">C13*(1+O12)</f>
        <v>341.22221064422405</v>
      </c>
      <c r="D12" s="2633">
        <f t="shared" ref="D12" si="75">C12</f>
        <v>341.22221064422405</v>
      </c>
      <c r="E12" s="2633">
        <f t="shared" ref="E12" si="76">E13*(1+P12)</f>
        <v>657.19161663724799</v>
      </c>
      <c r="F12" s="2633">
        <f t="shared" ref="F12" si="77">F13*(1+Q12)</f>
        <v>300.87803644464805</v>
      </c>
      <c r="G12" s="3570"/>
      <c r="H12" s="2623">
        <v>3</v>
      </c>
      <c r="I12" s="2623">
        <v>1.51</v>
      </c>
      <c r="J12" s="2623">
        <v>1.41</v>
      </c>
      <c r="K12" s="2623">
        <v>1.52</v>
      </c>
      <c r="L12" s="2634">
        <v>1.74</v>
      </c>
      <c r="M12" s="2627"/>
      <c r="N12" s="2628">
        <f t="shared" ref="N12" si="78">I12/100</f>
        <v>1.5100000000000001E-2</v>
      </c>
      <c r="O12" s="2629">
        <f t="shared" ref="O12" si="79">J12/100</f>
        <v>1.41E-2</v>
      </c>
      <c r="P12" s="2629">
        <f t="shared" ref="P12" si="80">K12/100</f>
        <v>1.52E-2</v>
      </c>
      <c r="Q12" s="2629">
        <f t="shared" ref="Q12" si="81">L12/100</f>
        <v>1.7399999999999999E-2</v>
      </c>
      <c r="R12" s="2630"/>
      <c r="S12" s="2628"/>
      <c r="T12" s="2629"/>
      <c r="U12" s="2629"/>
      <c r="V12" s="2629"/>
      <c r="W12" s="2627"/>
      <c r="X12" s="3184">
        <f>ROUND(SUMPRODUCT(PRODUCT(1+N12:N$30)),4)</f>
        <v>1.54</v>
      </c>
      <c r="Y12" s="3184">
        <f>ROUND(SUMPRODUCT(PRODUCT(1+O12:O$30)),4)</f>
        <v>1.3547</v>
      </c>
      <c r="Z12" s="3184">
        <f t="shared" si="72"/>
        <v>1.3547</v>
      </c>
      <c r="AA12" s="3184">
        <f>ROUND(SUMPRODUCT(PRODUCT(1+P12:P$30)),4)</f>
        <v>1.605</v>
      </c>
      <c r="AB12" s="3184">
        <f>ROUND(SUMPRODUCT(PRODUCT(1+Q12:Q$30)),4)</f>
        <v>1.3265</v>
      </c>
      <c r="AC12" s="2627"/>
      <c r="AD12" s="2638">
        <f>ROUND(AVERAGE(I12:I$30)/100,4)</f>
        <v>2.3099999999999999E-2</v>
      </c>
      <c r="AE12" s="2638">
        <f>ROUND(AVERAGE(J12:J$30)/100,4)</f>
        <v>1.61E-2</v>
      </c>
      <c r="AF12" s="2638">
        <f t="shared" ref="AF12" si="82">AE12</f>
        <v>1.61E-2</v>
      </c>
      <c r="AG12" s="2638">
        <f>ROUND(AVERAGE(K12:K$30)/100,4)</f>
        <v>2.53E-2</v>
      </c>
      <c r="AH12" s="2638">
        <f>ROUND(AVERAGE(L12:L$30)/100,4)</f>
        <v>1.4999999999999999E-2</v>
      </c>
    </row>
    <row r="13" spans="1:34" s="2725" customFormat="1" ht="14.45" customHeight="1">
      <c r="A13" s="2620" t="s">
        <v>2975</v>
      </c>
      <c r="B13" s="2633">
        <f t="shared" si="45"/>
        <v>453.11529869999993</v>
      </c>
      <c r="C13" s="2633">
        <f t="shared" ref="C13" si="83">C14*(1+O13)</f>
        <v>336.47787264000004</v>
      </c>
      <c r="D13" s="2633">
        <f t="shared" ref="D13" si="84">C13</f>
        <v>336.47787264000004</v>
      </c>
      <c r="E13" s="2633">
        <f t="shared" ref="E13" si="85">E14*(1+P13)</f>
        <v>647.35186823999993</v>
      </c>
      <c r="F13" s="2633">
        <f t="shared" ref="F13" si="86">F14*(1+Q13)</f>
        <v>295.73229452000004</v>
      </c>
      <c r="G13" s="3570"/>
      <c r="H13" s="2624">
        <v>2</v>
      </c>
      <c r="I13" s="2624">
        <v>1.49</v>
      </c>
      <c r="J13" s="2624">
        <v>0.96</v>
      </c>
      <c r="K13" s="2624">
        <v>1.58</v>
      </c>
      <c r="L13" s="2635">
        <v>2.44</v>
      </c>
      <c r="M13" s="2627"/>
      <c r="N13" s="2628">
        <f t="shared" ref="N13" si="87">I13/100</f>
        <v>1.49E-2</v>
      </c>
      <c r="O13" s="2629">
        <f t="shared" ref="O13" si="88">J13/100</f>
        <v>9.5999999999999992E-3</v>
      </c>
      <c r="P13" s="2629">
        <f t="shared" ref="P13" si="89">K13/100</f>
        <v>1.5800000000000002E-2</v>
      </c>
      <c r="Q13" s="2629">
        <f t="shared" ref="Q13" si="90">L13/100</f>
        <v>2.4399999999999998E-2</v>
      </c>
      <c r="R13" s="2630"/>
      <c r="S13" s="2628"/>
      <c r="T13" s="2629"/>
      <c r="U13" s="2629"/>
      <c r="V13" s="2629"/>
      <c r="W13" s="2627"/>
      <c r="X13" s="3184">
        <f>ROUND(SUMPRODUCT(PRODUCT(1+N13:N$30)),4)</f>
        <v>1.5170999999999999</v>
      </c>
      <c r="Y13" s="3184">
        <f>ROUND(SUMPRODUCT(PRODUCT(1+O13:O$30)),4)</f>
        <v>1.3358000000000001</v>
      </c>
      <c r="Z13" s="3184">
        <f t="shared" si="72"/>
        <v>1.3358000000000001</v>
      </c>
      <c r="AA13" s="3184">
        <f>ROUND(SUMPRODUCT(PRODUCT(1+P13:P$30)),4)</f>
        <v>1.5809</v>
      </c>
      <c r="AB13" s="3184">
        <f>ROUND(SUMPRODUCT(PRODUCT(1+Q13:Q$30)),4)</f>
        <v>1.3038000000000001</v>
      </c>
      <c r="AC13" s="2627"/>
      <c r="AD13" s="2638">
        <f>ROUND(AVERAGE(I13:I$30)/100,4)</f>
        <v>2.35E-2</v>
      </c>
      <c r="AE13" s="2638">
        <f>ROUND(AVERAGE(J13:J$30)/100,4)</f>
        <v>1.6199999999999999E-2</v>
      </c>
      <c r="AF13" s="2638">
        <f t="shared" ref="AF13" si="91">AE13</f>
        <v>1.6199999999999999E-2</v>
      </c>
      <c r="AG13" s="2638">
        <f>ROUND(AVERAGE(K13:K$30)/100,4)</f>
        <v>2.5899999999999999E-2</v>
      </c>
      <c r="AH13" s="2638">
        <f>ROUND(AVERAGE(L13:L$30)/100,4)</f>
        <v>1.49E-2</v>
      </c>
    </row>
    <row r="14" spans="1:34" s="2725" customFormat="1" ht="15" customHeight="1" thickBot="1">
      <c r="A14" s="2620" t="s">
        <v>2971</v>
      </c>
      <c r="B14" s="2633">
        <f t="shared" si="45"/>
        <v>446.46299999999997</v>
      </c>
      <c r="C14" s="2633">
        <f t="shared" ref="C14" si="92">C15*(1+O14)</f>
        <v>333.27840000000003</v>
      </c>
      <c r="D14" s="2633">
        <f t="shared" ref="D14:D19" si="93">C14</f>
        <v>333.27840000000003</v>
      </c>
      <c r="E14" s="2633">
        <f t="shared" ref="E14" si="94">E15*(1+P14)</f>
        <v>637.28279999999995</v>
      </c>
      <c r="F14" s="2633">
        <f t="shared" ref="F14" si="95">F15*(1+Q14)</f>
        <v>288.68830000000003</v>
      </c>
      <c r="G14" s="3571"/>
      <c r="H14" s="2623">
        <v>1</v>
      </c>
      <c r="I14" s="2623">
        <v>1.7</v>
      </c>
      <c r="J14" s="2623">
        <v>1.92</v>
      </c>
      <c r="K14" s="2623">
        <v>1.64</v>
      </c>
      <c r="L14" s="2634">
        <v>2.0099999999999998</v>
      </c>
      <c r="M14" s="2627"/>
      <c r="N14" s="2628">
        <f t="shared" ref="N14:N19" si="96">I14/100</f>
        <v>1.7000000000000001E-2</v>
      </c>
      <c r="O14" s="2629">
        <f t="shared" ref="O14" si="97">J14/100</f>
        <v>1.9199999999999998E-2</v>
      </c>
      <c r="P14" s="2629">
        <f t="shared" ref="P14" si="98">K14/100</f>
        <v>1.6399999999999998E-2</v>
      </c>
      <c r="Q14" s="2629">
        <f t="shared" ref="Q14" si="99">L14/100</f>
        <v>2.0099999999999996E-2</v>
      </c>
      <c r="R14" s="2630"/>
      <c r="S14" s="2636">
        <f>B14/B15-1</f>
        <v>1.6999999999999904E-2</v>
      </c>
      <c r="T14" s="2637">
        <f>C14/C15-1</f>
        <v>1.9200000000000106E-2</v>
      </c>
      <c r="U14" s="2637">
        <f>E14/E15-1</f>
        <v>1.639999999999997E-2</v>
      </c>
      <c r="V14" s="2637">
        <f>F14/F15-1</f>
        <v>2.0100000000000007E-2</v>
      </c>
      <c r="W14" s="2627"/>
      <c r="X14" s="3184">
        <f>ROUND(SUMPRODUCT(PRODUCT(1+N14:N$30)),4)</f>
        <v>1.4947999999999999</v>
      </c>
      <c r="Y14" s="3184">
        <f>ROUND(SUMPRODUCT(PRODUCT(1+O14:O$30)),4)</f>
        <v>1.3230999999999999</v>
      </c>
      <c r="Z14" s="3184">
        <f t="shared" si="72"/>
        <v>1.3230999999999999</v>
      </c>
      <c r="AA14" s="3184">
        <f>ROUND(SUMPRODUCT(PRODUCT(1+P14:P$30)),4)</f>
        <v>1.5564</v>
      </c>
      <c r="AB14" s="3184">
        <f>ROUND(SUMPRODUCT(PRODUCT(1+Q14:Q$30)),4)</f>
        <v>1.2726999999999999</v>
      </c>
      <c r="AC14" s="2627"/>
      <c r="AD14" s="2638">
        <f>ROUND(AVERAGE(I14:I$30)/100,4)</f>
        <v>2.4E-2</v>
      </c>
      <c r="AE14" s="2638">
        <f>ROUND(AVERAGE(J14:J$30)/100,4)</f>
        <v>1.66E-2</v>
      </c>
      <c r="AF14" s="2638">
        <f t="shared" ref="AF14" si="100">AE14</f>
        <v>1.66E-2</v>
      </c>
      <c r="AG14" s="2638">
        <f>ROUND(AVERAGE(K14:K$30)/100,4)</f>
        <v>2.6499999999999999E-2</v>
      </c>
      <c r="AH14" s="2638">
        <f>ROUND(AVERAGE(L14:L$30)/100,4)</f>
        <v>1.43E-2</v>
      </c>
    </row>
    <row r="15" spans="1:34">
      <c r="A15" s="2620" t="s">
        <v>2962</v>
      </c>
      <c r="B15" s="3098">
        <v>439</v>
      </c>
      <c r="C15" s="3098">
        <v>327</v>
      </c>
      <c r="D15" s="3098">
        <f t="shared" si="93"/>
        <v>327</v>
      </c>
      <c r="E15" s="3098">
        <v>627</v>
      </c>
      <c r="F15" s="3099">
        <v>283</v>
      </c>
      <c r="G15" s="3569">
        <v>2017</v>
      </c>
      <c r="H15" s="2621">
        <v>4</v>
      </c>
      <c r="I15" s="2621">
        <v>1.71</v>
      </c>
      <c r="J15" s="2621">
        <v>1.78</v>
      </c>
      <c r="K15" s="2621">
        <v>1.71</v>
      </c>
      <c r="L15" s="2622">
        <v>1.43</v>
      </c>
      <c r="N15" s="2641">
        <f t="shared" si="96"/>
        <v>1.7100000000000001E-2</v>
      </c>
      <c r="O15" s="2642">
        <f t="shared" ref="O15" si="101">J15/100</f>
        <v>1.78E-2</v>
      </c>
      <c r="P15" s="2642">
        <f t="shared" ref="P15" si="102">K15/100</f>
        <v>1.7100000000000001E-2</v>
      </c>
      <c r="Q15" s="2642">
        <f t="shared" ref="Q15" si="103">L15/100</f>
        <v>1.43E-2</v>
      </c>
      <c r="R15" s="2630"/>
      <c r="S15" s="2631"/>
      <c r="T15" s="2632"/>
      <c r="U15" s="2632"/>
      <c r="V15" s="2632"/>
      <c r="X15" s="3184">
        <f>ROUND(SUMPRODUCT(PRODUCT(1+N15:N$30)),4)</f>
        <v>1.4698</v>
      </c>
      <c r="Y15" s="3184">
        <f>ROUND(SUMPRODUCT(PRODUCT(1+O15:O$30)),4)</f>
        <v>1.2982</v>
      </c>
      <c r="Z15" s="3184">
        <f t="shared" si="72"/>
        <v>1.2982</v>
      </c>
      <c r="AA15" s="3184">
        <f>ROUND(SUMPRODUCT(PRODUCT(1+P15:P$30)),4)</f>
        <v>1.5311999999999999</v>
      </c>
      <c r="AB15" s="3184">
        <f>ROUND(SUMPRODUCT(PRODUCT(1+Q15:Q$30)),4)</f>
        <v>1.2476</v>
      </c>
      <c r="AD15" s="2638">
        <f>ROUND(AVERAGE(I15:I$30)/100,4)</f>
        <v>2.4500000000000001E-2</v>
      </c>
      <c r="AE15" s="2638">
        <f>ROUND(AVERAGE(J15:J$30)/100,4)</f>
        <v>1.6500000000000001E-2</v>
      </c>
      <c r="AF15" s="2638">
        <f t="shared" si="1"/>
        <v>1.6500000000000001E-2</v>
      </c>
      <c r="AG15" s="2638">
        <f>ROUND(AVERAGE(K15:K$30)/100,4)</f>
        <v>2.7099999999999999E-2</v>
      </c>
      <c r="AH15" s="2638">
        <f>ROUND(AVERAGE(L15:L$30)/100,4)</f>
        <v>1.3899999999999999E-2</v>
      </c>
    </row>
    <row r="16" spans="1:34" s="2725" customFormat="1" ht="14.45" customHeight="1">
      <c r="A16" s="2620" t="s">
        <v>2966</v>
      </c>
      <c r="B16" s="2633">
        <f t="shared" ref="B16:C18" si="104">B17*(1+N16)</f>
        <v>431.80730811680002</v>
      </c>
      <c r="C16" s="2633">
        <f t="shared" si="104"/>
        <v>320.57880516480003</v>
      </c>
      <c r="D16" s="2633">
        <f t="shared" si="93"/>
        <v>320.57880516480003</v>
      </c>
      <c r="E16" s="2633">
        <f t="shared" ref="E16:F18" si="105">E17*(1+P16)</f>
        <v>615.96110553196797</v>
      </c>
      <c r="F16" s="2633">
        <f t="shared" si="105"/>
        <v>279.46777300108801</v>
      </c>
      <c r="G16" s="3570"/>
      <c r="H16" s="2623">
        <v>3</v>
      </c>
      <c r="I16" s="2623">
        <v>2.98</v>
      </c>
      <c r="J16" s="2623">
        <v>2.11</v>
      </c>
      <c r="K16" s="2623">
        <v>3.24</v>
      </c>
      <c r="L16" s="2634">
        <v>1.72</v>
      </c>
      <c r="M16" s="2627"/>
      <c r="N16" s="2628">
        <f t="shared" si="96"/>
        <v>2.98E-2</v>
      </c>
      <c r="O16" s="2646">
        <f t="shared" ref="O16:O17" si="106">J16/100</f>
        <v>2.1099999999999997E-2</v>
      </c>
      <c r="P16" s="2646">
        <f t="shared" ref="P16:P17" si="107">K16/100</f>
        <v>3.2400000000000005E-2</v>
      </c>
      <c r="Q16" s="2646">
        <f t="shared" ref="Q16:Q17" si="108">L16/100</f>
        <v>1.72E-2</v>
      </c>
      <c r="R16" s="2630"/>
      <c r="S16" s="2628"/>
      <c r="T16" s="2629"/>
      <c r="U16" s="2629"/>
      <c r="V16" s="2629"/>
      <c r="W16" s="2627"/>
      <c r="X16" s="3184">
        <f>ROUND(SUMPRODUCT(PRODUCT(1+N16:N$30)),4)</f>
        <v>1.4451000000000001</v>
      </c>
      <c r="Y16" s="3184">
        <f>ROUND(SUMPRODUCT(PRODUCT(1+O16:O$30)),4)</f>
        <v>1.2755000000000001</v>
      </c>
      <c r="Z16" s="3184">
        <f t="shared" si="72"/>
        <v>1.2755000000000001</v>
      </c>
      <c r="AA16" s="3184">
        <f>ROUND(SUMPRODUCT(PRODUCT(1+P16:P$30)),4)</f>
        <v>1.5055000000000001</v>
      </c>
      <c r="AB16" s="3184">
        <f>ROUND(SUMPRODUCT(PRODUCT(1+Q16:Q$30)),4)</f>
        <v>1.2301</v>
      </c>
      <c r="AC16" s="2627"/>
      <c r="AD16" s="2638">
        <f>ROUND(AVERAGE(I16:I$30)/100,4)</f>
        <v>2.4899999999999999E-2</v>
      </c>
      <c r="AE16" s="2638">
        <f>ROUND(AVERAGE(J16:J$30)/100,4)</f>
        <v>1.6400000000000001E-2</v>
      </c>
      <c r="AF16" s="2638">
        <f t="shared" si="1"/>
        <v>1.6400000000000001E-2</v>
      </c>
      <c r="AG16" s="2638">
        <f>ROUND(AVERAGE(K16:K$30)/100,4)</f>
        <v>2.7799999999999998E-2</v>
      </c>
      <c r="AH16" s="2638">
        <f>ROUND(AVERAGE(L16:L$30)/100,4)</f>
        <v>1.3899999999999999E-2</v>
      </c>
    </row>
    <row r="17" spans="1:34" s="2618" customFormat="1" ht="14.45" customHeight="1">
      <c r="A17" s="2620" t="s">
        <v>2577</v>
      </c>
      <c r="B17" s="2633">
        <f t="shared" si="104"/>
        <v>419.31181600000002</v>
      </c>
      <c r="C17" s="2633">
        <f t="shared" si="104"/>
        <v>313.95436800000004</v>
      </c>
      <c r="D17" s="2633">
        <f t="shared" si="93"/>
        <v>313.95436800000004</v>
      </c>
      <c r="E17" s="2633">
        <f t="shared" si="105"/>
        <v>596.63028431999999</v>
      </c>
      <c r="F17" s="2633">
        <f t="shared" si="105"/>
        <v>274.74220703999998</v>
      </c>
      <c r="G17" s="3570"/>
      <c r="H17" s="2624">
        <v>2</v>
      </c>
      <c r="I17" s="2624">
        <v>3.4</v>
      </c>
      <c r="J17" s="2624">
        <v>2</v>
      </c>
      <c r="K17" s="2624">
        <v>3.82</v>
      </c>
      <c r="L17" s="2635">
        <v>1.68</v>
      </c>
      <c r="N17" s="2628">
        <f t="shared" si="96"/>
        <v>3.4000000000000002E-2</v>
      </c>
      <c r="O17" s="2646">
        <f t="shared" si="106"/>
        <v>0.02</v>
      </c>
      <c r="P17" s="2646">
        <f t="shared" si="107"/>
        <v>3.8199999999999998E-2</v>
      </c>
      <c r="Q17" s="2646">
        <f t="shared" si="108"/>
        <v>1.6799999999999999E-2</v>
      </c>
      <c r="R17" s="2619"/>
      <c r="S17" s="2628"/>
      <c r="T17" s="2629"/>
      <c r="U17" s="2629"/>
      <c r="V17" s="2629"/>
      <c r="X17" s="3184">
        <f>ROUND(SUMPRODUCT(PRODUCT(1+N17:N$30)),4)</f>
        <v>1.4033</v>
      </c>
      <c r="Y17" s="3184">
        <f>ROUND(SUMPRODUCT(PRODUCT(1+O17:O$30)),4)</f>
        <v>1.2491000000000001</v>
      </c>
      <c r="Z17" s="3184">
        <f t="shared" si="72"/>
        <v>1.2491000000000001</v>
      </c>
      <c r="AA17" s="3184">
        <f>ROUND(SUMPRODUCT(PRODUCT(1+P17:P$30)),4)</f>
        <v>1.4581999999999999</v>
      </c>
      <c r="AB17" s="3184">
        <f>ROUND(SUMPRODUCT(PRODUCT(1+Q17:Q$30)),4)</f>
        <v>1.2093</v>
      </c>
      <c r="AD17" s="2638">
        <f>ROUND(AVERAGE(I17:I$30)/100,4)</f>
        <v>2.46E-2</v>
      </c>
      <c r="AE17" s="2638">
        <f>ROUND(AVERAGE(J17:J$30)/100,4)</f>
        <v>1.6E-2</v>
      </c>
      <c r="AF17" s="2638">
        <f t="shared" si="1"/>
        <v>1.6E-2</v>
      </c>
      <c r="AG17" s="2638">
        <f>ROUND(AVERAGE(K17:K$30)/100,4)</f>
        <v>2.75E-2</v>
      </c>
      <c r="AH17" s="2638">
        <f>ROUND(AVERAGE(L17:L$30)/100,4)</f>
        <v>1.37E-2</v>
      </c>
    </row>
    <row r="18" spans="1:34" s="2725" customFormat="1" ht="15" customHeight="1" thickBot="1">
      <c r="A18" s="2620" t="s">
        <v>2578</v>
      </c>
      <c r="B18" s="2633">
        <f t="shared" si="104"/>
        <v>405.524</v>
      </c>
      <c r="C18" s="2633">
        <f t="shared" si="104"/>
        <v>307.79840000000002</v>
      </c>
      <c r="D18" s="2633">
        <f t="shared" si="93"/>
        <v>307.79840000000002</v>
      </c>
      <c r="E18" s="2633">
        <f t="shared" si="105"/>
        <v>574.67759999999998</v>
      </c>
      <c r="F18" s="2633">
        <f t="shared" si="105"/>
        <v>270.20280000000002</v>
      </c>
      <c r="G18" s="3571"/>
      <c r="H18" s="2623">
        <v>1</v>
      </c>
      <c r="I18" s="2623">
        <v>3.45</v>
      </c>
      <c r="J18" s="2623">
        <v>1.92</v>
      </c>
      <c r="K18" s="2623">
        <v>3.92</v>
      </c>
      <c r="L18" s="2634">
        <v>1.58</v>
      </c>
      <c r="M18" s="2627"/>
      <c r="N18" s="2636">
        <f t="shared" si="96"/>
        <v>3.4500000000000003E-2</v>
      </c>
      <c r="O18" s="2637">
        <f t="shared" ref="O18" si="109">J18/100</f>
        <v>1.9199999999999998E-2</v>
      </c>
      <c r="P18" s="2637">
        <f t="shared" ref="P18" si="110">K18/100</f>
        <v>3.9199999999999999E-2</v>
      </c>
      <c r="Q18" s="2637">
        <f t="shared" ref="Q18" si="111">L18/100</f>
        <v>1.5800000000000002E-2</v>
      </c>
      <c r="R18" s="2630"/>
      <c r="S18" s="2636">
        <f>B18/B19-1</f>
        <v>3.4499999999999975E-2</v>
      </c>
      <c r="T18" s="2637">
        <f>C18/C19-1</f>
        <v>1.9200000000000106E-2</v>
      </c>
      <c r="U18" s="2637">
        <f>E18/E19-1</f>
        <v>3.9199999999999902E-2</v>
      </c>
      <c r="V18" s="2637">
        <f>F18/F19-1</f>
        <v>1.5800000000000036E-2</v>
      </c>
      <c r="W18" s="2627"/>
      <c r="X18" s="3184">
        <f>ROUND(SUMPRODUCT(PRODUCT(1+N18:N$30)),4)</f>
        <v>1.3571</v>
      </c>
      <c r="Y18" s="3184">
        <f>ROUND(SUMPRODUCT(PRODUCT(1+O18:O$30)),4)</f>
        <v>1.2245999999999999</v>
      </c>
      <c r="Z18" s="3184">
        <f t="shared" si="72"/>
        <v>1.2245999999999999</v>
      </c>
      <c r="AA18" s="3184">
        <f>ROUND(SUMPRODUCT(PRODUCT(1+P18:P$30)),4)</f>
        <v>1.4046000000000001</v>
      </c>
      <c r="AB18" s="3184">
        <f>ROUND(SUMPRODUCT(PRODUCT(1+Q18:Q$30)),4)</f>
        <v>1.1893</v>
      </c>
      <c r="AC18" s="2627"/>
      <c r="AD18" s="2638">
        <f>ROUND(AVERAGE(I18:I$30)/100,4)</f>
        <v>2.3900000000000001E-2</v>
      </c>
      <c r="AE18" s="2638">
        <f>ROUND(AVERAGE(J18:J$30)/100,4)</f>
        <v>1.5699999999999999E-2</v>
      </c>
      <c r="AF18" s="2638">
        <f t="shared" si="1"/>
        <v>1.5699999999999999E-2</v>
      </c>
      <c r="AG18" s="2638">
        <f>ROUND(AVERAGE(K18:K$30)/100,4)</f>
        <v>2.6599999999999999E-2</v>
      </c>
      <c r="AH18" s="2638">
        <f>ROUND(AVERAGE(L18:L$30)/100,4)</f>
        <v>1.34E-2</v>
      </c>
    </row>
    <row r="19" spans="1:34">
      <c r="A19" s="2620" t="s">
        <v>970</v>
      </c>
      <c r="B19" s="2625">
        <v>392</v>
      </c>
      <c r="C19" s="2625">
        <v>302</v>
      </c>
      <c r="D19" s="2625">
        <f t="shared" si="93"/>
        <v>302</v>
      </c>
      <c r="E19" s="2625">
        <v>553</v>
      </c>
      <c r="F19" s="2626">
        <v>266</v>
      </c>
      <c r="G19" s="3569">
        <v>2016</v>
      </c>
      <c r="H19" s="2621">
        <v>4</v>
      </c>
      <c r="I19" s="2621">
        <v>4.5599999999999996</v>
      </c>
      <c r="J19" s="2621">
        <v>2.15</v>
      </c>
      <c r="K19" s="2621">
        <v>5.32</v>
      </c>
      <c r="L19" s="2622">
        <v>1.57</v>
      </c>
      <c r="N19" s="2628">
        <f t="shared" si="96"/>
        <v>4.5599999999999995E-2</v>
      </c>
      <c r="O19" s="2629">
        <f t="shared" ref="O19:Q34" si="112">J19/100</f>
        <v>2.1499999999999998E-2</v>
      </c>
      <c r="P19" s="2629">
        <f t="shared" si="112"/>
        <v>5.3200000000000004E-2</v>
      </c>
      <c r="Q19" s="2629">
        <f t="shared" si="112"/>
        <v>1.5700000000000002E-2</v>
      </c>
      <c r="R19" s="2630"/>
      <c r="S19" s="2631"/>
      <c r="T19" s="2632"/>
      <c r="U19" s="2632"/>
      <c r="V19" s="2632"/>
      <c r="X19" s="3184">
        <f>ROUND(SUMPRODUCT(PRODUCT(1+N19:N$30)),4)</f>
        <v>1.3119000000000001</v>
      </c>
      <c r="Y19" s="3184">
        <f>ROUND(SUMPRODUCT(PRODUCT(1+O19:O$30)),4)</f>
        <v>1.2016</v>
      </c>
      <c r="Z19" s="3184">
        <f t="shared" si="72"/>
        <v>1.2016</v>
      </c>
      <c r="AA19" s="3184">
        <f>ROUND(SUMPRODUCT(PRODUCT(1+P19:P$30)),4)</f>
        <v>1.3515999999999999</v>
      </c>
      <c r="AB19" s="3184">
        <f>ROUND(SUMPRODUCT(PRODUCT(1+Q19:Q$30)),4)</f>
        <v>1.1708000000000001</v>
      </c>
      <c r="AD19" s="2638">
        <f>ROUND(AVERAGE(I19:I$30)/100,4)</f>
        <v>2.3E-2</v>
      </c>
      <c r="AE19" s="2638">
        <f>ROUND(AVERAGE(J19:J$30)/100,4)</f>
        <v>1.55E-2</v>
      </c>
      <c r="AF19" s="2638">
        <f t="shared" si="1"/>
        <v>1.55E-2</v>
      </c>
      <c r="AG19" s="2638">
        <f>ROUND(AVERAGE(K19:K$30)/100,4)</f>
        <v>2.5600000000000001E-2</v>
      </c>
      <c r="AH19" s="2638">
        <f>ROUND(AVERAGE(L19:L$30)/100,4)</f>
        <v>1.32E-2</v>
      </c>
    </row>
    <row r="20" spans="1:34">
      <c r="A20" s="2620" t="s">
        <v>969</v>
      </c>
      <c r="B20" s="2633">
        <f t="shared" ref="B20:C22" si="113">B19/(1+N19)</f>
        <v>374.90436113236416</v>
      </c>
      <c r="C20" s="2633">
        <f t="shared" si="113"/>
        <v>295.64366128242779</v>
      </c>
      <c r="D20" s="2633">
        <f t="shared" ref="D20:D79" si="114">C20</f>
        <v>295.64366128242779</v>
      </c>
      <c r="E20" s="2633">
        <f t="shared" ref="E20:F22" si="115">E19/(1+P19)</f>
        <v>525.06646410938095</v>
      </c>
      <c r="F20" s="2633">
        <f t="shared" si="115"/>
        <v>261.88835286009646</v>
      </c>
      <c r="G20" s="3570"/>
      <c r="H20" s="2623">
        <v>3</v>
      </c>
      <c r="I20" s="2623">
        <v>4.12</v>
      </c>
      <c r="J20" s="2623">
        <v>2</v>
      </c>
      <c r="K20" s="2623">
        <v>4.79</v>
      </c>
      <c r="L20" s="2634">
        <v>1.97</v>
      </c>
      <c r="N20" s="2628">
        <f t="shared" ref="N20:Q54" si="116">I20/100</f>
        <v>4.1200000000000001E-2</v>
      </c>
      <c r="O20" s="2629">
        <f t="shared" si="112"/>
        <v>0.02</v>
      </c>
      <c r="P20" s="2629">
        <f t="shared" si="112"/>
        <v>4.7899999999999998E-2</v>
      </c>
      <c r="Q20" s="2629">
        <f t="shared" si="112"/>
        <v>1.9699999999999999E-2</v>
      </c>
      <c r="R20" s="2630"/>
      <c r="S20" s="2628"/>
      <c r="T20" s="2629"/>
      <c r="U20" s="2629"/>
      <c r="V20" s="2629"/>
      <c r="X20" s="3184">
        <f>ROUND(SUMPRODUCT(PRODUCT(1+N20:N$30)),4)</f>
        <v>1.2546999999999999</v>
      </c>
      <c r="Y20" s="3184">
        <f>ROUND(SUMPRODUCT(PRODUCT(1+O20:O$30)),4)</f>
        <v>1.1762999999999999</v>
      </c>
      <c r="Z20" s="3184">
        <f t="shared" si="72"/>
        <v>1.1762999999999999</v>
      </c>
      <c r="AA20" s="3184">
        <f>ROUND(SUMPRODUCT(PRODUCT(1+P20:P$30)),4)</f>
        <v>1.2833000000000001</v>
      </c>
      <c r="AB20" s="3184">
        <f>ROUND(SUMPRODUCT(PRODUCT(1+Q20:Q$30)),4)</f>
        <v>1.1527000000000001</v>
      </c>
      <c r="AD20" s="2638">
        <f>ROUND(AVERAGE(I20:I$30)/100,4)</f>
        <v>2.0899999999999998E-2</v>
      </c>
      <c r="AE20" s="2638">
        <f>ROUND(AVERAGE(J20:J$30)/100,4)</f>
        <v>1.49E-2</v>
      </c>
      <c r="AF20" s="2638">
        <f t="shared" si="1"/>
        <v>1.49E-2</v>
      </c>
      <c r="AG20" s="2638">
        <f>ROUND(AVERAGE(K20:K$30)/100,4)</f>
        <v>2.3099999999999999E-2</v>
      </c>
      <c r="AH20" s="2638">
        <f>ROUND(AVERAGE(L20:L$30)/100,4)</f>
        <v>1.2999999999999999E-2</v>
      </c>
    </row>
    <row r="21" spans="1:34">
      <c r="A21" s="2620" t="s">
        <v>959</v>
      </c>
      <c r="B21" s="2633">
        <f t="shared" si="113"/>
        <v>360.06949782209392</v>
      </c>
      <c r="C21" s="2633">
        <f t="shared" si="113"/>
        <v>289.84672674747821</v>
      </c>
      <c r="D21" s="2633">
        <f t="shared" si="114"/>
        <v>289.84672674747821</v>
      </c>
      <c r="E21" s="2633">
        <f t="shared" si="115"/>
        <v>501.06543001181495</v>
      </c>
      <c r="F21" s="2633">
        <f t="shared" si="115"/>
        <v>256.82882500744967</v>
      </c>
      <c r="G21" s="3570"/>
      <c r="H21" s="2624">
        <v>2</v>
      </c>
      <c r="I21" s="2624">
        <v>3.85</v>
      </c>
      <c r="J21" s="2624">
        <v>1.95</v>
      </c>
      <c r="K21" s="2624">
        <v>4.4800000000000004</v>
      </c>
      <c r="L21" s="2635">
        <v>1.41</v>
      </c>
      <c r="N21" s="2628">
        <f t="shared" si="116"/>
        <v>3.85E-2</v>
      </c>
      <c r="O21" s="2629">
        <f t="shared" si="112"/>
        <v>1.95E-2</v>
      </c>
      <c r="P21" s="2629">
        <f t="shared" si="112"/>
        <v>4.4800000000000006E-2</v>
      </c>
      <c r="Q21" s="2629">
        <f t="shared" si="112"/>
        <v>1.41E-2</v>
      </c>
      <c r="R21" s="2630"/>
      <c r="S21" s="2628"/>
      <c r="T21" s="2629"/>
      <c r="U21" s="2629"/>
      <c r="V21" s="2629"/>
      <c r="X21" s="3184">
        <f>ROUND(SUMPRODUCT(PRODUCT(1+N21:N$30)),4)</f>
        <v>1.2050000000000001</v>
      </c>
      <c r="Y21" s="3184">
        <f>ROUND(SUMPRODUCT(PRODUCT(1+O21:O$30)),4)</f>
        <v>1.1532</v>
      </c>
      <c r="Z21" s="3184">
        <f t="shared" si="72"/>
        <v>1.1532</v>
      </c>
      <c r="AA21" s="3184">
        <f>ROUND(SUMPRODUCT(PRODUCT(1+P21:P$30)),4)</f>
        <v>1.2246999999999999</v>
      </c>
      <c r="AB21" s="3184">
        <f>ROUND(SUMPRODUCT(PRODUCT(1+Q21:Q$30)),4)</f>
        <v>1.1304000000000001</v>
      </c>
      <c r="AD21" s="2638">
        <f>ROUND(AVERAGE(I21:I$30)/100,4)</f>
        <v>1.89E-2</v>
      </c>
      <c r="AE21" s="2638">
        <f>ROUND(AVERAGE(J21:J$30)/100,4)</f>
        <v>1.44E-2</v>
      </c>
      <c r="AF21" s="2638">
        <f t="shared" si="1"/>
        <v>1.44E-2</v>
      </c>
      <c r="AG21" s="2638">
        <f>ROUND(AVERAGE(K21:K$30)/100,4)</f>
        <v>2.06E-2</v>
      </c>
      <c r="AH21" s="2638">
        <f>ROUND(AVERAGE(L21:L$30)/100,4)</f>
        <v>1.23E-2</v>
      </c>
    </row>
    <row r="22" spans="1:34" ht="13.5" thickBot="1">
      <c r="A22" s="2620" t="s">
        <v>968</v>
      </c>
      <c r="B22" s="2633">
        <f t="shared" si="113"/>
        <v>346.720748986128</v>
      </c>
      <c r="C22" s="2633">
        <f t="shared" si="113"/>
        <v>284.30282172386285</v>
      </c>
      <c r="D22" s="2633">
        <f t="shared" si="114"/>
        <v>284.30282172386285</v>
      </c>
      <c r="E22" s="2633">
        <f t="shared" si="115"/>
        <v>479.58023546306947</v>
      </c>
      <c r="F22" s="2633">
        <f t="shared" si="115"/>
        <v>253.25788877571213</v>
      </c>
      <c r="G22" s="3573"/>
      <c r="H22" s="2623">
        <v>1</v>
      </c>
      <c r="I22" s="2623">
        <v>4.09</v>
      </c>
      <c r="J22" s="2623">
        <v>2.93</v>
      </c>
      <c r="K22" s="2623">
        <v>4.54</v>
      </c>
      <c r="L22" s="2634">
        <v>1.48</v>
      </c>
      <c r="N22" s="2628">
        <f t="shared" si="116"/>
        <v>4.0899999999999999E-2</v>
      </c>
      <c r="O22" s="2629">
        <f t="shared" si="112"/>
        <v>2.9300000000000003E-2</v>
      </c>
      <c r="P22" s="2629">
        <f t="shared" si="112"/>
        <v>4.5400000000000003E-2</v>
      </c>
      <c r="Q22" s="2629">
        <f t="shared" si="112"/>
        <v>1.4800000000000001E-2</v>
      </c>
      <c r="R22" s="2630"/>
      <c r="S22" s="2636">
        <f>B22/B23-1</f>
        <v>4.1203450408792808E-2</v>
      </c>
      <c r="T22" s="2637">
        <f>C22/C23-1</f>
        <v>2.6363977342465095E-2</v>
      </c>
      <c r="U22" s="2637">
        <f>E22/E23-1</f>
        <v>4.4837114298626357E-2</v>
      </c>
      <c r="V22" s="2637">
        <f>F22/F23-1</f>
        <v>1.7099954922538574E-2</v>
      </c>
      <c r="X22" s="3184">
        <f>ROUND(SUMPRODUCT(PRODUCT(1+N22:N$30)),4)</f>
        <v>1.1604000000000001</v>
      </c>
      <c r="Y22" s="3184">
        <f>ROUND(SUMPRODUCT(PRODUCT(1+O22:O$30)),4)</f>
        <v>1.1312</v>
      </c>
      <c r="Z22" s="3184">
        <f t="shared" si="72"/>
        <v>1.1312</v>
      </c>
      <c r="AA22" s="3184">
        <f>ROUND(SUMPRODUCT(PRODUCT(1+P22:P$30)),4)</f>
        <v>1.1721999999999999</v>
      </c>
      <c r="AB22" s="3184">
        <f>ROUND(SUMPRODUCT(PRODUCT(1+Q22:Q$30)),4)</f>
        <v>1.1147</v>
      </c>
      <c r="AD22" s="2638">
        <f>ROUND(AVERAGE(I22:I$30)/100,4)</f>
        <v>1.67E-2</v>
      </c>
      <c r="AE22" s="2638">
        <f>ROUND(AVERAGE(J22:J$30)/100,4)</f>
        <v>1.38E-2</v>
      </c>
      <c r="AF22" s="2638">
        <f t="shared" si="1"/>
        <v>1.38E-2</v>
      </c>
      <c r="AG22" s="2638">
        <f>ROUND(AVERAGE(K22:K$30)/100,4)</f>
        <v>1.7899999999999999E-2</v>
      </c>
      <c r="AH22" s="2638">
        <f>ROUND(AVERAGE(L22:L$30)/100,4)</f>
        <v>1.21E-2</v>
      </c>
    </row>
    <row r="23" spans="1:34" ht="13.5" thickBot="1">
      <c r="A23" s="2620" t="s">
        <v>967</v>
      </c>
      <c r="B23" s="2625">
        <v>333</v>
      </c>
      <c r="C23" s="2625">
        <v>277</v>
      </c>
      <c r="D23" s="2625">
        <f t="shared" si="114"/>
        <v>277</v>
      </c>
      <c r="E23" s="2625">
        <v>459</v>
      </c>
      <c r="F23" s="2626">
        <v>249</v>
      </c>
      <c r="G23" s="3572">
        <v>2015</v>
      </c>
      <c r="H23" s="2639">
        <v>4</v>
      </c>
      <c r="I23" s="2639">
        <v>1.63</v>
      </c>
      <c r="J23" s="2639">
        <v>1.1100000000000001</v>
      </c>
      <c r="K23" s="2639">
        <v>1.77</v>
      </c>
      <c r="L23" s="2640">
        <v>1.89</v>
      </c>
      <c r="N23" s="2641">
        <f t="shared" si="116"/>
        <v>1.6299999999999999E-2</v>
      </c>
      <c r="O23" s="2642">
        <f t="shared" si="112"/>
        <v>1.11E-2</v>
      </c>
      <c r="P23" s="2642">
        <f t="shared" si="112"/>
        <v>1.77E-2</v>
      </c>
      <c r="Q23" s="2642">
        <f t="shared" si="112"/>
        <v>1.89E-2</v>
      </c>
      <c r="R23" s="2630"/>
      <c r="X23" s="3184">
        <f>ROUND(SUMPRODUCT(PRODUCT(1+N23:N$30)),4)</f>
        <v>1.1148</v>
      </c>
      <c r="Y23" s="3184">
        <f>ROUND(SUMPRODUCT(PRODUCT(1+O23:O$30)),4)</f>
        <v>1.099</v>
      </c>
      <c r="Z23" s="3184">
        <f t="shared" si="72"/>
        <v>1.099</v>
      </c>
      <c r="AA23" s="3184">
        <f>ROUND(SUMPRODUCT(PRODUCT(1+P23:P$30)),4)</f>
        <v>1.1213</v>
      </c>
      <c r="AB23" s="3184">
        <f>ROUND(SUMPRODUCT(PRODUCT(1+Q23:Q$30)),4)</f>
        <v>1.0984</v>
      </c>
      <c r="AD23" s="2638">
        <f>ROUND(AVERAGE(I23:I$30)/100,4)</f>
        <v>1.37E-2</v>
      </c>
      <c r="AE23" s="2638">
        <f>ROUND(AVERAGE(J23:J$30)/100,4)</f>
        <v>1.1900000000000001E-2</v>
      </c>
      <c r="AF23" s="2638">
        <f t="shared" si="1"/>
        <v>1.1900000000000001E-2</v>
      </c>
      <c r="AG23" s="2638">
        <f>ROUND(AVERAGE(K23:K$30)/100,4)</f>
        <v>1.4500000000000001E-2</v>
      </c>
      <c r="AH23" s="2638">
        <f>ROUND(AVERAGE(L23:L$30)/100,4)</f>
        <v>1.18E-2</v>
      </c>
    </row>
    <row r="24" spans="1:34">
      <c r="A24" s="2620" t="s">
        <v>966</v>
      </c>
      <c r="B24" s="2633">
        <f t="shared" ref="B24:C26" si="117">B23/(1+N23)</f>
        <v>327.65915576109415</v>
      </c>
      <c r="C24" s="2633">
        <f t="shared" si="117"/>
        <v>273.95905449510434</v>
      </c>
      <c r="D24" s="2633">
        <f t="shared" si="114"/>
        <v>273.95905449510434</v>
      </c>
      <c r="E24" s="2633">
        <f t="shared" ref="E24:F26" si="118">E23/(1+P23)</f>
        <v>451.01699911565294</v>
      </c>
      <c r="F24" s="2633">
        <f t="shared" si="118"/>
        <v>244.38119540681129</v>
      </c>
      <c r="G24" s="3570"/>
      <c r="H24" s="2644">
        <v>3</v>
      </c>
      <c r="I24" s="2644">
        <v>1.65</v>
      </c>
      <c r="J24" s="2644">
        <v>0.92</v>
      </c>
      <c r="K24" s="2644">
        <v>1.88</v>
      </c>
      <c r="L24" s="2645">
        <v>1.26</v>
      </c>
      <c r="N24" s="2628">
        <f t="shared" si="116"/>
        <v>1.6500000000000001E-2</v>
      </c>
      <c r="O24" s="2646">
        <f t="shared" si="112"/>
        <v>9.1999999999999998E-3</v>
      </c>
      <c r="P24" s="2646">
        <f t="shared" si="112"/>
        <v>1.8799999999999997E-2</v>
      </c>
      <c r="Q24" s="2646">
        <f t="shared" si="112"/>
        <v>1.26E-2</v>
      </c>
      <c r="R24" s="2630"/>
      <c r="S24" s="2628"/>
      <c r="T24" s="2629"/>
      <c r="U24" s="2629"/>
      <c r="V24" s="2629"/>
      <c r="X24" s="3184">
        <f>ROUND(SUMPRODUCT(PRODUCT(1+N24:N$30)),4)</f>
        <v>1.0969</v>
      </c>
      <c r="Y24" s="3184">
        <f>ROUND(SUMPRODUCT(PRODUCT(1+O24:O$30)),4)</f>
        <v>1.0869</v>
      </c>
      <c r="Z24" s="3184">
        <f t="shared" si="72"/>
        <v>1.0869</v>
      </c>
      <c r="AA24" s="3184">
        <f>ROUND(SUMPRODUCT(PRODUCT(1+P24:P$30)),4)</f>
        <v>1.1017999999999999</v>
      </c>
      <c r="AB24" s="3184">
        <f>ROUND(SUMPRODUCT(PRODUCT(1+Q24:Q$30)),4)</f>
        <v>1.0781000000000001</v>
      </c>
      <c r="AD24" s="2638">
        <f>ROUND(AVERAGE(I24:I$30)/100,4)</f>
        <v>1.3299999999999999E-2</v>
      </c>
      <c r="AE24" s="2638">
        <f>ROUND(AVERAGE(J24:J$30)/100,4)</f>
        <v>1.2E-2</v>
      </c>
      <c r="AF24" s="2638">
        <f t="shared" si="1"/>
        <v>1.2E-2</v>
      </c>
      <c r="AG24" s="2638">
        <f>ROUND(AVERAGE(K24:K$30)/100,4)</f>
        <v>1.4E-2</v>
      </c>
      <c r="AH24" s="2638">
        <f>ROUND(AVERAGE(L24:L$30)/100,4)</f>
        <v>1.0800000000000001E-2</v>
      </c>
    </row>
    <row r="25" spans="1:34">
      <c r="A25" s="2620" t="s">
        <v>965</v>
      </c>
      <c r="B25" s="2633">
        <f t="shared" si="117"/>
        <v>322.34053690220776</v>
      </c>
      <c r="C25" s="2633">
        <f t="shared" si="117"/>
        <v>271.46160770422546</v>
      </c>
      <c r="D25" s="2633">
        <f t="shared" si="114"/>
        <v>271.46160770422546</v>
      </c>
      <c r="E25" s="2633">
        <f t="shared" si="118"/>
        <v>442.69434542172456</v>
      </c>
      <c r="F25" s="2633">
        <f t="shared" si="118"/>
        <v>241.34030753190925</v>
      </c>
      <c r="G25" s="3570"/>
      <c r="H25" s="2624">
        <v>2</v>
      </c>
      <c r="I25" s="2624">
        <v>0.77</v>
      </c>
      <c r="J25" s="2624">
        <v>0.69</v>
      </c>
      <c r="K25" s="2624">
        <v>0.8</v>
      </c>
      <c r="L25" s="2635">
        <v>0.88</v>
      </c>
      <c r="N25" s="2628">
        <f t="shared" si="116"/>
        <v>7.7000000000000002E-3</v>
      </c>
      <c r="O25" s="2646">
        <f t="shared" si="112"/>
        <v>6.8999999999999999E-3</v>
      </c>
      <c r="P25" s="2646">
        <f t="shared" si="112"/>
        <v>8.0000000000000002E-3</v>
      </c>
      <c r="Q25" s="2646">
        <f t="shared" si="112"/>
        <v>8.8000000000000005E-3</v>
      </c>
      <c r="R25" s="2630"/>
      <c r="S25" s="2628"/>
      <c r="T25" s="2629"/>
      <c r="U25" s="2629"/>
      <c r="V25" s="2629"/>
      <c r="X25" s="3184">
        <f>ROUND(SUMPRODUCT(PRODUCT(1+N25:N$30)),4)</f>
        <v>1.0790999999999999</v>
      </c>
      <c r="Y25" s="3184">
        <f>ROUND(SUMPRODUCT(PRODUCT(1+O25:O$30)),4)</f>
        <v>1.077</v>
      </c>
      <c r="Z25" s="3184">
        <f t="shared" si="72"/>
        <v>1.077</v>
      </c>
      <c r="AA25" s="3184">
        <f>ROUND(SUMPRODUCT(PRODUCT(1+P25:P$30)),4)</f>
        <v>1.0813999999999999</v>
      </c>
      <c r="AB25" s="3184">
        <f>ROUND(SUMPRODUCT(PRODUCT(1+Q25:Q$30)),4)</f>
        <v>1.0647</v>
      </c>
      <c r="AD25" s="2638">
        <f>ROUND(AVERAGE(I25:I$30)/100,4)</f>
        <v>1.2800000000000001E-2</v>
      </c>
      <c r="AE25" s="2638">
        <f>ROUND(AVERAGE(J25:J$30)/100,4)</f>
        <v>1.2500000000000001E-2</v>
      </c>
      <c r="AF25" s="2638">
        <f t="shared" si="1"/>
        <v>1.2500000000000001E-2</v>
      </c>
      <c r="AG25" s="2638">
        <f>ROUND(AVERAGE(K25:K$30)/100,4)</f>
        <v>1.32E-2</v>
      </c>
      <c r="AH25" s="2638">
        <f>ROUND(AVERAGE(L25:L$30)/100,4)</f>
        <v>1.0500000000000001E-2</v>
      </c>
    </row>
    <row r="26" spans="1:34">
      <c r="A26" s="2620" t="s">
        <v>964</v>
      </c>
      <c r="B26" s="2633">
        <f t="shared" si="117"/>
        <v>319.87748030386797</v>
      </c>
      <c r="C26" s="2633">
        <f t="shared" si="117"/>
        <v>269.60135833173649</v>
      </c>
      <c r="D26" s="2633">
        <f t="shared" si="114"/>
        <v>269.60135833173649</v>
      </c>
      <c r="E26" s="2633">
        <f t="shared" si="118"/>
        <v>439.18089823583784</v>
      </c>
      <c r="F26" s="2633">
        <f t="shared" si="118"/>
        <v>239.23503918706311</v>
      </c>
      <c r="G26" s="3573"/>
      <c r="H26" s="2623">
        <v>1</v>
      </c>
      <c r="I26" s="2623">
        <v>0.51</v>
      </c>
      <c r="J26" s="2623">
        <v>0.54</v>
      </c>
      <c r="K26" s="2623">
        <v>0.48</v>
      </c>
      <c r="L26" s="2634">
        <v>0.93</v>
      </c>
      <c r="N26" s="2636">
        <f t="shared" si="116"/>
        <v>5.1000000000000004E-3</v>
      </c>
      <c r="O26" s="2637">
        <f t="shared" si="112"/>
        <v>5.4000000000000003E-3</v>
      </c>
      <c r="P26" s="2637">
        <f t="shared" si="112"/>
        <v>4.7999999999999996E-3</v>
      </c>
      <c r="Q26" s="2637">
        <f t="shared" si="112"/>
        <v>9.300000000000001E-3</v>
      </c>
      <c r="R26" s="2630"/>
      <c r="S26" s="2636">
        <f>B26/B27-1</f>
        <v>5.9040261127922822E-3</v>
      </c>
      <c r="T26" s="2637">
        <f>C26/C27-1</f>
        <v>5.9752176557332781E-3</v>
      </c>
      <c r="U26" s="2637">
        <f>E26/E27-1</f>
        <v>4.9906138119859556E-3</v>
      </c>
      <c r="V26" s="2637">
        <f>F26/F27-1</f>
        <v>9.4305450930933787E-3</v>
      </c>
      <c r="X26" s="3184">
        <f>ROUND(SUMPRODUCT(PRODUCT(1+N26:N$30)),4)</f>
        <v>1.0708</v>
      </c>
      <c r="Y26" s="3184">
        <f>ROUND(SUMPRODUCT(PRODUCT(1+O26:O$30)),4)</f>
        <v>1.0696000000000001</v>
      </c>
      <c r="Z26" s="3184">
        <f t="shared" si="72"/>
        <v>1.0696000000000001</v>
      </c>
      <c r="AA26" s="3184">
        <f>ROUND(SUMPRODUCT(PRODUCT(1+P26:P$30)),4)</f>
        <v>1.0728</v>
      </c>
      <c r="AB26" s="3184">
        <f>ROUND(SUMPRODUCT(PRODUCT(1+Q26:Q$30)),4)</f>
        <v>1.0553999999999999</v>
      </c>
      <c r="AD26" s="2638">
        <f>ROUND(AVERAGE(I26:I$30)/100,4)</f>
        <v>1.38E-2</v>
      </c>
      <c r="AE26" s="2638">
        <f>ROUND(AVERAGE(J26:J$30)/100,4)</f>
        <v>1.3599999999999999E-2</v>
      </c>
      <c r="AF26" s="2638">
        <f t="shared" si="1"/>
        <v>1.3599999999999999E-2</v>
      </c>
      <c r="AG26" s="2638">
        <f>ROUND(AVERAGE(K26:K$30)/100,4)</f>
        <v>1.4200000000000001E-2</v>
      </c>
      <c r="AH26" s="2638">
        <f>ROUND(AVERAGE(L26:L$30)/100,4)</f>
        <v>1.0800000000000001E-2</v>
      </c>
    </row>
    <row r="27" spans="1:34" ht="13.5" thickBot="1">
      <c r="A27" s="2620" t="s">
        <v>963</v>
      </c>
      <c r="B27" s="2647">
        <v>318</v>
      </c>
      <c r="C27" s="2647">
        <v>268</v>
      </c>
      <c r="D27" s="2647">
        <f t="shared" si="114"/>
        <v>268</v>
      </c>
      <c r="E27" s="2647">
        <v>437</v>
      </c>
      <c r="F27" s="2648">
        <v>237</v>
      </c>
      <c r="G27" s="3572">
        <v>2014</v>
      </c>
      <c r="H27" s="2639">
        <v>4</v>
      </c>
      <c r="I27" s="2639">
        <v>0.21</v>
      </c>
      <c r="J27" s="2639">
        <v>0.41</v>
      </c>
      <c r="K27" s="2639">
        <v>0.12</v>
      </c>
      <c r="L27" s="2640">
        <v>0.89</v>
      </c>
      <c r="N27" s="2628">
        <f t="shared" si="116"/>
        <v>2.0999999999999999E-3</v>
      </c>
      <c r="O27" s="2629">
        <f t="shared" si="112"/>
        <v>4.0999999999999995E-3</v>
      </c>
      <c r="P27" s="2629">
        <f t="shared" si="112"/>
        <v>1.1999999999999999E-3</v>
      </c>
      <c r="Q27" s="2629">
        <f t="shared" si="112"/>
        <v>8.8999999999999999E-3</v>
      </c>
      <c r="R27" s="2630"/>
      <c r="S27" s="2631"/>
      <c r="T27" s="2632"/>
      <c r="U27" s="2632"/>
      <c r="V27" s="2632"/>
      <c r="X27" s="3184">
        <f>ROUND(SUMPRODUCT(PRODUCT(1+N27:N$30)),4)</f>
        <v>1.0653999999999999</v>
      </c>
      <c r="Y27" s="3184">
        <f>ROUND(SUMPRODUCT(PRODUCT(1+O27:O$30)),4)</f>
        <v>1.0639000000000001</v>
      </c>
      <c r="Z27" s="3184">
        <f t="shared" si="72"/>
        <v>1.0639000000000001</v>
      </c>
      <c r="AA27" s="3184">
        <f>ROUND(SUMPRODUCT(PRODUCT(1+P27:P$30)),4)</f>
        <v>1.0677000000000001</v>
      </c>
      <c r="AB27" s="3184">
        <f>ROUND(SUMPRODUCT(PRODUCT(1+Q27:Q$30)),4)</f>
        <v>1.0456000000000001</v>
      </c>
      <c r="AD27" s="2638">
        <f>ROUND(AVERAGE(I27:I$30)/100,4)</f>
        <v>1.6E-2</v>
      </c>
      <c r="AE27" s="2638">
        <f>ROUND(AVERAGE(J27:J$30)/100,4)</f>
        <v>1.5599999999999999E-2</v>
      </c>
      <c r="AF27" s="2638">
        <f t="shared" si="1"/>
        <v>1.5599999999999999E-2</v>
      </c>
      <c r="AG27" s="2638">
        <f>ROUND(AVERAGE(K27:K$30)/100,4)</f>
        <v>1.66E-2</v>
      </c>
      <c r="AH27" s="2638">
        <f>ROUND(AVERAGE(L27:L$30)/100,4)</f>
        <v>1.12E-2</v>
      </c>
    </row>
    <row r="28" spans="1:34">
      <c r="A28" s="2620" t="s">
        <v>962</v>
      </c>
      <c r="B28" s="2633">
        <f t="shared" ref="B28:C30" si="119">B27/(1+N27)</f>
        <v>317.33359944117353</v>
      </c>
      <c r="C28" s="2633">
        <f t="shared" si="119"/>
        <v>266.90568668459315</v>
      </c>
      <c r="D28" s="2633">
        <f t="shared" si="114"/>
        <v>266.90568668459315</v>
      </c>
      <c r="E28" s="2633">
        <f t="shared" ref="E28:F30" si="120">E27/(1+P27)</f>
        <v>436.47622852576905</v>
      </c>
      <c r="F28" s="2633">
        <f t="shared" si="120"/>
        <v>234.90930716622066</v>
      </c>
      <c r="G28" s="3570"/>
      <c r="H28" s="2649">
        <v>3</v>
      </c>
      <c r="I28" s="2649">
        <v>0.83</v>
      </c>
      <c r="J28" s="2649">
        <v>1.47</v>
      </c>
      <c r="K28" s="2649">
        <v>0.65</v>
      </c>
      <c r="L28" s="2650">
        <v>0.72</v>
      </c>
      <c r="N28" s="2628">
        <f t="shared" si="116"/>
        <v>8.3000000000000001E-3</v>
      </c>
      <c r="O28" s="2629">
        <f t="shared" si="112"/>
        <v>1.47E-2</v>
      </c>
      <c r="P28" s="2629">
        <f t="shared" si="112"/>
        <v>6.5000000000000006E-3</v>
      </c>
      <c r="Q28" s="2629">
        <f t="shared" si="112"/>
        <v>7.1999999999999998E-3</v>
      </c>
      <c r="R28" s="2630"/>
      <c r="S28" s="2628"/>
      <c r="T28" s="2629"/>
      <c r="U28" s="2629"/>
      <c r="V28" s="2629"/>
      <c r="X28" s="3184">
        <f>ROUND(SUMPRODUCT(PRODUCT(1+N28:N$30)),4)</f>
        <v>1.0631999999999999</v>
      </c>
      <c r="Y28" s="3184">
        <f>ROUND(SUMPRODUCT(PRODUCT(1+O28:O$30)),4)</f>
        <v>1.0595000000000001</v>
      </c>
      <c r="Z28" s="3184">
        <f t="shared" si="72"/>
        <v>1.0595000000000001</v>
      </c>
      <c r="AA28" s="3184">
        <f>ROUND(SUMPRODUCT(PRODUCT(1+P28:P$30)),4)</f>
        <v>1.0664</v>
      </c>
      <c r="AB28" s="3184">
        <f>ROUND(SUMPRODUCT(PRODUCT(1+Q28:Q$30)),4)</f>
        <v>1.0364</v>
      </c>
      <c r="AD28" s="2638">
        <f>ROUND(AVERAGE(I28:I$30)/100,4)</f>
        <v>2.07E-2</v>
      </c>
      <c r="AE28" s="2638">
        <f>ROUND(AVERAGE(J28:J$30)/100,4)</f>
        <v>1.95E-2</v>
      </c>
      <c r="AF28" s="2638">
        <f t="shared" si="1"/>
        <v>1.95E-2</v>
      </c>
      <c r="AG28" s="2638">
        <f>ROUND(AVERAGE(K28:K$30)/100,4)</f>
        <v>2.1700000000000001E-2</v>
      </c>
      <c r="AH28" s="2638">
        <f>ROUND(AVERAGE(L28:L$30)/100,4)</f>
        <v>1.2E-2</v>
      </c>
    </row>
    <row r="29" spans="1:34" ht="13.5" thickBot="1">
      <c r="A29" s="2620" t="s">
        <v>961</v>
      </c>
      <c r="B29" s="2633">
        <f t="shared" si="119"/>
        <v>314.72141172386546</v>
      </c>
      <c r="C29" s="2633">
        <f t="shared" si="119"/>
        <v>263.03901319069001</v>
      </c>
      <c r="D29" s="2633">
        <f t="shared" si="114"/>
        <v>263.03901319069001</v>
      </c>
      <c r="E29" s="2633">
        <f t="shared" si="120"/>
        <v>433.65745506782821</v>
      </c>
      <c r="F29" s="2633">
        <f t="shared" si="120"/>
        <v>233.23005080045735</v>
      </c>
      <c r="G29" s="3570"/>
      <c r="H29" s="2639">
        <v>2</v>
      </c>
      <c r="I29" s="2639">
        <v>2.4</v>
      </c>
      <c r="J29" s="2639">
        <v>2.0299999999999998</v>
      </c>
      <c r="K29" s="2639">
        <v>2.59</v>
      </c>
      <c r="L29" s="2640">
        <v>1.52</v>
      </c>
      <c r="N29" s="2628">
        <f t="shared" si="116"/>
        <v>2.4E-2</v>
      </c>
      <c r="O29" s="2629">
        <f t="shared" si="112"/>
        <v>2.0299999999999999E-2</v>
      </c>
      <c r="P29" s="2629">
        <f t="shared" si="112"/>
        <v>2.5899999999999999E-2</v>
      </c>
      <c r="Q29" s="2629">
        <f t="shared" si="112"/>
        <v>1.52E-2</v>
      </c>
      <c r="R29" s="2630"/>
      <c r="S29" s="2628"/>
      <c r="T29" s="2629"/>
      <c r="U29" s="2629"/>
      <c r="V29" s="2629"/>
      <c r="X29" s="3184">
        <f>ROUND(SUMPRODUCT(PRODUCT(1+N29:N$30)),4)</f>
        <v>1.0544</v>
      </c>
      <c r="Y29" s="3184">
        <f>ROUND(SUMPRODUCT(PRODUCT(1+O29:O$30)),4)</f>
        <v>1.0442</v>
      </c>
      <c r="Z29" s="3184">
        <f t="shared" si="72"/>
        <v>1.0442</v>
      </c>
      <c r="AA29" s="3184">
        <f>ROUND(SUMPRODUCT(PRODUCT(1+P29:P$30)),4)</f>
        <v>1.0595000000000001</v>
      </c>
      <c r="AB29" s="3184">
        <f>ROUND(SUMPRODUCT(PRODUCT(1+Q29:Q$30)),4)</f>
        <v>1.0289999999999999</v>
      </c>
      <c r="AD29" s="2638">
        <f>ROUND(AVERAGE(I29:I$30)/100,4)</f>
        <v>2.69E-2</v>
      </c>
      <c r="AE29" s="2638">
        <f>ROUND(AVERAGE(J29:J$30)/100,4)</f>
        <v>2.1899999999999999E-2</v>
      </c>
      <c r="AF29" s="2638">
        <f t="shared" ref="AF29" si="121">AE29</f>
        <v>2.1899999999999999E-2</v>
      </c>
      <c r="AG29" s="2638">
        <f>ROUND(AVERAGE(K29:K$30)/100,4)</f>
        <v>2.9399999999999999E-2</v>
      </c>
      <c r="AH29" s="2638">
        <f>ROUND(AVERAGE(L29:L$30)/100,4)</f>
        <v>1.44E-2</v>
      </c>
    </row>
    <row r="30" spans="1:34" s="2655" customFormat="1" ht="13.5" thickBot="1">
      <c r="A30" s="2651" t="s">
        <v>960</v>
      </c>
      <c r="B30" s="2652">
        <f t="shared" si="119"/>
        <v>307.34512863658733</v>
      </c>
      <c r="C30" s="2652">
        <f t="shared" si="119"/>
        <v>257.80556031626975</v>
      </c>
      <c r="D30" s="2652">
        <f t="shared" si="114"/>
        <v>257.80556031626975</v>
      </c>
      <c r="E30" s="2652">
        <f t="shared" si="120"/>
        <v>422.70928459677179</v>
      </c>
      <c r="F30" s="2652">
        <f t="shared" si="120"/>
        <v>229.73803270336617</v>
      </c>
      <c r="G30" s="3573"/>
      <c r="H30" s="2653">
        <v>1</v>
      </c>
      <c r="I30" s="2653">
        <v>2.97</v>
      </c>
      <c r="J30" s="2653">
        <v>2.34</v>
      </c>
      <c r="K30" s="2653">
        <v>3.28</v>
      </c>
      <c r="L30" s="2654">
        <v>1.36</v>
      </c>
      <c r="N30" s="2656">
        <f t="shared" si="116"/>
        <v>2.9700000000000001E-2</v>
      </c>
      <c r="O30" s="2657">
        <f t="shared" si="112"/>
        <v>2.3399999999999997E-2</v>
      </c>
      <c r="P30" s="2657">
        <f t="shared" si="112"/>
        <v>3.2799999999999996E-2</v>
      </c>
      <c r="Q30" s="2657">
        <f t="shared" si="112"/>
        <v>1.3600000000000001E-2</v>
      </c>
      <c r="R30" s="2658"/>
      <c r="S30" s="2659">
        <f>B30/B31-1</f>
        <v>2.7910129219355539E-2</v>
      </c>
      <c r="T30" s="2660">
        <f>C30/C31-1</f>
        <v>2.3037937762975247E-2</v>
      </c>
      <c r="U30" s="2660">
        <f>E30/E31-1</f>
        <v>3.3519033243940788E-2</v>
      </c>
      <c r="V30" s="2660">
        <f>F30/F31-1</f>
        <v>1.2061818076502862E-2</v>
      </c>
      <c r="W30" s="2727" t="s">
        <v>2636</v>
      </c>
      <c r="X30" s="2729">
        <v>1</v>
      </c>
      <c r="Y30" s="2729">
        <v>1</v>
      </c>
      <c r="Z30" s="2729">
        <v>1</v>
      </c>
      <c r="AA30" s="2729">
        <v>1</v>
      </c>
      <c r="AB30" s="2729">
        <v>1</v>
      </c>
      <c r="AD30" s="2962">
        <f>I30/100</f>
        <v>2.9700000000000001E-2</v>
      </c>
      <c r="AE30" s="2962">
        <f>J30/100</f>
        <v>2.3399999999999997E-2</v>
      </c>
      <c r="AF30" s="2962">
        <f>AE30</f>
        <v>2.3399999999999997E-2</v>
      </c>
      <c r="AG30" s="2962">
        <f>K30/100</f>
        <v>3.2799999999999996E-2</v>
      </c>
      <c r="AH30" s="2962">
        <f>L30/100</f>
        <v>1.3600000000000001E-2</v>
      </c>
    </row>
    <row r="31" spans="1:34" ht="13.5" thickBot="1">
      <c r="A31" s="2620" t="s">
        <v>2579</v>
      </c>
      <c r="B31" s="2625">
        <v>299</v>
      </c>
      <c r="C31" s="2625">
        <v>252</v>
      </c>
      <c r="D31" s="2625">
        <f t="shared" si="114"/>
        <v>252</v>
      </c>
      <c r="E31" s="2625">
        <v>409</v>
      </c>
      <c r="F31" s="2626">
        <v>227</v>
      </c>
      <c r="G31" s="3577">
        <v>2013</v>
      </c>
      <c r="H31" s="2661">
        <v>4</v>
      </c>
      <c r="I31" s="2661">
        <v>1.83</v>
      </c>
      <c r="J31" s="2661">
        <v>1.68</v>
      </c>
      <c r="K31" s="2661">
        <v>1.97</v>
      </c>
      <c r="L31" s="2662">
        <v>0.87</v>
      </c>
      <c r="N31" s="2641">
        <f t="shared" si="116"/>
        <v>1.83E-2</v>
      </c>
      <c r="O31" s="2642">
        <f t="shared" si="112"/>
        <v>1.6799999999999999E-2</v>
      </c>
      <c r="P31" s="2642">
        <f t="shared" si="112"/>
        <v>1.9699999999999999E-2</v>
      </c>
      <c r="Q31" s="2642">
        <f t="shared" si="112"/>
        <v>8.6999999999999994E-3</v>
      </c>
      <c r="R31" s="2630"/>
      <c r="S31" s="2631"/>
      <c r="T31" s="2632"/>
      <c r="U31" s="2632"/>
      <c r="V31" s="2632"/>
      <c r="X31" s="2632"/>
      <c r="Y31" s="2632"/>
      <c r="Z31" s="2632"/>
    </row>
    <row r="32" spans="1:34">
      <c r="A32" s="2620" t="s">
        <v>2580</v>
      </c>
      <c r="B32" s="2633">
        <f t="shared" ref="B32:C34" si="122">B31/(1+N31)</f>
        <v>293.62663262299913</v>
      </c>
      <c r="C32" s="2633">
        <f t="shared" si="122"/>
        <v>247.83634933123525</v>
      </c>
      <c r="D32" s="2633">
        <f t="shared" si="114"/>
        <v>247.83634933123525</v>
      </c>
      <c r="E32" s="2633">
        <f t="shared" ref="E32:F34" si="123">E31/(1+P31)</f>
        <v>401.09836226341076</v>
      </c>
      <c r="F32" s="2633">
        <f t="shared" si="123"/>
        <v>225.04213343908003</v>
      </c>
      <c r="G32" s="3578"/>
      <c r="H32" s="2644">
        <v>3</v>
      </c>
      <c r="I32" s="2644">
        <v>1.86</v>
      </c>
      <c r="J32" s="2644">
        <v>1.72</v>
      </c>
      <c r="K32" s="2644">
        <v>1.98</v>
      </c>
      <c r="L32" s="2645">
        <v>0.88</v>
      </c>
      <c r="N32" s="2628">
        <f t="shared" si="116"/>
        <v>1.8600000000000002E-2</v>
      </c>
      <c r="O32" s="2646">
        <f t="shared" si="112"/>
        <v>1.72E-2</v>
      </c>
      <c r="P32" s="2646">
        <f t="shared" si="112"/>
        <v>1.9799999999999998E-2</v>
      </c>
      <c r="Q32" s="2646">
        <f t="shared" si="112"/>
        <v>8.8000000000000005E-3</v>
      </c>
      <c r="R32" s="2630"/>
      <c r="S32" s="2628"/>
      <c r="T32" s="2629"/>
      <c r="U32" s="2629"/>
      <c r="V32" s="2629"/>
    </row>
    <row r="33" spans="1:26">
      <c r="A33" s="2620" t="s">
        <v>2581</v>
      </c>
      <c r="B33" s="2633">
        <f t="shared" si="122"/>
        <v>288.2649053828776</v>
      </c>
      <c r="C33" s="2633">
        <f t="shared" si="122"/>
        <v>243.64564425013293</v>
      </c>
      <c r="D33" s="2633">
        <f t="shared" si="114"/>
        <v>243.64564425013293</v>
      </c>
      <c r="E33" s="2633">
        <f t="shared" si="123"/>
        <v>393.31080825986544</v>
      </c>
      <c r="F33" s="2633">
        <f t="shared" si="123"/>
        <v>223.07903790551154</v>
      </c>
      <c r="G33" s="3578"/>
      <c r="H33" s="2624">
        <v>2</v>
      </c>
      <c r="I33" s="2624">
        <v>2.04</v>
      </c>
      <c r="J33" s="2624">
        <v>2.33</v>
      </c>
      <c r="K33" s="2624">
        <v>2.0699999999999998</v>
      </c>
      <c r="L33" s="2635">
        <v>0.69</v>
      </c>
      <c r="N33" s="2628">
        <f t="shared" si="116"/>
        <v>2.0400000000000001E-2</v>
      </c>
      <c r="O33" s="2646">
        <f t="shared" si="112"/>
        <v>2.3300000000000001E-2</v>
      </c>
      <c r="P33" s="2646">
        <f t="shared" si="112"/>
        <v>2.07E-2</v>
      </c>
      <c r="Q33" s="2646">
        <f t="shared" si="112"/>
        <v>6.8999999999999999E-3</v>
      </c>
      <c r="R33" s="2630"/>
      <c r="S33" s="2628"/>
      <c r="T33" s="2629"/>
      <c r="U33" s="2629"/>
      <c r="V33" s="2629"/>
      <c r="X33" s="2730"/>
      <c r="Y33" s="2732"/>
    </row>
    <row r="34" spans="1:26">
      <c r="A34" s="2620" t="s">
        <v>2582</v>
      </c>
      <c r="B34" s="2633">
        <f t="shared" si="122"/>
        <v>282.50186729015837</v>
      </c>
      <c r="C34" s="2633">
        <f t="shared" si="122"/>
        <v>238.09796174155468</v>
      </c>
      <c r="D34" s="2633">
        <f t="shared" si="114"/>
        <v>238.09796174155468</v>
      </c>
      <c r="E34" s="2633">
        <f t="shared" si="123"/>
        <v>385.33438646014054</v>
      </c>
      <c r="F34" s="2633">
        <f t="shared" si="123"/>
        <v>221.55034055567739</v>
      </c>
      <c r="G34" s="3579"/>
      <c r="H34" s="2623">
        <v>1</v>
      </c>
      <c r="I34" s="2623">
        <v>1.67</v>
      </c>
      <c r="J34" s="2623">
        <v>1.31</v>
      </c>
      <c r="K34" s="2623">
        <v>1.85</v>
      </c>
      <c r="L34" s="2634">
        <v>0.96</v>
      </c>
      <c r="N34" s="2636">
        <f t="shared" si="116"/>
        <v>1.67E-2</v>
      </c>
      <c r="O34" s="2637">
        <f t="shared" si="112"/>
        <v>1.3100000000000001E-2</v>
      </c>
      <c r="P34" s="2637">
        <f t="shared" si="112"/>
        <v>1.8500000000000003E-2</v>
      </c>
      <c r="Q34" s="2637">
        <f t="shared" si="112"/>
        <v>9.5999999999999992E-3</v>
      </c>
      <c r="R34" s="2630"/>
      <c r="S34" s="2636">
        <f>B34/B35-1</f>
        <v>1.6193767230785472E-2</v>
      </c>
      <c r="T34" s="2637">
        <f>C34/C35-1</f>
        <v>1.7512657015190891E-2</v>
      </c>
      <c r="U34" s="2637">
        <f>E34/E35-1</f>
        <v>1.6713420739157048E-2</v>
      </c>
      <c r="V34" s="2637">
        <f>F34/F35-1</f>
        <v>7.0470025258062563E-3</v>
      </c>
      <c r="X34" s="2731"/>
      <c r="Y34" s="2638"/>
      <c r="Z34" s="2638"/>
    </row>
    <row r="35" spans="1:26" ht="13.5" thickBot="1">
      <c r="A35" s="2620" t="s">
        <v>2583</v>
      </c>
      <c r="B35" s="2663">
        <v>278</v>
      </c>
      <c r="C35" s="2663">
        <v>234</v>
      </c>
      <c r="D35" s="2663">
        <f t="shared" si="114"/>
        <v>234</v>
      </c>
      <c r="E35" s="2663">
        <v>379</v>
      </c>
      <c r="F35" s="2664">
        <v>220</v>
      </c>
      <c r="G35" s="3572">
        <v>2012</v>
      </c>
      <c r="H35" s="2639">
        <v>4</v>
      </c>
      <c r="I35" s="2639">
        <v>0.91</v>
      </c>
      <c r="J35" s="2639">
        <v>0.68</v>
      </c>
      <c r="K35" s="2639">
        <v>0.98</v>
      </c>
      <c r="L35" s="2640">
        <v>0.9</v>
      </c>
      <c r="N35" s="2628">
        <f t="shared" si="116"/>
        <v>9.1000000000000004E-3</v>
      </c>
      <c r="O35" s="2629">
        <f t="shared" si="116"/>
        <v>6.8000000000000005E-3</v>
      </c>
      <c r="P35" s="2629">
        <f t="shared" si="116"/>
        <v>9.7999999999999997E-3</v>
      </c>
      <c r="Q35" s="2629">
        <f t="shared" si="116"/>
        <v>9.0000000000000011E-3</v>
      </c>
      <c r="R35" s="2630"/>
      <c r="S35" s="2631"/>
      <c r="T35" s="2632"/>
      <c r="U35" s="2632"/>
      <c r="V35" s="2632"/>
      <c r="X35" s="2632"/>
      <c r="Y35" s="2632"/>
      <c r="Z35" s="2632"/>
    </row>
    <row r="36" spans="1:26">
      <c r="A36" s="2620" t="s">
        <v>2584</v>
      </c>
      <c r="B36" s="2633">
        <f>B35/(1+N35)</f>
        <v>275.49301357645425</v>
      </c>
      <c r="C36" s="2633">
        <f>C35/(1+O35)</f>
        <v>232.41954707985698</v>
      </c>
      <c r="D36" s="2633">
        <f t="shared" si="114"/>
        <v>232.41954707985698</v>
      </c>
      <c r="E36" s="2633">
        <f t="shared" ref="E36:F38" si="124">E35/(1+P35)</f>
        <v>375.32184591008121</v>
      </c>
      <c r="F36" s="2633">
        <f t="shared" si="124"/>
        <v>218.03766105054513</v>
      </c>
      <c r="G36" s="3570"/>
      <c r="H36" s="2644">
        <v>3</v>
      </c>
      <c r="I36" s="2644">
        <v>0.09</v>
      </c>
      <c r="J36" s="2644">
        <v>0.28999999999999998</v>
      </c>
      <c r="K36" s="2644">
        <v>-0.01</v>
      </c>
      <c r="L36" s="2645">
        <v>0.57999999999999996</v>
      </c>
      <c r="N36" s="2628">
        <f t="shared" si="116"/>
        <v>8.9999999999999998E-4</v>
      </c>
      <c r="O36" s="2629">
        <f t="shared" si="116"/>
        <v>2.8999999999999998E-3</v>
      </c>
      <c r="P36" s="2629">
        <f t="shared" si="116"/>
        <v>-1E-4</v>
      </c>
      <c r="Q36" s="2629">
        <f t="shared" si="116"/>
        <v>5.7999999999999996E-3</v>
      </c>
      <c r="R36" s="2630"/>
      <c r="S36" s="2628"/>
      <c r="T36" s="2629"/>
      <c r="U36" s="2629"/>
      <c r="V36" s="2629"/>
    </row>
    <row r="37" spans="1:26">
      <c r="A37" s="2620" t="s">
        <v>2585</v>
      </c>
      <c r="B37" s="2633">
        <f>B36/(1+N36)</f>
        <v>275.24529281292263</v>
      </c>
      <c r="C37" s="2633">
        <f>C36/(1+O36)</f>
        <v>231.74747938962707</v>
      </c>
      <c r="D37" s="2633">
        <f t="shared" si="114"/>
        <v>231.74747938962707</v>
      </c>
      <c r="E37" s="2633">
        <f t="shared" si="124"/>
        <v>375.35938184826603</v>
      </c>
      <c r="F37" s="2633">
        <f t="shared" si="124"/>
        <v>216.78033510692495</v>
      </c>
      <c r="G37" s="3570"/>
      <c r="H37" s="2624">
        <v>2</v>
      </c>
      <c r="I37" s="2624">
        <v>0.02</v>
      </c>
      <c r="J37" s="2624">
        <v>0.12</v>
      </c>
      <c r="K37" s="2624">
        <v>-0.08</v>
      </c>
      <c r="L37" s="2635">
        <v>1.24</v>
      </c>
      <c r="N37" s="2628">
        <f t="shared" si="116"/>
        <v>2.0000000000000001E-4</v>
      </c>
      <c r="O37" s="2629">
        <f t="shared" si="116"/>
        <v>1.1999999999999999E-3</v>
      </c>
      <c r="P37" s="2629">
        <f t="shared" si="116"/>
        <v>-8.0000000000000004E-4</v>
      </c>
      <c r="Q37" s="2629">
        <f t="shared" si="116"/>
        <v>1.24E-2</v>
      </c>
      <c r="R37" s="2630"/>
      <c r="S37" s="2628"/>
      <c r="T37" s="2629"/>
      <c r="U37" s="2629"/>
      <c r="V37" s="2629"/>
    </row>
    <row r="38" spans="1:26" ht="13.5" thickBot="1">
      <c r="A38" s="2620" t="s">
        <v>2586</v>
      </c>
      <c r="B38" s="2633">
        <f>B37/(1+N37)</f>
        <v>275.19025476197027</v>
      </c>
      <c r="C38" s="2665">
        <v>232</v>
      </c>
      <c r="D38" s="2665">
        <f t="shared" si="114"/>
        <v>232</v>
      </c>
      <c r="E38" s="2633">
        <f t="shared" si="124"/>
        <v>375.65990977608692</v>
      </c>
      <c r="F38" s="2633">
        <f t="shared" si="124"/>
        <v>214.12518283971252</v>
      </c>
      <c r="G38" s="3573"/>
      <c r="H38" s="2623">
        <v>1</v>
      </c>
      <c r="I38" s="2623">
        <v>0.02</v>
      </c>
      <c r="J38" s="2623">
        <v>0.13</v>
      </c>
      <c r="K38" s="2623">
        <v>-0.04</v>
      </c>
      <c r="L38" s="2634">
        <v>0.46</v>
      </c>
      <c r="N38" s="2628">
        <f t="shared" si="116"/>
        <v>2.0000000000000001E-4</v>
      </c>
      <c r="O38" s="2629">
        <f t="shared" si="116"/>
        <v>1.2999999999999999E-3</v>
      </c>
      <c r="P38" s="2629">
        <f t="shared" si="116"/>
        <v>-4.0000000000000002E-4</v>
      </c>
      <c r="Q38" s="2629">
        <f t="shared" si="116"/>
        <v>4.5999999999999999E-3</v>
      </c>
      <c r="R38" s="2630"/>
      <c r="S38" s="2636">
        <f>B38/B39-1</f>
        <v>6.9183549807361189E-4</v>
      </c>
      <c r="T38" s="2637">
        <f>C38/C39-1</f>
        <v>0</v>
      </c>
      <c r="U38" s="2637">
        <f>E38/E39-1</f>
        <v>-9.0449527636460303E-4</v>
      </c>
      <c r="V38" s="2637">
        <f>F38/F39-1</f>
        <v>5.2825485432512753E-3</v>
      </c>
      <c r="X38" s="2638"/>
      <c r="Y38" s="2638"/>
      <c r="Z38" s="2638"/>
    </row>
    <row r="39" spans="1:26" ht="13.5" thickBot="1">
      <c r="A39" s="2620" t="s">
        <v>2587</v>
      </c>
      <c r="B39" s="2625">
        <v>275</v>
      </c>
      <c r="C39" s="2625">
        <v>232</v>
      </c>
      <c r="D39" s="2625">
        <f t="shared" si="114"/>
        <v>232</v>
      </c>
      <c r="E39" s="2625">
        <v>376</v>
      </c>
      <c r="F39" s="2626">
        <v>213</v>
      </c>
      <c r="G39" s="3572">
        <v>2011</v>
      </c>
      <c r="H39" s="2639">
        <v>4</v>
      </c>
      <c r="I39" s="2639">
        <v>-0.2</v>
      </c>
      <c r="J39" s="2639">
        <v>0.04</v>
      </c>
      <c r="K39" s="2639">
        <v>-0.34</v>
      </c>
      <c r="L39" s="2640">
        <v>0.46</v>
      </c>
      <c r="N39" s="2641">
        <f t="shared" si="116"/>
        <v>-2E-3</v>
      </c>
      <c r="O39" s="2642">
        <f t="shared" si="116"/>
        <v>4.0000000000000002E-4</v>
      </c>
      <c r="P39" s="2642">
        <f t="shared" si="116"/>
        <v>-3.4000000000000002E-3</v>
      </c>
      <c r="Q39" s="2642">
        <f t="shared" si="116"/>
        <v>4.5999999999999999E-3</v>
      </c>
      <c r="R39" s="2630"/>
      <c r="S39" s="2631"/>
      <c r="T39" s="2632"/>
      <c r="U39" s="2632"/>
      <c r="V39" s="2632"/>
      <c r="X39" s="2632"/>
      <c r="Y39" s="2632"/>
      <c r="Z39" s="2632"/>
    </row>
    <row r="40" spans="1:26">
      <c r="A40" s="2620" t="s">
        <v>2588</v>
      </c>
      <c r="B40" s="2633">
        <f t="shared" ref="B40:C42" si="125">B39/(1+N39)</f>
        <v>275.55110220440883</v>
      </c>
      <c r="C40" s="2633">
        <f t="shared" si="125"/>
        <v>231.90723710515795</v>
      </c>
      <c r="D40" s="2633">
        <f t="shared" si="114"/>
        <v>231.90723710515795</v>
      </c>
      <c r="E40" s="2633">
        <f t="shared" ref="E40:F42" si="126">E39/(1+P39)</f>
        <v>377.28276138872161</v>
      </c>
      <c r="F40" s="2633">
        <f t="shared" si="126"/>
        <v>212.02468644236512</v>
      </c>
      <c r="G40" s="3570">
        <v>2011</v>
      </c>
      <c r="H40" s="2644">
        <v>3</v>
      </c>
      <c r="I40" s="2644">
        <v>0.13</v>
      </c>
      <c r="J40" s="2644">
        <v>0.75</v>
      </c>
      <c r="K40" s="2644">
        <v>-0.08</v>
      </c>
      <c r="L40" s="2645">
        <v>0.53</v>
      </c>
      <c r="N40" s="2628">
        <f t="shared" si="116"/>
        <v>1.2999999999999999E-3</v>
      </c>
      <c r="O40" s="2646">
        <f t="shared" si="116"/>
        <v>7.4999999999999997E-3</v>
      </c>
      <c r="P40" s="2646">
        <f t="shared" si="116"/>
        <v>-8.0000000000000004E-4</v>
      </c>
      <c r="Q40" s="2646">
        <f t="shared" si="116"/>
        <v>5.3E-3</v>
      </c>
      <c r="R40" s="2630"/>
      <c r="S40" s="2628"/>
      <c r="T40" s="2629"/>
      <c r="U40" s="2629"/>
      <c r="V40" s="2629"/>
    </row>
    <row r="41" spans="1:26">
      <c r="A41" s="2620" t="s">
        <v>2589</v>
      </c>
      <c r="B41" s="2633">
        <f t="shared" si="125"/>
        <v>275.19335084830601</v>
      </c>
      <c r="C41" s="2633">
        <f t="shared" si="125"/>
        <v>230.18088050139744</v>
      </c>
      <c r="D41" s="2633">
        <f t="shared" si="114"/>
        <v>230.18088050139744</v>
      </c>
      <c r="E41" s="2633">
        <f t="shared" si="126"/>
        <v>377.58482925212331</v>
      </c>
      <c r="F41" s="2633">
        <f t="shared" si="126"/>
        <v>210.90687997847917</v>
      </c>
      <c r="G41" s="3570">
        <v>2011</v>
      </c>
      <c r="H41" s="2624">
        <v>2</v>
      </c>
      <c r="I41" s="2624">
        <v>-0.4</v>
      </c>
      <c r="J41" s="2624">
        <v>0.17</v>
      </c>
      <c r="K41" s="2624">
        <v>-0.57999999999999996</v>
      </c>
      <c r="L41" s="2635">
        <v>-0.2</v>
      </c>
      <c r="N41" s="2628">
        <f t="shared" si="116"/>
        <v>-4.0000000000000001E-3</v>
      </c>
      <c r="O41" s="2646">
        <f t="shared" si="116"/>
        <v>1.7000000000000001E-3</v>
      </c>
      <c r="P41" s="2646">
        <f t="shared" si="116"/>
        <v>-5.7999999999999996E-3</v>
      </c>
      <c r="Q41" s="2646">
        <f t="shared" si="116"/>
        <v>-2E-3</v>
      </c>
      <c r="R41" s="2630"/>
      <c r="S41" s="2628"/>
      <c r="T41" s="2629"/>
      <c r="U41" s="2629"/>
      <c r="V41" s="2629"/>
    </row>
    <row r="42" spans="1:26" ht="13.5" thickBot="1">
      <c r="A42" s="2620" t="s">
        <v>2590</v>
      </c>
      <c r="B42" s="2633">
        <f t="shared" si="125"/>
        <v>276.29854502841971</v>
      </c>
      <c r="C42" s="2633">
        <f t="shared" si="125"/>
        <v>229.79023709833027</v>
      </c>
      <c r="D42" s="2633">
        <f t="shared" si="114"/>
        <v>229.79023709833027</v>
      </c>
      <c r="E42" s="2633">
        <f t="shared" si="126"/>
        <v>379.78759731655936</v>
      </c>
      <c r="F42" s="2633">
        <f t="shared" si="126"/>
        <v>211.32953905659235</v>
      </c>
      <c r="G42" s="3573">
        <v>2011</v>
      </c>
      <c r="H42" s="2623">
        <v>1</v>
      </c>
      <c r="I42" s="2623">
        <v>2.65</v>
      </c>
      <c r="J42" s="2623">
        <v>3.76</v>
      </c>
      <c r="K42" s="2623">
        <v>1.89</v>
      </c>
      <c r="L42" s="2634">
        <v>7.95</v>
      </c>
      <c r="N42" s="2636">
        <f t="shared" si="116"/>
        <v>2.6499999999999999E-2</v>
      </c>
      <c r="O42" s="2637">
        <f t="shared" si="116"/>
        <v>3.7599999999999995E-2</v>
      </c>
      <c r="P42" s="2637">
        <f t="shared" si="116"/>
        <v>1.89E-2</v>
      </c>
      <c r="Q42" s="2637">
        <f t="shared" si="116"/>
        <v>7.9500000000000001E-2</v>
      </c>
      <c r="R42" s="2630"/>
      <c r="S42" s="2636">
        <f>B42/B43-1</f>
        <v>2.713213765211786E-2</v>
      </c>
      <c r="T42" s="2637">
        <f>C42/C43-1</f>
        <v>3.9774828499231862E-2</v>
      </c>
      <c r="U42" s="2637">
        <f>E42/E43-1</f>
        <v>1.8197311840641772E-2</v>
      </c>
      <c r="V42" s="2637">
        <f>F42/F43-1</f>
        <v>7.8211933962205826E-2</v>
      </c>
      <c r="X42" s="2638"/>
      <c r="Y42" s="2638"/>
      <c r="Z42" s="2638"/>
    </row>
    <row r="43" spans="1:26" ht="13.5" thickBot="1">
      <c r="A43" s="2620" t="s">
        <v>2591</v>
      </c>
      <c r="B43" s="2625">
        <v>269</v>
      </c>
      <c r="C43" s="2625">
        <v>221</v>
      </c>
      <c r="D43" s="2625">
        <f t="shared" si="114"/>
        <v>221</v>
      </c>
      <c r="E43" s="2625">
        <v>373</v>
      </c>
      <c r="F43" s="2626">
        <v>196</v>
      </c>
      <c r="G43" s="3572">
        <v>2010</v>
      </c>
      <c r="H43" s="2639">
        <v>4</v>
      </c>
      <c r="I43" s="2639">
        <v>5.72</v>
      </c>
      <c r="J43" s="2639">
        <v>6.57</v>
      </c>
      <c r="K43" s="2639">
        <v>5.72</v>
      </c>
      <c r="L43" s="2640">
        <v>2.72</v>
      </c>
      <c r="N43" s="2628">
        <f t="shared" si="116"/>
        <v>5.7200000000000001E-2</v>
      </c>
      <c r="O43" s="2629">
        <f t="shared" si="116"/>
        <v>6.5700000000000008E-2</v>
      </c>
      <c r="P43" s="2629">
        <f t="shared" si="116"/>
        <v>5.7200000000000001E-2</v>
      </c>
      <c r="Q43" s="2629">
        <f t="shared" si="116"/>
        <v>2.7200000000000002E-2</v>
      </c>
      <c r="R43" s="2630"/>
      <c r="S43" s="2631"/>
      <c r="T43" s="2632"/>
      <c r="U43" s="2632"/>
      <c r="V43" s="2632"/>
      <c r="X43" s="2632"/>
      <c r="Y43" s="2632"/>
      <c r="Z43" s="2632"/>
    </row>
    <row r="44" spans="1:26">
      <c r="A44" s="2620" t="s">
        <v>2592</v>
      </c>
      <c r="B44" s="2633">
        <f t="shared" ref="B44:C46" si="127">B43/(1+N43)</f>
        <v>254.44570563753314</v>
      </c>
      <c r="C44" s="2633">
        <f t="shared" si="127"/>
        <v>207.37543398705074</v>
      </c>
      <c r="D44" s="2633">
        <f t="shared" si="114"/>
        <v>207.37543398705074</v>
      </c>
      <c r="E44" s="2633">
        <f t="shared" ref="E44:F46" si="128">E43/(1+P43)</f>
        <v>352.81876655315932</v>
      </c>
      <c r="F44" s="2633">
        <f t="shared" si="128"/>
        <v>190.809968847352</v>
      </c>
      <c r="G44" s="3570">
        <v>2010</v>
      </c>
      <c r="H44" s="2644">
        <v>3</v>
      </c>
      <c r="I44" s="2644">
        <v>4.7300000000000004</v>
      </c>
      <c r="J44" s="2644">
        <v>3.9</v>
      </c>
      <c r="K44" s="2644">
        <v>5.03</v>
      </c>
      <c r="L44" s="2645">
        <v>4.21</v>
      </c>
      <c r="N44" s="2628">
        <f t="shared" si="116"/>
        <v>4.7300000000000002E-2</v>
      </c>
      <c r="O44" s="2629">
        <f t="shared" si="116"/>
        <v>3.9E-2</v>
      </c>
      <c r="P44" s="2629">
        <f t="shared" si="116"/>
        <v>5.0300000000000004E-2</v>
      </c>
      <c r="Q44" s="2629">
        <f t="shared" si="116"/>
        <v>4.2099999999999999E-2</v>
      </c>
      <c r="R44" s="2630"/>
      <c r="S44" s="2628"/>
      <c r="T44" s="2629"/>
      <c r="U44" s="2629"/>
      <c r="V44" s="2629"/>
    </row>
    <row r="45" spans="1:26">
      <c r="A45" s="2620" t="s">
        <v>2593</v>
      </c>
      <c r="B45" s="2633">
        <f t="shared" si="127"/>
        <v>242.95398227588385</v>
      </c>
      <c r="C45" s="2633">
        <f t="shared" si="127"/>
        <v>199.59137053614126</v>
      </c>
      <c r="D45" s="2633">
        <f t="shared" si="114"/>
        <v>199.59137053614126</v>
      </c>
      <c r="E45" s="2633">
        <f t="shared" si="128"/>
        <v>335.92189522342125</v>
      </c>
      <c r="F45" s="2633">
        <f t="shared" si="128"/>
        <v>183.10139991109489</v>
      </c>
      <c r="G45" s="3570">
        <v>2010</v>
      </c>
      <c r="H45" s="2624">
        <v>2</v>
      </c>
      <c r="I45" s="2624">
        <v>4.6900000000000004</v>
      </c>
      <c r="J45" s="2624">
        <v>3.55</v>
      </c>
      <c r="K45" s="2624">
        <v>5.07</v>
      </c>
      <c r="L45" s="2635">
        <v>4.2300000000000004</v>
      </c>
      <c r="N45" s="2628">
        <f t="shared" si="116"/>
        <v>4.6900000000000004E-2</v>
      </c>
      <c r="O45" s="2629">
        <f t="shared" si="116"/>
        <v>3.5499999999999997E-2</v>
      </c>
      <c r="P45" s="2629">
        <f t="shared" si="116"/>
        <v>5.0700000000000002E-2</v>
      </c>
      <c r="Q45" s="2629">
        <f t="shared" si="116"/>
        <v>4.2300000000000004E-2</v>
      </c>
      <c r="R45" s="2630"/>
      <c r="S45" s="2628"/>
      <c r="T45" s="2629"/>
      <c r="U45" s="2629"/>
      <c r="V45" s="2629"/>
    </row>
    <row r="46" spans="1:26" ht="13.5" thickBot="1">
      <c r="A46" s="2620" t="s">
        <v>2594</v>
      </c>
      <c r="B46" s="2633">
        <f t="shared" si="127"/>
        <v>232.06990378821649</v>
      </c>
      <c r="C46" s="2633">
        <f t="shared" si="127"/>
        <v>192.74878854286936</v>
      </c>
      <c r="D46" s="2633">
        <f t="shared" si="114"/>
        <v>192.74878854286936</v>
      </c>
      <c r="E46" s="2633">
        <f t="shared" si="128"/>
        <v>319.71247284992984</v>
      </c>
      <c r="F46" s="2633">
        <f t="shared" si="128"/>
        <v>175.67053622862409</v>
      </c>
      <c r="G46" s="3573">
        <v>2010</v>
      </c>
      <c r="H46" s="2623">
        <v>1</v>
      </c>
      <c r="I46" s="2623">
        <v>5.4</v>
      </c>
      <c r="J46" s="2623">
        <v>3.2</v>
      </c>
      <c r="K46" s="2623">
        <v>6.16</v>
      </c>
      <c r="L46" s="2634">
        <v>4.51</v>
      </c>
      <c r="N46" s="2628">
        <f t="shared" si="116"/>
        <v>5.4000000000000006E-2</v>
      </c>
      <c r="O46" s="2629">
        <f t="shared" si="116"/>
        <v>3.2000000000000001E-2</v>
      </c>
      <c r="P46" s="2629">
        <f t="shared" si="116"/>
        <v>6.1600000000000002E-2</v>
      </c>
      <c r="Q46" s="2629">
        <f t="shared" si="116"/>
        <v>4.5100000000000001E-2</v>
      </c>
      <c r="R46" s="2630"/>
      <c r="S46" s="2636">
        <f>B46/B47-1</f>
        <v>5.4863199037347599E-2</v>
      </c>
      <c r="T46" s="2637">
        <f>C46/C47-1</f>
        <v>3.0742184721226584E-2</v>
      </c>
      <c r="U46" s="2637">
        <f>E46/E47-1</f>
        <v>6.2167683886810154E-2</v>
      </c>
      <c r="V46" s="2637">
        <f>F46/F47-1</f>
        <v>4.5657953741810031E-2</v>
      </c>
      <c r="X46" s="2638"/>
      <c r="Y46" s="2638"/>
      <c r="Z46" s="2638"/>
    </row>
    <row r="47" spans="1:26" ht="13.5" thickBot="1">
      <c r="A47" s="2620" t="s">
        <v>2595</v>
      </c>
      <c r="B47" s="2625">
        <v>220</v>
      </c>
      <c r="C47" s="2625">
        <v>187</v>
      </c>
      <c r="D47" s="2625">
        <f t="shared" si="114"/>
        <v>187</v>
      </c>
      <c r="E47" s="2625">
        <v>301</v>
      </c>
      <c r="F47" s="2626">
        <v>168</v>
      </c>
      <c r="G47" s="3572">
        <v>2009</v>
      </c>
      <c r="H47" s="2639">
        <v>4</v>
      </c>
      <c r="I47" s="2639">
        <v>2.2999999999999998</v>
      </c>
      <c r="J47" s="2639">
        <v>1.04</v>
      </c>
      <c r="K47" s="2639">
        <v>2.84</v>
      </c>
      <c r="L47" s="2640">
        <v>0.67</v>
      </c>
      <c r="N47" s="2641">
        <f t="shared" si="116"/>
        <v>2.3E-2</v>
      </c>
      <c r="O47" s="2642">
        <f t="shared" si="116"/>
        <v>1.04E-2</v>
      </c>
      <c r="P47" s="2642">
        <f t="shared" si="116"/>
        <v>2.8399999999999998E-2</v>
      </c>
      <c r="Q47" s="2642">
        <f t="shared" si="116"/>
        <v>6.7000000000000002E-3</v>
      </c>
      <c r="R47" s="2630"/>
      <c r="S47" s="2631"/>
      <c r="T47" s="2632"/>
      <c r="U47" s="2632"/>
      <c r="V47" s="2632"/>
      <c r="X47" s="2632"/>
      <c r="Y47" s="2632"/>
      <c r="Z47" s="2632"/>
    </row>
    <row r="48" spans="1:26">
      <c r="A48" s="2620" t="s">
        <v>2596</v>
      </c>
      <c r="B48" s="2633">
        <f t="shared" ref="B48:C50" si="129">B47/(1+N47)</f>
        <v>215.05376344086022</v>
      </c>
      <c r="C48" s="2633">
        <f t="shared" si="129"/>
        <v>185.0752177355503</v>
      </c>
      <c r="D48" s="2633">
        <f t="shared" si="114"/>
        <v>185.0752177355503</v>
      </c>
      <c r="E48" s="2633">
        <f t="shared" ref="E48:F50" si="130">E47/(1+P47)</f>
        <v>292.68767016725008</v>
      </c>
      <c r="F48" s="2633">
        <f t="shared" si="130"/>
        <v>166.88189132810174</v>
      </c>
      <c r="G48" s="3570">
        <v>2009</v>
      </c>
      <c r="H48" s="2644">
        <v>3</v>
      </c>
      <c r="I48" s="2644">
        <v>2.1</v>
      </c>
      <c r="J48" s="2644">
        <v>1.86</v>
      </c>
      <c r="K48" s="2644">
        <v>2.29</v>
      </c>
      <c r="L48" s="2645">
        <v>0.85</v>
      </c>
      <c r="N48" s="2628">
        <f t="shared" si="116"/>
        <v>2.1000000000000001E-2</v>
      </c>
      <c r="O48" s="2646">
        <f t="shared" si="116"/>
        <v>1.8600000000000002E-2</v>
      </c>
      <c r="P48" s="2646">
        <f t="shared" si="116"/>
        <v>2.29E-2</v>
      </c>
      <c r="Q48" s="2646">
        <f t="shared" si="116"/>
        <v>8.5000000000000006E-3</v>
      </c>
      <c r="R48" s="2630"/>
      <c r="S48" s="2628"/>
      <c r="T48" s="2629"/>
      <c r="U48" s="2629"/>
      <c r="V48" s="2629"/>
    </row>
    <row r="49" spans="1:26">
      <c r="A49" s="2620" t="s">
        <v>2597</v>
      </c>
      <c r="B49" s="2633">
        <f t="shared" si="129"/>
        <v>210.630522469011</v>
      </c>
      <c r="C49" s="2633">
        <f t="shared" si="129"/>
        <v>181.69567812247232</v>
      </c>
      <c r="D49" s="2633">
        <f t="shared" si="114"/>
        <v>181.69567812247232</v>
      </c>
      <c r="E49" s="2633">
        <f t="shared" si="130"/>
        <v>286.13517466736738</v>
      </c>
      <c r="F49" s="2633">
        <f t="shared" si="130"/>
        <v>165.47535084591149</v>
      </c>
      <c r="G49" s="3570">
        <v>2009</v>
      </c>
      <c r="H49" s="2624">
        <v>2</v>
      </c>
      <c r="I49" s="2624">
        <v>0.86</v>
      </c>
      <c r="J49" s="2624">
        <v>-1.1299999999999999</v>
      </c>
      <c r="K49" s="2624">
        <v>1.79</v>
      </c>
      <c r="L49" s="2635">
        <v>-2.0699999999999998</v>
      </c>
      <c r="N49" s="2628">
        <f t="shared" si="116"/>
        <v>8.6E-3</v>
      </c>
      <c r="O49" s="2646">
        <f t="shared" si="116"/>
        <v>-1.1299999999999999E-2</v>
      </c>
      <c r="P49" s="2646">
        <f t="shared" si="116"/>
        <v>1.7899999999999999E-2</v>
      </c>
      <c r="Q49" s="2646">
        <f t="shared" si="116"/>
        <v>-2.07E-2</v>
      </c>
      <c r="R49" s="2630"/>
      <c r="S49" s="2628"/>
      <c r="T49" s="2629"/>
      <c r="U49" s="2629"/>
      <c r="V49" s="2629"/>
    </row>
    <row r="50" spans="1:26">
      <c r="A50" s="2620" t="s">
        <v>2598</v>
      </c>
      <c r="B50" s="2633">
        <f t="shared" si="129"/>
        <v>208.83454537875372</v>
      </c>
      <c r="C50" s="2633">
        <f t="shared" si="129"/>
        <v>183.77230517090351</v>
      </c>
      <c r="D50" s="2633">
        <f t="shared" si="114"/>
        <v>183.77230517090351</v>
      </c>
      <c r="E50" s="2633">
        <f t="shared" si="130"/>
        <v>281.10342338870947</v>
      </c>
      <c r="F50" s="2633">
        <f t="shared" si="130"/>
        <v>168.97309388942256</v>
      </c>
      <c r="G50" s="3573">
        <v>2009</v>
      </c>
      <c r="H50" s="2623">
        <v>1</v>
      </c>
      <c r="I50" s="2623">
        <v>-2.64</v>
      </c>
      <c r="J50" s="2623">
        <v>-2.5299999999999998</v>
      </c>
      <c r="K50" s="2623">
        <v>-3.02</v>
      </c>
      <c r="L50" s="2634">
        <v>1.52</v>
      </c>
      <c r="N50" s="2636">
        <f t="shared" si="116"/>
        <v>-2.64E-2</v>
      </c>
      <c r="O50" s="2637">
        <f t="shared" si="116"/>
        <v>-2.53E-2</v>
      </c>
      <c r="P50" s="2637">
        <f t="shared" si="116"/>
        <v>-3.0200000000000001E-2</v>
      </c>
      <c r="Q50" s="2637">
        <f t="shared" si="116"/>
        <v>1.52E-2</v>
      </c>
      <c r="R50" s="2630"/>
      <c r="S50" s="2636">
        <f>B50/B51-1</f>
        <v>-2.4137638417038754E-2</v>
      </c>
      <c r="T50" s="2637">
        <f>C50/C51-1</f>
        <v>-2.248773845264096E-2</v>
      </c>
      <c r="U50" s="2637">
        <f>E50/E51-1</f>
        <v>-2.7323794502735366E-2</v>
      </c>
      <c r="V50" s="2637">
        <f>F50/F51-1</f>
        <v>1.7910204153148035E-2</v>
      </c>
      <c r="X50" s="2638"/>
      <c r="Y50" s="2638"/>
      <c r="Z50" s="2638"/>
    </row>
    <row r="51" spans="1:26" ht="13.5" thickBot="1">
      <c r="A51" s="2620" t="s">
        <v>2599</v>
      </c>
      <c r="B51" s="2663">
        <v>214</v>
      </c>
      <c r="C51" s="2663">
        <v>188</v>
      </c>
      <c r="D51" s="2663">
        <f t="shared" si="114"/>
        <v>188</v>
      </c>
      <c r="E51" s="2663">
        <v>289</v>
      </c>
      <c r="F51" s="2664">
        <v>166</v>
      </c>
      <c r="G51" s="3572">
        <v>2008</v>
      </c>
      <c r="H51" s="2639">
        <v>4</v>
      </c>
      <c r="I51" s="2639">
        <v>1.73</v>
      </c>
      <c r="J51" s="2639">
        <v>0.03</v>
      </c>
      <c r="K51" s="2639">
        <v>2.59</v>
      </c>
      <c r="L51" s="2640">
        <v>-1.66</v>
      </c>
      <c r="N51" s="2628">
        <f t="shared" si="116"/>
        <v>1.7299999999999999E-2</v>
      </c>
      <c r="O51" s="2629">
        <f t="shared" si="116"/>
        <v>2.9999999999999997E-4</v>
      </c>
      <c r="P51" s="2629">
        <f t="shared" si="116"/>
        <v>2.5899999999999999E-2</v>
      </c>
      <c r="Q51" s="2629">
        <f t="shared" si="116"/>
        <v>-1.66E-2</v>
      </c>
      <c r="R51" s="2630"/>
      <c r="S51" s="2631"/>
      <c r="T51" s="2632"/>
      <c r="U51" s="2632"/>
      <c r="V51" s="2632"/>
      <c r="X51" s="2632"/>
      <c r="Y51" s="2632"/>
      <c r="Z51" s="2632"/>
    </row>
    <row r="52" spans="1:26">
      <c r="A52" s="2620" t="s">
        <v>2600</v>
      </c>
      <c r="B52" s="2633">
        <f t="shared" ref="B52:C54" si="131">B51/(1+N51)</f>
        <v>210.36075887152265</v>
      </c>
      <c r="C52" s="2633">
        <f t="shared" si="131"/>
        <v>187.94361691492554</v>
      </c>
      <c r="D52" s="2633">
        <f t="shared" si="114"/>
        <v>187.94361691492554</v>
      </c>
      <c r="E52" s="2633">
        <f t="shared" ref="E52:F54" si="132">E51/(1+P51)</f>
        <v>281.70386977288234</v>
      </c>
      <c r="F52" s="2633">
        <f t="shared" si="132"/>
        <v>168.80211511083994</v>
      </c>
      <c r="G52" s="3570">
        <v>2008</v>
      </c>
      <c r="H52" s="2644">
        <v>3</v>
      </c>
      <c r="I52" s="2644">
        <v>1.96</v>
      </c>
      <c r="J52" s="2644">
        <v>2.36</v>
      </c>
      <c r="K52" s="2644">
        <v>1.82</v>
      </c>
      <c r="L52" s="2645">
        <v>2.2200000000000002</v>
      </c>
      <c r="N52" s="2628">
        <f t="shared" si="116"/>
        <v>1.9599999999999999E-2</v>
      </c>
      <c r="O52" s="2629">
        <f t="shared" si="116"/>
        <v>2.3599999999999999E-2</v>
      </c>
      <c r="P52" s="2629">
        <f t="shared" si="116"/>
        <v>1.8200000000000001E-2</v>
      </c>
      <c r="Q52" s="2629">
        <f t="shared" si="116"/>
        <v>2.2200000000000001E-2</v>
      </c>
      <c r="R52" s="2630"/>
      <c r="S52" s="2628"/>
      <c r="T52" s="2629"/>
      <c r="U52" s="2629"/>
      <c r="V52" s="2629"/>
    </row>
    <row r="53" spans="1:26">
      <c r="A53" s="2620" t="s">
        <v>2601</v>
      </c>
      <c r="B53" s="2633">
        <f t="shared" si="131"/>
        <v>206.31694671589116</v>
      </c>
      <c r="C53" s="2633">
        <f t="shared" si="131"/>
        <v>183.61041121036101</v>
      </c>
      <c r="D53" s="2633">
        <f t="shared" si="114"/>
        <v>183.61041121036101</v>
      </c>
      <c r="E53" s="2633">
        <f t="shared" si="132"/>
        <v>276.66850301795557</v>
      </c>
      <c r="F53" s="2633">
        <f t="shared" si="132"/>
        <v>165.1360938278614</v>
      </c>
      <c r="G53" s="3570">
        <v>2008</v>
      </c>
      <c r="H53" s="2624">
        <v>2</v>
      </c>
      <c r="I53" s="2624">
        <v>4.93</v>
      </c>
      <c r="J53" s="2624">
        <v>7.38</v>
      </c>
      <c r="K53" s="2624">
        <v>3.98</v>
      </c>
      <c r="L53" s="2635">
        <v>6.86</v>
      </c>
      <c r="N53" s="2628">
        <f t="shared" si="116"/>
        <v>4.9299999999999997E-2</v>
      </c>
      <c r="O53" s="2629">
        <f t="shared" si="116"/>
        <v>7.3800000000000004E-2</v>
      </c>
      <c r="P53" s="2629">
        <f t="shared" si="116"/>
        <v>3.9800000000000002E-2</v>
      </c>
      <c r="Q53" s="2629">
        <f t="shared" si="116"/>
        <v>6.8600000000000008E-2</v>
      </c>
      <c r="R53" s="2630"/>
      <c r="S53" s="2628"/>
      <c r="T53" s="2629"/>
      <c r="U53" s="2629"/>
      <c r="V53" s="2629"/>
    </row>
    <row r="54" spans="1:26" s="2669" customFormat="1" ht="13.5" thickBot="1">
      <c r="A54" s="2620" t="s">
        <v>2602</v>
      </c>
      <c r="B54" s="2666">
        <f t="shared" si="131"/>
        <v>196.62341248059772</v>
      </c>
      <c r="C54" s="2666">
        <f t="shared" si="131"/>
        <v>170.99125648199012</v>
      </c>
      <c r="D54" s="2666">
        <f t="shared" si="114"/>
        <v>170.99125648199012</v>
      </c>
      <c r="E54" s="2666">
        <f t="shared" si="132"/>
        <v>266.07857570490052</v>
      </c>
      <c r="F54" s="2666">
        <f t="shared" si="132"/>
        <v>154.53499328828505</v>
      </c>
      <c r="G54" s="3573">
        <v>2008</v>
      </c>
      <c r="H54" s="2667">
        <v>1</v>
      </c>
      <c r="I54" s="2667">
        <v>4.1399999999999997</v>
      </c>
      <c r="J54" s="2667">
        <v>3.45</v>
      </c>
      <c r="K54" s="2667">
        <v>4.95</v>
      </c>
      <c r="L54" s="2668">
        <v>4.82</v>
      </c>
      <c r="N54" s="2670">
        <f t="shared" si="116"/>
        <v>4.1399999999999999E-2</v>
      </c>
      <c r="O54" s="2671">
        <f t="shared" si="116"/>
        <v>3.4500000000000003E-2</v>
      </c>
      <c r="P54" s="2671">
        <f t="shared" si="116"/>
        <v>4.9500000000000002E-2</v>
      </c>
      <c r="Q54" s="2671">
        <f t="shared" si="116"/>
        <v>4.82E-2</v>
      </c>
      <c r="R54" s="2672"/>
      <c r="S54" s="2670">
        <f>B54/B55-1</f>
        <v>4.5869215322328349E-2</v>
      </c>
      <c r="T54" s="2671">
        <f>C54/C55-1</f>
        <v>3.6310645345394743E-2</v>
      </c>
      <c r="U54" s="2671">
        <f>E54/E55-1</f>
        <v>4.7553447657088688E-2</v>
      </c>
      <c r="V54" s="2671">
        <f>F54/F55-1</f>
        <v>4.4155360055980086E-2</v>
      </c>
      <c r="X54" s="2673"/>
      <c r="Y54" s="2673"/>
      <c r="Z54" s="2673"/>
    </row>
    <row r="55" spans="1:26" ht="13.5" thickBot="1">
      <c r="A55" s="2620" t="s">
        <v>2603</v>
      </c>
      <c r="B55" s="2625">
        <v>188</v>
      </c>
      <c r="C55" s="2625">
        <v>165</v>
      </c>
      <c r="D55" s="2625">
        <f t="shared" si="114"/>
        <v>165</v>
      </c>
      <c r="E55" s="2625">
        <v>254</v>
      </c>
      <c r="F55" s="2626">
        <v>148</v>
      </c>
      <c r="G55" s="3572">
        <v>2007</v>
      </c>
      <c r="H55" s="2674">
        <v>4</v>
      </c>
      <c r="I55" s="2674">
        <v>5.51</v>
      </c>
      <c r="J55" s="2674">
        <v>4.8899999999999997</v>
      </c>
      <c r="K55" s="2674">
        <v>6.43</v>
      </c>
      <c r="L55" s="2675">
        <v>5.36</v>
      </c>
      <c r="N55" s="2676">
        <f t="shared" ref="N55:O58" si="133">B55/B56-1</f>
        <v>4.1339718365245526E-2</v>
      </c>
      <c r="O55" s="2677">
        <f t="shared" si="133"/>
        <v>4.0324492593776018E-2</v>
      </c>
      <c r="P55" s="2677">
        <f t="shared" ref="P55:Q58" si="134">E55/E56-1</f>
        <v>6.1625555347990968E-2</v>
      </c>
      <c r="Q55" s="2677">
        <f t="shared" si="134"/>
        <v>4.6757569250590603E-2</v>
      </c>
      <c r="R55" s="2630"/>
      <c r="S55" s="2631"/>
      <c r="T55" s="2632"/>
      <c r="U55" s="2632"/>
      <c r="V55" s="2632"/>
      <c r="X55" s="2632"/>
      <c r="Y55" s="2632"/>
      <c r="Z55" s="2632"/>
    </row>
    <row r="56" spans="1:26">
      <c r="A56" s="2620" t="s">
        <v>2604</v>
      </c>
      <c r="B56" s="2633">
        <f t="shared" ref="B56:C58" si="135">B57+(B$55-B$59)*I56/SUM(I$55:I$58)</f>
        <v>180.5366651097618</v>
      </c>
      <c r="C56" s="2633">
        <f t="shared" si="135"/>
        <v>158.60435967302453</v>
      </c>
      <c r="D56" s="2633">
        <f t="shared" si="114"/>
        <v>158.60435967302453</v>
      </c>
      <c r="E56" s="2633">
        <f t="shared" ref="E56:F58" si="136">E57+(E$55-E$59)*K56/SUM(K$55:K$58)</f>
        <v>239.25573260785075</v>
      </c>
      <c r="F56" s="2633">
        <f t="shared" si="136"/>
        <v>141.38899430740037</v>
      </c>
      <c r="G56" s="3570">
        <v>2007</v>
      </c>
      <c r="H56" s="2644">
        <v>3</v>
      </c>
      <c r="I56" s="2644">
        <v>8.65</v>
      </c>
      <c r="J56" s="2644">
        <v>8.06</v>
      </c>
      <c r="K56" s="2644">
        <v>9.94</v>
      </c>
      <c r="L56" s="2645">
        <v>5.8</v>
      </c>
      <c r="N56" s="2676">
        <f t="shared" si="133"/>
        <v>6.940217571740015E-2</v>
      </c>
      <c r="O56" s="2677">
        <f t="shared" si="133"/>
        <v>7.1197482471153428E-2</v>
      </c>
      <c r="P56" s="2677">
        <f t="shared" si="134"/>
        <v>0.10529679922579582</v>
      </c>
      <c r="Q56" s="2677">
        <f t="shared" si="134"/>
        <v>5.3292245059512133E-2</v>
      </c>
      <c r="R56" s="2630"/>
      <c r="S56" s="2628"/>
      <c r="T56" s="2629"/>
      <c r="U56" s="2629"/>
      <c r="V56" s="2629"/>
      <c r="X56" s="2678"/>
      <c r="Y56" s="2678"/>
      <c r="Z56" s="2678"/>
    </row>
    <row r="57" spans="1:26">
      <c r="A57" s="2620" t="s">
        <v>2605</v>
      </c>
      <c r="B57" s="2633">
        <f t="shared" si="135"/>
        <v>168.82017748715555</v>
      </c>
      <c r="C57" s="2633">
        <f t="shared" si="135"/>
        <v>148.06267029972753</v>
      </c>
      <c r="D57" s="2633">
        <f t="shared" si="114"/>
        <v>148.06267029972753</v>
      </c>
      <c r="E57" s="2633">
        <f t="shared" si="136"/>
        <v>216.46288379323747</v>
      </c>
      <c r="F57" s="2633">
        <f t="shared" si="136"/>
        <v>134.23529411764704</v>
      </c>
      <c r="G57" s="3570">
        <v>2007</v>
      </c>
      <c r="H57" s="2624">
        <v>2</v>
      </c>
      <c r="I57" s="2624">
        <v>3.67</v>
      </c>
      <c r="J57" s="2624">
        <v>2.3199999999999998</v>
      </c>
      <c r="K57" s="2624">
        <v>5.0199999999999996</v>
      </c>
      <c r="L57" s="2635">
        <v>6.71</v>
      </c>
      <c r="N57" s="2676">
        <f t="shared" si="133"/>
        <v>3.0339138143848032E-2</v>
      </c>
      <c r="O57" s="2677">
        <f t="shared" si="133"/>
        <v>2.0922341588790472E-2</v>
      </c>
      <c r="P57" s="2677">
        <f t="shared" si="134"/>
        <v>5.6164796592717003E-2</v>
      </c>
      <c r="Q57" s="2677">
        <f t="shared" si="134"/>
        <v>6.5704536723887319E-2</v>
      </c>
      <c r="R57" s="2630"/>
      <c r="S57" s="2628"/>
      <c r="T57" s="2629"/>
      <c r="U57" s="2629"/>
      <c r="V57" s="2629"/>
      <c r="X57" s="2678"/>
      <c r="Y57" s="2678"/>
      <c r="Z57" s="2678"/>
    </row>
    <row r="58" spans="1:26">
      <c r="A58" s="2620" t="s">
        <v>2606</v>
      </c>
      <c r="B58" s="2633">
        <f t="shared" si="135"/>
        <v>163.84913591779542</v>
      </c>
      <c r="C58" s="2633">
        <f t="shared" si="135"/>
        <v>145.0283378746594</v>
      </c>
      <c r="D58" s="2633">
        <f t="shared" si="114"/>
        <v>145.0283378746594</v>
      </c>
      <c r="E58" s="2633">
        <f t="shared" si="136"/>
        <v>204.95180722891567</v>
      </c>
      <c r="F58" s="2633">
        <f t="shared" si="136"/>
        <v>125.95920303605313</v>
      </c>
      <c r="G58" s="3573">
        <v>2007</v>
      </c>
      <c r="H58" s="2623">
        <v>1</v>
      </c>
      <c r="I58" s="2623">
        <v>3.58</v>
      </c>
      <c r="J58" s="2623">
        <v>3.08</v>
      </c>
      <c r="K58" s="2623">
        <v>4.34</v>
      </c>
      <c r="L58" s="2634">
        <v>3.21</v>
      </c>
      <c r="N58" s="2679">
        <f t="shared" si="133"/>
        <v>3.0497710174814063E-2</v>
      </c>
      <c r="O58" s="2680">
        <f t="shared" si="133"/>
        <v>2.8569772160704998E-2</v>
      </c>
      <c r="P58" s="2680">
        <f t="shared" si="134"/>
        <v>5.1034908866234296E-2</v>
      </c>
      <c r="Q58" s="2680">
        <f t="shared" si="134"/>
        <v>3.245248390207478E-2</v>
      </c>
      <c r="R58" s="2630"/>
      <c r="S58" s="2636">
        <f>B58/B59-1</f>
        <v>3.0497710174814063E-2</v>
      </c>
      <c r="T58" s="2637">
        <f>C58/C59-1</f>
        <v>2.8569772160704998E-2</v>
      </c>
      <c r="U58" s="2637">
        <f>E58/E59-1</f>
        <v>5.1034908866234296E-2</v>
      </c>
      <c r="V58" s="2637">
        <f>F58/F59-1</f>
        <v>3.245248390207478E-2</v>
      </c>
      <c r="X58" s="2678"/>
      <c r="Y58" s="2678"/>
      <c r="Z58" s="2678"/>
    </row>
    <row r="59" spans="1:26" ht="13.5" thickBot="1">
      <c r="A59" s="2620" t="s">
        <v>2607</v>
      </c>
      <c r="B59" s="2647">
        <v>159</v>
      </c>
      <c r="C59" s="2647">
        <v>141</v>
      </c>
      <c r="D59" s="2647">
        <f t="shared" si="114"/>
        <v>141</v>
      </c>
      <c r="E59" s="2647">
        <v>195</v>
      </c>
      <c r="F59" s="2648">
        <v>122</v>
      </c>
      <c r="G59" s="3572">
        <v>2006</v>
      </c>
      <c r="H59" s="2639">
        <v>4</v>
      </c>
      <c r="I59" s="2639">
        <v>3.79</v>
      </c>
      <c r="J59" s="2639">
        <v>2.21</v>
      </c>
      <c r="K59" s="2639">
        <v>5.65</v>
      </c>
      <c r="L59" s="2640">
        <v>5.41</v>
      </c>
      <c r="N59" s="2676">
        <f t="shared" ref="N59:O62" si="137">I59/SUM(I$59:I$62)*(B$59/B$63-1)</f>
        <v>7.245466462748526E-2</v>
      </c>
      <c r="O59" s="2677">
        <f t="shared" si="137"/>
        <v>2.3237230038062766E-2</v>
      </c>
      <c r="P59" s="2677">
        <f t="shared" ref="P59:Q62" si="138">K59/SUM(K$59:K$62)*(E$59/E$63-1)</f>
        <v>0.16146893866323722</v>
      </c>
      <c r="Q59" s="2677">
        <f t="shared" si="138"/>
        <v>5.0755230321793784E-2</v>
      </c>
      <c r="R59" s="2630"/>
      <c r="S59" s="2631"/>
      <c r="T59" s="2632"/>
      <c r="U59" s="2632"/>
      <c r="V59" s="2632"/>
      <c r="X59" s="2678"/>
      <c r="Y59" s="2678"/>
      <c r="Z59" s="2678"/>
    </row>
    <row r="60" spans="1:26">
      <c r="A60" s="2620" t="s">
        <v>2608</v>
      </c>
      <c r="B60" s="2633">
        <f t="shared" ref="B60:C62" si="139">B61+(B$59-B$63)*I60/SUM(I$59:I$62)</f>
        <v>149.00125628140702</v>
      </c>
      <c r="C60" s="2633">
        <f t="shared" si="139"/>
        <v>137.95592286501378</v>
      </c>
      <c r="D60" s="2633">
        <f t="shared" si="114"/>
        <v>137.95592286501378</v>
      </c>
      <c r="E60" s="2633">
        <f t="shared" ref="E60:F62" si="140">E61+(E$59-E$63)*K60/SUM(K$59:K$62)</f>
        <v>169.97231450719823</v>
      </c>
      <c r="F60" s="2633">
        <f t="shared" si="140"/>
        <v>116.21390374331551</v>
      </c>
      <c r="G60" s="3570">
        <v>2006</v>
      </c>
      <c r="H60" s="2644">
        <v>3</v>
      </c>
      <c r="I60" s="2644">
        <v>0.92</v>
      </c>
      <c r="J60" s="2644">
        <v>1.08</v>
      </c>
      <c r="K60" s="2644">
        <v>0.73</v>
      </c>
      <c r="L60" s="2645">
        <v>1.08</v>
      </c>
      <c r="N60" s="2676">
        <f t="shared" si="137"/>
        <v>1.7587939698492462E-2</v>
      </c>
      <c r="O60" s="2677">
        <f t="shared" si="137"/>
        <v>1.1355750425840628E-2</v>
      </c>
      <c r="P60" s="2677">
        <f t="shared" si="138"/>
        <v>2.0862358446754544E-2</v>
      </c>
      <c r="Q60" s="2677">
        <f t="shared" si="138"/>
        <v>1.0132282578103011E-2</v>
      </c>
      <c r="R60" s="2630"/>
      <c r="S60" s="2628"/>
      <c r="T60" s="2629"/>
      <c r="U60" s="2629"/>
      <c r="V60" s="2629"/>
      <c r="X60" s="2678"/>
      <c r="Y60" s="2678"/>
      <c r="Z60" s="2678"/>
    </row>
    <row r="61" spans="1:26">
      <c r="A61" s="2620" t="s">
        <v>2609</v>
      </c>
      <c r="B61" s="2633">
        <f t="shared" si="139"/>
        <v>146.57412060301507</v>
      </c>
      <c r="C61" s="2633">
        <f t="shared" si="139"/>
        <v>136.46831955922866</v>
      </c>
      <c r="D61" s="2633">
        <f t="shared" si="114"/>
        <v>136.46831955922866</v>
      </c>
      <c r="E61" s="2633">
        <f t="shared" si="140"/>
        <v>166.73864894795128</v>
      </c>
      <c r="F61" s="2633">
        <f t="shared" si="140"/>
        <v>115.05882352941177</v>
      </c>
      <c r="G61" s="3570">
        <v>2006</v>
      </c>
      <c r="H61" s="2624">
        <v>2</v>
      </c>
      <c r="I61" s="2624">
        <v>0.96</v>
      </c>
      <c r="J61" s="2624">
        <v>0.25</v>
      </c>
      <c r="K61" s="2624">
        <v>1.9</v>
      </c>
      <c r="L61" s="2635">
        <v>0.95</v>
      </c>
      <c r="N61" s="2676">
        <f t="shared" si="137"/>
        <v>1.8352632728861701E-2</v>
      </c>
      <c r="O61" s="2677">
        <f t="shared" si="137"/>
        <v>2.6286459319075526E-3</v>
      </c>
      <c r="P61" s="2677">
        <f t="shared" si="138"/>
        <v>5.4299289107991269E-2</v>
      </c>
      <c r="Q61" s="2677">
        <f t="shared" si="138"/>
        <v>8.9126559714794995E-3</v>
      </c>
      <c r="R61" s="2630"/>
      <c r="S61" s="2628"/>
      <c r="T61" s="2629"/>
      <c r="U61" s="2629"/>
      <c r="V61" s="2629"/>
      <c r="X61" s="2678"/>
      <c r="Y61" s="2678"/>
      <c r="Z61" s="2678"/>
    </row>
    <row r="62" spans="1:26">
      <c r="A62" s="2620" t="s">
        <v>2610</v>
      </c>
      <c r="B62" s="2633">
        <f t="shared" si="139"/>
        <v>144.04145728643215</v>
      </c>
      <c r="C62" s="2633">
        <f t="shared" si="139"/>
        <v>136.12396694214877</v>
      </c>
      <c r="D62" s="2633">
        <f t="shared" si="114"/>
        <v>136.12396694214877</v>
      </c>
      <c r="E62" s="2633">
        <f t="shared" si="140"/>
        <v>158.32225913621264</v>
      </c>
      <c r="F62" s="2633">
        <f t="shared" si="140"/>
        <v>114.04278074866311</v>
      </c>
      <c r="G62" s="3573">
        <v>2006</v>
      </c>
      <c r="H62" s="2623">
        <v>1</v>
      </c>
      <c r="I62" s="2623">
        <v>2.29</v>
      </c>
      <c r="J62" s="2623">
        <v>3.72</v>
      </c>
      <c r="K62" s="2623">
        <v>0.75</v>
      </c>
      <c r="L62" s="2634">
        <v>0.04</v>
      </c>
      <c r="N62" s="2679">
        <f t="shared" si="137"/>
        <v>4.3778675988638847E-2</v>
      </c>
      <c r="O62" s="2680">
        <f t="shared" si="137"/>
        <v>3.9114251466784385E-2</v>
      </c>
      <c r="P62" s="2680">
        <f t="shared" si="138"/>
        <v>2.1433929911049188E-2</v>
      </c>
      <c r="Q62" s="2680">
        <f t="shared" si="138"/>
        <v>3.7526972511492629E-4</v>
      </c>
      <c r="R62" s="2630"/>
      <c r="S62" s="2636">
        <f>B62/B63-1</f>
        <v>4.3778675988638716E-2</v>
      </c>
      <c r="T62" s="2637">
        <f>C62/C63-1</f>
        <v>3.91142514667846E-2</v>
      </c>
      <c r="U62" s="2637">
        <f>E62/E63-1</f>
        <v>2.143392991104931E-2</v>
      </c>
      <c r="V62" s="2637">
        <f>F62/F63-1</f>
        <v>3.7526972511492396E-4</v>
      </c>
      <c r="X62" s="2678"/>
      <c r="Y62" s="2678"/>
      <c r="Z62" s="2678"/>
    </row>
    <row r="63" spans="1:26" ht="13.5" thickBot="1">
      <c r="A63" s="2620" t="s">
        <v>2611</v>
      </c>
      <c r="B63" s="2647">
        <v>138</v>
      </c>
      <c r="C63" s="2647">
        <v>131</v>
      </c>
      <c r="D63" s="2647">
        <f t="shared" si="114"/>
        <v>131</v>
      </c>
      <c r="E63" s="2647">
        <v>155</v>
      </c>
      <c r="F63" s="2648">
        <v>114</v>
      </c>
      <c r="G63" s="3572">
        <v>2005</v>
      </c>
      <c r="H63" s="2639">
        <v>4</v>
      </c>
      <c r="I63" s="2639">
        <v>3.29</v>
      </c>
      <c r="J63" s="2639">
        <v>1.44</v>
      </c>
      <c r="K63" s="2639">
        <v>0.66</v>
      </c>
      <c r="L63" s="2640">
        <v>7.78</v>
      </c>
      <c r="N63" s="2676">
        <f t="shared" ref="N63:O66" si="141">I63/SUM(I$63:I$66)*(B$63/B$67-1)</f>
        <v>9.9404603216919935E-2</v>
      </c>
      <c r="O63" s="2677">
        <f t="shared" si="141"/>
        <v>4.7636550760861554E-2</v>
      </c>
      <c r="P63" s="2677">
        <f t="shared" ref="P63:Q66" si="142">K63/SUM(K$63:K$66)*(E$63/E$67-1)</f>
        <v>8.3756345177664976E-2</v>
      </c>
      <c r="Q63" s="2677">
        <f t="shared" si="142"/>
        <v>5.2148766661559584E-2</v>
      </c>
      <c r="R63" s="2630"/>
      <c r="S63" s="2631"/>
      <c r="T63" s="2632"/>
      <c r="U63" s="2632"/>
      <c r="V63" s="2632"/>
      <c r="X63" s="2678"/>
      <c r="Y63" s="2678"/>
      <c r="Z63" s="2678"/>
    </row>
    <row r="64" spans="1:26">
      <c r="A64" s="2620" t="s">
        <v>2612</v>
      </c>
      <c r="B64" s="2633">
        <f t="shared" ref="B64:C66" si="143">B65+(B$63-B$67)*I64/SUM(I$63:I$66)</f>
        <v>125.9720430107527</v>
      </c>
      <c r="C64" s="2633">
        <f t="shared" si="143"/>
        <v>125.1883408071749</v>
      </c>
      <c r="D64" s="2633">
        <f t="shared" si="114"/>
        <v>125.1883408071749</v>
      </c>
      <c r="E64" s="2633">
        <f t="shared" ref="E64:F66" si="144">E65+(E$63-E$67)*K64/SUM(K$63:K$66)</f>
        <v>144.61421319796952</v>
      </c>
      <c r="F64" s="2633">
        <f t="shared" si="144"/>
        <v>108.42008196721311</v>
      </c>
      <c r="G64" s="3570">
        <v>2005</v>
      </c>
      <c r="H64" s="2644">
        <v>3</v>
      </c>
      <c r="I64" s="2644">
        <v>0.46</v>
      </c>
      <c r="J64" s="2644">
        <v>0.32</v>
      </c>
      <c r="K64" s="2644">
        <v>0.42</v>
      </c>
      <c r="L64" s="2645">
        <v>0.64</v>
      </c>
      <c r="N64" s="2676">
        <f t="shared" si="141"/>
        <v>1.3898515951301874E-2</v>
      </c>
      <c r="O64" s="2677">
        <f t="shared" si="141"/>
        <v>1.0585900169080346E-2</v>
      </c>
      <c r="P64" s="2677">
        <f t="shared" si="142"/>
        <v>5.3299492385786795E-2</v>
      </c>
      <c r="Q64" s="2677">
        <f t="shared" si="142"/>
        <v>4.2898728359123568E-3</v>
      </c>
      <c r="R64" s="2630"/>
      <c r="S64" s="2628"/>
      <c r="T64" s="2629"/>
      <c r="U64" s="2629"/>
      <c r="V64" s="2629"/>
      <c r="X64" s="2678"/>
      <c r="Y64" s="2678"/>
      <c r="Z64" s="2678"/>
    </row>
    <row r="65" spans="1:26">
      <c r="A65" s="2620" t="s">
        <v>2613</v>
      </c>
      <c r="B65" s="2633">
        <f t="shared" si="143"/>
        <v>124.29032258064517</v>
      </c>
      <c r="C65" s="2633">
        <f t="shared" si="143"/>
        <v>123.8968609865471</v>
      </c>
      <c r="D65" s="2633">
        <f t="shared" si="114"/>
        <v>123.8968609865471</v>
      </c>
      <c r="E65" s="2633">
        <f t="shared" si="144"/>
        <v>138.00507614213197</v>
      </c>
      <c r="F65" s="2633">
        <f t="shared" si="144"/>
        <v>107.96106557377048</v>
      </c>
      <c r="G65" s="3570">
        <v>2005</v>
      </c>
      <c r="H65" s="2624">
        <v>2</v>
      </c>
      <c r="I65" s="2624">
        <v>0.47</v>
      </c>
      <c r="J65" s="2624">
        <v>0.1</v>
      </c>
      <c r="K65" s="2624">
        <v>0.52</v>
      </c>
      <c r="L65" s="2635">
        <v>0.79</v>
      </c>
      <c r="N65" s="2676">
        <f t="shared" si="141"/>
        <v>1.420065760241713E-2</v>
      </c>
      <c r="O65" s="2677">
        <f t="shared" si="141"/>
        <v>3.3080938028376083E-3</v>
      </c>
      <c r="P65" s="2677">
        <f t="shared" si="142"/>
        <v>6.598984771573603E-2</v>
      </c>
      <c r="Q65" s="2677">
        <f t="shared" si="142"/>
        <v>5.2953117818293153E-3</v>
      </c>
      <c r="R65" s="2630"/>
      <c r="S65" s="2628"/>
      <c r="T65" s="2629"/>
      <c r="U65" s="2629"/>
      <c r="V65" s="2629"/>
      <c r="X65" s="2678"/>
      <c r="Y65" s="2678"/>
      <c r="Z65" s="2678"/>
    </row>
    <row r="66" spans="1:26">
      <c r="A66" s="2620" t="s">
        <v>2614</v>
      </c>
      <c r="B66" s="2633">
        <f t="shared" si="143"/>
        <v>122.57204301075269</v>
      </c>
      <c r="C66" s="2633">
        <f t="shared" si="143"/>
        <v>123.4932735426009</v>
      </c>
      <c r="D66" s="2633">
        <f t="shared" si="114"/>
        <v>123.4932735426009</v>
      </c>
      <c r="E66" s="2633">
        <f t="shared" si="144"/>
        <v>129.82233502538071</v>
      </c>
      <c r="F66" s="2633">
        <f t="shared" si="144"/>
        <v>107.39446721311475</v>
      </c>
      <c r="G66" s="3573">
        <v>2005</v>
      </c>
      <c r="H66" s="2623">
        <v>1</v>
      </c>
      <c r="I66" s="2623">
        <v>0.43</v>
      </c>
      <c r="J66" s="2623">
        <v>0.37</v>
      </c>
      <c r="K66" s="2623">
        <v>0.37</v>
      </c>
      <c r="L66" s="2634">
        <v>0.55000000000000004</v>
      </c>
      <c r="N66" s="2679">
        <f t="shared" si="141"/>
        <v>1.2992090997956099E-2</v>
      </c>
      <c r="O66" s="2680">
        <f t="shared" si="141"/>
        <v>1.2239947070499151E-2</v>
      </c>
      <c r="P66" s="2680">
        <f t="shared" si="142"/>
        <v>4.6954314720812178E-2</v>
      </c>
      <c r="Q66" s="2680">
        <f t="shared" si="142"/>
        <v>3.6866094683621815E-3</v>
      </c>
      <c r="R66" s="2630"/>
      <c r="S66" s="2636">
        <f>B66/B67-1</f>
        <v>1.2992090997956174E-2</v>
      </c>
      <c r="T66" s="2637">
        <f>C66/C67-1</f>
        <v>1.2239947070499246E-2</v>
      </c>
      <c r="U66" s="2637">
        <f>E66/E67-1</f>
        <v>4.695431472081224E-2</v>
      </c>
      <c r="V66" s="2637">
        <f>F66/F67-1</f>
        <v>3.6866094683620787E-3</v>
      </c>
      <c r="X66" s="2678"/>
      <c r="Y66" s="2678"/>
      <c r="Z66" s="2678"/>
    </row>
    <row r="67" spans="1:26" ht="13.5" thickBot="1">
      <c r="A67" s="2620" t="s">
        <v>2615</v>
      </c>
      <c r="B67" s="2663">
        <v>121</v>
      </c>
      <c r="C67" s="2663">
        <v>122</v>
      </c>
      <c r="D67" s="2663">
        <f t="shared" si="114"/>
        <v>122</v>
      </c>
      <c r="E67" s="2663">
        <v>124</v>
      </c>
      <c r="F67" s="2664">
        <v>107</v>
      </c>
      <c r="G67" s="3572">
        <v>2004</v>
      </c>
      <c r="H67" s="2639">
        <v>4</v>
      </c>
      <c r="I67" s="2639">
        <v>0.33</v>
      </c>
      <c r="J67" s="2639">
        <v>0.5</v>
      </c>
      <c r="K67" s="2639">
        <v>0.5</v>
      </c>
      <c r="L67" s="2640">
        <v>0</v>
      </c>
      <c r="N67" s="2676">
        <f t="shared" ref="N67:O70" si="145">I67/SUM(I$67:I$70)*(B$67/B$71-1)</f>
        <v>1.3391770148526898E-2</v>
      </c>
      <c r="O67" s="2677">
        <f t="shared" si="145"/>
        <v>1.063264221158958E-2</v>
      </c>
      <c r="P67" s="2677">
        <f t="shared" ref="P67:Q70" si="146">K67/SUM(K$67:K$70)*(E$67/E$71-1)</f>
        <v>2.2244466688911134E-2</v>
      </c>
      <c r="Q67" s="2677">
        <f t="shared" si="146"/>
        <v>0</v>
      </c>
      <c r="R67" s="2630"/>
      <c r="S67" s="2631"/>
      <c r="T67" s="2632"/>
      <c r="U67" s="2632"/>
      <c r="V67" s="2632"/>
      <c r="X67" s="2678"/>
      <c r="Y67" s="2678"/>
      <c r="Z67" s="2678"/>
    </row>
    <row r="68" spans="1:26">
      <c r="A68" s="2620" t="s">
        <v>2616</v>
      </c>
      <c r="B68" s="2633">
        <f t="shared" ref="B68:C70" si="147">B69+(B$67-B$71)*I68/SUM(I$67:I$70)</f>
        <v>119.51351351351352</v>
      </c>
      <c r="C68" s="2633">
        <f t="shared" si="147"/>
        <v>120.7878787878788</v>
      </c>
      <c r="D68" s="2633">
        <f t="shared" si="114"/>
        <v>120.7878787878788</v>
      </c>
      <c r="E68" s="2633">
        <f t="shared" ref="E68:F70" si="148">E69+(E$67-E$71)*K68/SUM(K$67:K$70)</f>
        <v>121.5975975975976</v>
      </c>
      <c r="F68" s="2633">
        <f t="shared" si="148"/>
        <v>107</v>
      </c>
      <c r="G68" s="3570">
        <v>2004</v>
      </c>
      <c r="H68" s="2644">
        <v>3</v>
      </c>
      <c r="I68" s="2644">
        <v>0.56000000000000005</v>
      </c>
      <c r="J68" s="2644">
        <v>0.8</v>
      </c>
      <c r="K68" s="2644">
        <v>0.83</v>
      </c>
      <c r="L68" s="2645">
        <v>0.06</v>
      </c>
      <c r="N68" s="2676">
        <f t="shared" si="145"/>
        <v>2.2725428130833527E-2</v>
      </c>
      <c r="O68" s="2677">
        <f t="shared" si="145"/>
        <v>1.7012227538543329E-2</v>
      </c>
      <c r="P68" s="2677">
        <f t="shared" si="146"/>
        <v>3.6925814703592477E-2</v>
      </c>
      <c r="Q68" s="2677">
        <f t="shared" si="146"/>
        <v>2.8846153846153744E-2</v>
      </c>
      <c r="R68" s="2630"/>
      <c r="S68" s="2628"/>
      <c r="T68" s="2629"/>
      <c r="U68" s="2629"/>
      <c r="V68" s="2629"/>
      <c r="X68" s="2678"/>
      <c r="Y68" s="2678"/>
      <c r="Z68" s="2678"/>
    </row>
    <row r="69" spans="1:26">
      <c r="A69" s="2620" t="s">
        <v>2617</v>
      </c>
      <c r="B69" s="2633">
        <f t="shared" si="147"/>
        <v>116.99099099099099</v>
      </c>
      <c r="C69" s="2633">
        <f t="shared" si="147"/>
        <v>118.84848484848486</v>
      </c>
      <c r="D69" s="2633">
        <f t="shared" si="114"/>
        <v>118.84848484848486</v>
      </c>
      <c r="E69" s="2633">
        <f t="shared" si="148"/>
        <v>117.60960960960961</v>
      </c>
      <c r="F69" s="2633">
        <f t="shared" si="148"/>
        <v>104</v>
      </c>
      <c r="G69" s="3570">
        <v>2004</v>
      </c>
      <c r="H69" s="2624">
        <v>2</v>
      </c>
      <c r="I69" s="2624">
        <v>1</v>
      </c>
      <c r="J69" s="2624">
        <v>1.5</v>
      </c>
      <c r="K69" s="2624">
        <v>1.5</v>
      </c>
      <c r="L69" s="2635">
        <v>0</v>
      </c>
      <c r="N69" s="2676">
        <f t="shared" si="145"/>
        <v>4.0581121662202721E-2</v>
      </c>
      <c r="O69" s="2677">
        <f t="shared" si="145"/>
        <v>3.1897926634768738E-2</v>
      </c>
      <c r="P69" s="2677">
        <f t="shared" si="146"/>
        <v>6.6733400066733395E-2</v>
      </c>
      <c r="Q69" s="2677">
        <f t="shared" si="146"/>
        <v>0</v>
      </c>
      <c r="R69" s="2630"/>
      <c r="S69" s="2628"/>
      <c r="T69" s="2629"/>
      <c r="U69" s="2629"/>
      <c r="V69" s="2629"/>
      <c r="X69" s="2678"/>
      <c r="Y69" s="2678"/>
      <c r="Z69" s="2678"/>
    </row>
    <row r="70" spans="1:26" s="2669" customFormat="1" ht="13.5" thickBot="1">
      <c r="A70" s="2620" t="s">
        <v>2618</v>
      </c>
      <c r="B70" s="2666">
        <f t="shared" si="147"/>
        <v>112.48648648648648</v>
      </c>
      <c r="C70" s="2666">
        <f t="shared" si="147"/>
        <v>115.21212121212122</v>
      </c>
      <c r="D70" s="2666">
        <f t="shared" si="114"/>
        <v>115.21212121212122</v>
      </c>
      <c r="E70" s="2666">
        <f t="shared" si="148"/>
        <v>110.4024024024024</v>
      </c>
      <c r="F70" s="2666">
        <f t="shared" si="148"/>
        <v>104</v>
      </c>
      <c r="G70" s="3573">
        <v>2004</v>
      </c>
      <c r="H70" s="2667">
        <v>1</v>
      </c>
      <c r="I70" s="2667">
        <v>0.33</v>
      </c>
      <c r="J70" s="2667">
        <v>0.5</v>
      </c>
      <c r="K70" s="2667">
        <v>0.5</v>
      </c>
      <c r="L70" s="2668">
        <v>0</v>
      </c>
      <c r="N70" s="2681">
        <f t="shared" si="145"/>
        <v>1.3391770148526898E-2</v>
      </c>
      <c r="O70" s="2682">
        <f t="shared" si="145"/>
        <v>1.063264221158958E-2</v>
      </c>
      <c r="P70" s="2682">
        <f t="shared" si="146"/>
        <v>2.2244466688911134E-2</v>
      </c>
      <c r="Q70" s="2682">
        <f t="shared" si="146"/>
        <v>0</v>
      </c>
      <c r="R70" s="2672"/>
      <c r="S70" s="2670">
        <f>B70/B71-1</f>
        <v>1.3391770148526883E-2</v>
      </c>
      <c r="T70" s="2671">
        <f>C70/C71-1</f>
        <v>1.063264221158966E-2</v>
      </c>
      <c r="U70" s="2671">
        <f>E70/E71-1</f>
        <v>2.2244466688911224E-2</v>
      </c>
      <c r="V70" s="2671">
        <f>F70/F71-1</f>
        <v>0</v>
      </c>
      <c r="X70" s="2683"/>
      <c r="Y70" s="2683"/>
      <c r="Z70" s="2683"/>
    </row>
    <row r="71" spans="1:26" ht="13.5" thickBot="1">
      <c r="A71" s="2620" t="s">
        <v>2619</v>
      </c>
      <c r="B71" s="2684">
        <v>111</v>
      </c>
      <c r="C71" s="2684">
        <v>114</v>
      </c>
      <c r="D71" s="2684">
        <f t="shared" si="114"/>
        <v>114</v>
      </c>
      <c r="E71" s="2684">
        <v>108</v>
      </c>
      <c r="F71" s="2685">
        <v>104</v>
      </c>
      <c r="G71" s="3572">
        <v>2003</v>
      </c>
      <c r="H71" s="2674">
        <v>4</v>
      </c>
      <c r="I71" s="2686"/>
      <c r="J71" s="2686"/>
      <c r="K71" s="2686"/>
      <c r="L71" s="2686"/>
      <c r="N71" s="2687"/>
      <c r="O71" s="2686"/>
      <c r="P71" s="2686"/>
      <c r="Q71" s="2686"/>
      <c r="S71" s="2687"/>
      <c r="T71" s="2686"/>
      <c r="U71" s="2686"/>
      <c r="V71" s="2686"/>
      <c r="X71" s="2678"/>
      <c r="Y71" s="2678"/>
      <c r="Z71" s="2678"/>
    </row>
    <row r="72" spans="1:26">
      <c r="A72" s="2620" t="s">
        <v>2620</v>
      </c>
      <c r="B72" s="2688">
        <f t="shared" ref="B72:C74" si="149">B73+(B$71-B$75)/4</f>
        <v>109.75</v>
      </c>
      <c r="C72" s="2688">
        <f t="shared" si="149"/>
        <v>112.25</v>
      </c>
      <c r="D72" s="2688">
        <f t="shared" si="114"/>
        <v>112.25</v>
      </c>
      <c r="E72" s="2688">
        <f t="shared" ref="E72:F74" si="150">E73+(E$71-E$75)/4</f>
        <v>107.25</v>
      </c>
      <c r="F72" s="2688">
        <f t="shared" si="150"/>
        <v>103.5</v>
      </c>
      <c r="G72" s="3570">
        <v>2003</v>
      </c>
      <c r="H72" s="2644">
        <v>3</v>
      </c>
      <c r="I72" s="2686"/>
      <c r="J72" s="2686"/>
      <c r="K72" s="2686"/>
      <c r="L72" s="2686"/>
      <c r="X72" s="2678"/>
      <c r="Y72" s="2678"/>
      <c r="Z72" s="2678"/>
    </row>
    <row r="73" spans="1:26">
      <c r="A73" s="2620" t="s">
        <v>2621</v>
      </c>
      <c r="B73" s="2688">
        <f t="shared" si="149"/>
        <v>108.5</v>
      </c>
      <c r="C73" s="2688">
        <f t="shared" si="149"/>
        <v>110.5</v>
      </c>
      <c r="D73" s="2688">
        <f t="shared" si="114"/>
        <v>110.5</v>
      </c>
      <c r="E73" s="2688">
        <f t="shared" si="150"/>
        <v>106.5</v>
      </c>
      <c r="F73" s="2688">
        <f t="shared" si="150"/>
        <v>103</v>
      </c>
      <c r="G73" s="3570">
        <v>2003</v>
      </c>
      <c r="H73" s="2624">
        <v>2</v>
      </c>
      <c r="I73" s="2686"/>
      <c r="J73" s="2686"/>
      <c r="K73" s="2686"/>
      <c r="L73" s="2686"/>
      <c r="X73" s="2678"/>
      <c r="Y73" s="2678"/>
      <c r="Z73" s="2678"/>
    </row>
    <row r="74" spans="1:26" ht="13.5" thickBot="1">
      <c r="A74" s="2620" t="s">
        <v>2622</v>
      </c>
      <c r="B74" s="2688">
        <f t="shared" si="149"/>
        <v>107.25</v>
      </c>
      <c r="C74" s="2688">
        <f t="shared" si="149"/>
        <v>108.75</v>
      </c>
      <c r="D74" s="2688">
        <f t="shared" si="114"/>
        <v>108.75</v>
      </c>
      <c r="E74" s="2688">
        <f t="shared" si="150"/>
        <v>105.75</v>
      </c>
      <c r="F74" s="2688">
        <f t="shared" si="150"/>
        <v>102.5</v>
      </c>
      <c r="G74" s="3573">
        <v>2003</v>
      </c>
      <c r="H74" s="2689">
        <v>1</v>
      </c>
      <c r="I74" s="2686"/>
      <c r="J74" s="2686"/>
      <c r="K74" s="2686"/>
      <c r="L74" s="2686"/>
      <c r="S74" s="2628"/>
      <c r="T74" s="2629"/>
      <c r="U74" s="2629"/>
      <c r="X74" s="2678"/>
      <c r="Y74" s="2678"/>
      <c r="Z74" s="2678"/>
    </row>
    <row r="75" spans="1:26" ht="13.5" thickBot="1">
      <c r="A75" s="2620" t="s">
        <v>2623</v>
      </c>
      <c r="B75" s="2690">
        <v>106</v>
      </c>
      <c r="C75" s="2690">
        <v>107</v>
      </c>
      <c r="D75" s="2690">
        <f t="shared" si="114"/>
        <v>107</v>
      </c>
      <c r="E75" s="2690">
        <v>105</v>
      </c>
      <c r="F75" s="2691">
        <v>102</v>
      </c>
      <c r="G75" s="3572">
        <v>2002</v>
      </c>
      <c r="H75" s="2639">
        <v>4</v>
      </c>
      <c r="I75" s="2686"/>
      <c r="J75" s="2686"/>
      <c r="K75" s="2686"/>
      <c r="L75" s="2686"/>
      <c r="N75" s="2687"/>
      <c r="O75" s="2686"/>
      <c r="P75" s="2686"/>
      <c r="Q75" s="2686"/>
      <c r="S75" s="2687"/>
      <c r="T75" s="2686"/>
      <c r="U75" s="2686"/>
      <c r="V75" s="2686"/>
      <c r="X75" s="2678"/>
      <c r="Y75" s="2678"/>
      <c r="Z75" s="2678"/>
    </row>
    <row r="76" spans="1:26">
      <c r="A76" s="2620" t="s">
        <v>2624</v>
      </c>
      <c r="B76" s="2688">
        <f t="shared" ref="B76:C78" si="151">B77+(B$75-B$79)/4</f>
        <v>105</v>
      </c>
      <c r="C76" s="2688">
        <f t="shared" si="151"/>
        <v>106</v>
      </c>
      <c r="D76" s="2688">
        <f t="shared" si="114"/>
        <v>106</v>
      </c>
      <c r="E76" s="2688">
        <f t="shared" ref="E76:F78" si="152">E77+(E$75-E$79)/4</f>
        <v>104.5</v>
      </c>
      <c r="F76" s="2688">
        <f t="shared" si="152"/>
        <v>101.5</v>
      </c>
      <c r="G76" s="3570">
        <v>2002</v>
      </c>
      <c r="H76" s="2644">
        <v>3</v>
      </c>
      <c r="I76" s="2686"/>
      <c r="J76" s="2686"/>
      <c r="K76" s="2686"/>
      <c r="L76" s="2686"/>
      <c r="X76" s="2678"/>
      <c r="Y76" s="2678"/>
      <c r="Z76" s="2678"/>
    </row>
    <row r="77" spans="1:26">
      <c r="A77" s="2620" t="s">
        <v>2625</v>
      </c>
      <c r="B77" s="2688">
        <f t="shared" si="151"/>
        <v>104</v>
      </c>
      <c r="C77" s="2688">
        <f t="shared" si="151"/>
        <v>105</v>
      </c>
      <c r="D77" s="2688">
        <f t="shared" si="114"/>
        <v>105</v>
      </c>
      <c r="E77" s="2688">
        <f t="shared" si="152"/>
        <v>104</v>
      </c>
      <c r="F77" s="2688">
        <f t="shared" si="152"/>
        <v>101</v>
      </c>
      <c r="G77" s="3570">
        <v>2002</v>
      </c>
      <c r="H77" s="2624">
        <v>2</v>
      </c>
      <c r="I77" s="2686"/>
      <c r="J77" s="2686"/>
      <c r="K77" s="2686"/>
      <c r="L77" s="2686"/>
      <c r="X77" s="2678"/>
      <c r="Y77" s="2678"/>
      <c r="Z77" s="2678"/>
    </row>
    <row r="78" spans="1:26" s="2655" customFormat="1" ht="13.5" thickBot="1">
      <c r="A78" s="2651" t="s">
        <v>2626</v>
      </c>
      <c r="B78" s="2692">
        <f t="shared" si="151"/>
        <v>103</v>
      </c>
      <c r="C78" s="2692">
        <f t="shared" si="151"/>
        <v>104</v>
      </c>
      <c r="D78" s="2692">
        <f t="shared" si="114"/>
        <v>104</v>
      </c>
      <c r="E78" s="2692">
        <f t="shared" si="152"/>
        <v>103.5</v>
      </c>
      <c r="F78" s="2692">
        <f t="shared" si="152"/>
        <v>100.5</v>
      </c>
      <c r="G78" s="3573">
        <v>2002</v>
      </c>
      <c r="H78" s="2693">
        <v>1</v>
      </c>
      <c r="I78" s="2694"/>
      <c r="J78" s="2694"/>
      <c r="K78" s="2694"/>
      <c r="L78" s="2694"/>
      <c r="N78" s="2695"/>
      <c r="S78" s="2695"/>
      <c r="X78" s="2696"/>
      <c r="Y78" s="2696"/>
      <c r="Z78" s="2696"/>
    </row>
    <row r="79" spans="1:26" ht="13.5" thickBot="1">
      <c r="B79" s="2697">
        <v>102</v>
      </c>
      <c r="C79" s="2698">
        <v>103</v>
      </c>
      <c r="D79" s="2698">
        <f t="shared" si="114"/>
        <v>103</v>
      </c>
      <c r="E79" s="2698">
        <v>103</v>
      </c>
      <c r="F79" s="2699">
        <v>100</v>
      </c>
      <c r="I79" s="2686"/>
      <c r="J79" s="2686"/>
      <c r="K79" s="2686"/>
      <c r="L79" s="2686"/>
      <c r="N79" s="2687"/>
      <c r="O79" s="2686"/>
      <c r="P79" s="2686"/>
      <c r="Q79" s="2686"/>
      <c r="S79" s="2687"/>
      <c r="T79" s="2686"/>
      <c r="U79" s="2686"/>
      <c r="V79" s="2686"/>
      <c r="X79" s="2632"/>
      <c r="Y79" s="2632"/>
      <c r="Z79" s="2632"/>
    </row>
    <row r="81" spans="1:22" s="2701" customFormat="1">
      <c r="A81" s="2700" t="s">
        <v>2627</v>
      </c>
      <c r="G81" s="2702"/>
      <c r="N81" s="2702"/>
      <c r="S81" s="2702"/>
    </row>
    <row r="82" spans="1:22" s="2701" customFormat="1">
      <c r="A82" s="2701" t="s">
        <v>2628</v>
      </c>
      <c r="G82" s="2702"/>
      <c r="N82" s="2702"/>
      <c r="S82" s="2702"/>
    </row>
    <row r="83" spans="1:22" s="2701" customFormat="1">
      <c r="A83" s="2701" t="s">
        <v>2629</v>
      </c>
      <c r="G83" s="2702"/>
      <c r="I83" s="2703"/>
      <c r="J83" s="2703"/>
      <c r="K83" s="2703"/>
      <c r="L83" s="2703"/>
      <c r="N83" s="2704"/>
      <c r="O83" s="2703"/>
      <c r="P83" s="2703"/>
      <c r="Q83" s="2703"/>
      <c r="S83" s="2704"/>
      <c r="T83" s="2703"/>
      <c r="U83" s="2703"/>
      <c r="V83" s="2703"/>
    </row>
    <row r="84" spans="1:22" s="2701" customFormat="1">
      <c r="A84" s="2701" t="s">
        <v>2630</v>
      </c>
      <c r="G84" s="2702"/>
      <c r="N84" s="2702"/>
      <c r="S84" s="2702"/>
    </row>
    <row r="91" spans="1:22" ht="13.5" thickBot="1"/>
    <row r="92" spans="1:22">
      <c r="G92" s="2627"/>
      <c r="S92" s="2705" t="s">
        <v>2631</v>
      </c>
      <c r="T92" s="2706" t="s">
        <v>2632</v>
      </c>
      <c r="U92" s="2706" t="s">
        <v>2633</v>
      </c>
      <c r="V92" s="2706" t="s">
        <v>2634</v>
      </c>
    </row>
    <row r="93" spans="1:22">
      <c r="G93" s="2627"/>
      <c r="N93" s="2631"/>
      <c r="O93" s="2632"/>
      <c r="P93" s="2632"/>
      <c r="Q93" s="2632"/>
      <c r="S93" s="2707">
        <v>2006</v>
      </c>
      <c r="T93" s="2708">
        <v>15.1</v>
      </c>
      <c r="U93" s="2708">
        <v>7.43</v>
      </c>
      <c r="V93" s="2708">
        <v>26.26</v>
      </c>
    </row>
    <row r="94" spans="1:22">
      <c r="G94" s="2627"/>
      <c r="N94" s="2631"/>
      <c r="O94" s="2632"/>
      <c r="P94" s="2632"/>
      <c r="Q94" s="2632"/>
      <c r="S94" s="2710">
        <v>2005</v>
      </c>
      <c r="T94" s="2709">
        <v>13.9</v>
      </c>
      <c r="U94" s="2709">
        <v>7.49</v>
      </c>
      <c r="V94" s="2709">
        <v>24.92</v>
      </c>
    </row>
    <row r="95" spans="1:22">
      <c r="G95" s="2627"/>
      <c r="N95" s="2631"/>
      <c r="O95" s="2632"/>
      <c r="P95" s="2632"/>
      <c r="Q95" s="2632"/>
      <c r="S95" s="2707">
        <v>2004</v>
      </c>
      <c r="T95" s="2708">
        <v>9.48</v>
      </c>
      <c r="U95" s="2708">
        <v>7.2</v>
      </c>
      <c r="V95" s="2708">
        <v>14.68</v>
      </c>
    </row>
    <row r="96" spans="1:22">
      <c r="G96" s="2627"/>
      <c r="N96" s="2631"/>
      <c r="O96" s="2632"/>
      <c r="P96" s="2632"/>
      <c r="Q96" s="2632"/>
      <c r="S96" s="2710">
        <v>2003</v>
      </c>
      <c r="T96" s="2709">
        <v>4.5</v>
      </c>
      <c r="U96" s="2709">
        <v>6.12</v>
      </c>
      <c r="V96" s="2709">
        <v>2.34</v>
      </c>
    </row>
    <row r="97" spans="7:22" ht="13.5" thickBot="1">
      <c r="G97" s="2627"/>
      <c r="N97" s="2631"/>
      <c r="O97" s="2632"/>
      <c r="P97" s="2632"/>
      <c r="Q97" s="2632"/>
      <c r="S97" s="2711">
        <v>2002</v>
      </c>
      <c r="T97" s="2712">
        <v>3.59</v>
      </c>
      <c r="U97" s="2712">
        <v>4.54</v>
      </c>
      <c r="V97" s="2712">
        <v>2.5499999999999998</v>
      </c>
    </row>
    <row r="98" spans="7:22">
      <c r="G98" s="2627"/>
      <c r="N98" s="2631"/>
      <c r="O98" s="2632"/>
      <c r="P98" s="2632"/>
      <c r="Q98" s="2632"/>
    </row>
    <row r="99" spans="7:22">
      <c r="G99" s="2627"/>
      <c r="N99" s="2631"/>
      <c r="O99" s="2632"/>
      <c r="P99" s="2632"/>
      <c r="Q99" s="2632"/>
    </row>
    <row r="100" spans="7:22">
      <c r="G100" s="2627"/>
      <c r="N100" s="2631"/>
      <c r="O100" s="2632"/>
      <c r="P100" s="2632"/>
      <c r="Q100" s="2632"/>
    </row>
    <row r="101" spans="7:22">
      <c r="G101" s="2627"/>
      <c r="N101" s="2631"/>
      <c r="O101" s="2632"/>
      <c r="P101" s="2632"/>
      <c r="Q101" s="2632"/>
    </row>
    <row r="102" spans="7:22">
      <c r="G102" s="2627"/>
      <c r="N102" s="2631"/>
      <c r="O102" s="2632"/>
      <c r="P102" s="2632"/>
      <c r="Q102" s="2632"/>
    </row>
    <row r="103" spans="7:22">
      <c r="G103" s="2627"/>
      <c r="N103" s="2631"/>
      <c r="O103" s="2632"/>
      <c r="P103" s="2632"/>
      <c r="Q103" s="2632"/>
    </row>
    <row r="104" spans="7:22">
      <c r="G104" s="2627"/>
      <c r="N104" s="2631"/>
      <c r="O104" s="2632"/>
      <c r="P104" s="2632"/>
      <c r="Q104" s="2632"/>
    </row>
    <row r="105" spans="7:22">
      <c r="G105" s="2627"/>
      <c r="N105" s="2631"/>
      <c r="O105" s="2632"/>
      <c r="P105" s="2632"/>
      <c r="Q105" s="2632"/>
    </row>
    <row r="106" spans="7:22">
      <c r="G106" s="2627"/>
      <c r="N106" s="2631"/>
      <c r="O106" s="2632"/>
      <c r="P106" s="2632"/>
      <c r="Q106" s="2632"/>
    </row>
    <row r="107" spans="7:22">
      <c r="G107" s="2627"/>
      <c r="N107" s="2631"/>
      <c r="O107" s="2632"/>
      <c r="P107" s="2632"/>
      <c r="Q107" s="2632"/>
    </row>
    <row r="108" spans="7:22">
      <c r="G108" s="2627"/>
      <c r="N108" s="2631"/>
      <c r="O108" s="2632"/>
      <c r="P108" s="2632"/>
      <c r="Q108" s="2632"/>
      <c r="S108" s="2627"/>
    </row>
    <row r="109" spans="7:22">
      <c r="G109" s="2627"/>
      <c r="N109" s="2631"/>
      <c r="O109" s="2632"/>
      <c r="P109" s="2632"/>
      <c r="Q109" s="2632"/>
      <c r="S109" s="2627"/>
    </row>
    <row r="110" spans="7:22">
      <c r="G110" s="2627"/>
      <c r="N110" s="2631"/>
      <c r="O110" s="2632"/>
      <c r="P110" s="2632"/>
      <c r="Q110" s="2632"/>
      <c r="S110" s="2627"/>
    </row>
    <row r="111" spans="7:22">
      <c r="G111" s="2627"/>
      <c r="N111" s="2631"/>
      <c r="O111" s="2632"/>
      <c r="P111" s="2632"/>
      <c r="Q111" s="2632"/>
      <c r="S111" s="2627"/>
    </row>
    <row r="112" spans="7:22">
      <c r="G112" s="2627"/>
      <c r="N112" s="2631"/>
      <c r="O112" s="2632"/>
      <c r="P112" s="2632"/>
      <c r="Q112" s="2632"/>
      <c r="S112" s="2627"/>
    </row>
    <row r="113" spans="7:19">
      <c r="G113" s="2627"/>
      <c r="N113" s="2631"/>
      <c r="O113" s="2632"/>
      <c r="P113" s="2632"/>
      <c r="Q113" s="2632"/>
      <c r="S113" s="2627"/>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S6" sqref="S6:V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2944</v>
      </c>
      <c r="B1" s="3058"/>
      <c r="C1" s="3058"/>
      <c r="D1" s="3058"/>
      <c r="E1" s="3058"/>
      <c r="F1" s="3058"/>
    </row>
    <row r="2" spans="1:6" ht="14.25">
      <c r="A2" s="3059" t="s">
        <v>2939</v>
      </c>
      <c r="B2" s="3060">
        <f ca="1">SUMIF(B7:B14,"&lt;&gt;#ref!",B7:B14)</f>
        <v>30594</v>
      </c>
      <c r="C2" s="3059" t="s">
        <v>2940</v>
      </c>
      <c r="D2" s="3058"/>
      <c r="E2" s="3058"/>
      <c r="F2" s="3058"/>
    </row>
    <row r="3" spans="1:6" ht="14.25">
      <c r="A3" s="3059" t="s">
        <v>2972</v>
      </c>
      <c r="B3" s="3060">
        <f ca="1">ROUND(B2*10000/E3,0)</f>
        <v>1246</v>
      </c>
      <c r="C3" s="3059" t="s">
        <v>2076</v>
      </c>
      <c r="D3" s="3059" t="s">
        <v>2941</v>
      </c>
      <c r="E3" s="3060">
        <f ca="1">SUMIF(E7:E14,"&lt;&gt;#ref!",E7:E14)</f>
        <v>245539.3</v>
      </c>
      <c r="F3" s="3058"/>
    </row>
    <row r="4" spans="1:6" ht="14.25">
      <c r="A4" s="3059" t="s">
        <v>2948</v>
      </c>
      <c r="B4" s="3060">
        <f ca="1">ROUND(B2*10000/E4,0)</f>
        <v>1246</v>
      </c>
      <c r="C4" s="3059" t="s">
        <v>2076</v>
      </c>
      <c r="D4" s="3059" t="s">
        <v>2949</v>
      </c>
      <c r="E4" s="3060">
        <f ca="1">SUMIF(F7:F14,"&lt;&gt;#ref!",F7:F14)</f>
        <v>245539.3</v>
      </c>
      <c r="F4" s="3058"/>
    </row>
    <row r="5" spans="1:6" ht="14.25">
      <c r="A5" s="3061"/>
      <c r="B5" s="1867"/>
      <c r="C5" s="1867"/>
      <c r="D5" s="1867"/>
      <c r="E5" s="1867"/>
      <c r="F5" s="3058"/>
    </row>
    <row r="6" spans="1:6" ht="28.5">
      <c r="A6" s="3062" t="s">
        <v>2945</v>
      </c>
      <c r="B6" s="3059" t="s">
        <v>2942</v>
      </c>
      <c r="C6" s="3060"/>
      <c r="D6" s="1867"/>
      <c r="E6" s="3059" t="s">
        <v>2943</v>
      </c>
      <c r="F6" s="3059" t="s">
        <v>2947</v>
      </c>
    </row>
    <row r="7" spans="1:6" ht="14.25">
      <c r="A7" s="260" t="s">
        <v>2946</v>
      </c>
      <c r="B7" s="3063">
        <f ca="1">SUMIF(INDIRECT("'"&amp;A7&amp;"'"&amp;"!A:A"),"总价",INDIRECT("'"&amp;A7&amp;"'"&amp;"!B:B"))</f>
        <v>30594</v>
      </c>
      <c r="C7" s="3059" t="s">
        <v>2940</v>
      </c>
      <c r="D7" s="1867"/>
      <c r="E7" s="3064">
        <f ca="1">SUMIF(INDIRECT("'"&amp;A7&amp;"'"&amp;"!C:C"),"建筑面积",INDIRECT("'"&amp;A7&amp;"'"&amp;"!D:D"))</f>
        <v>245539.3</v>
      </c>
      <c r="F7" s="3064">
        <f ca="1">SUMIF(INDIRECT("'"&amp;A7&amp;"'"&amp;"!E:E"),"土地面积",INDIRECT("'"&amp;A7&amp;"'"&amp;"!F:F"))</f>
        <v>245539.3</v>
      </c>
    </row>
    <row r="8" spans="1:6" ht="14.25">
      <c r="A8" s="260"/>
      <c r="B8" s="3063" t="e">
        <f t="shared" ref="B8:B14" ca="1" si="0">SUMIF(INDIRECT("'"&amp;A8&amp;"'"&amp;"!A:A"),"总价",INDIRECT("'"&amp;A8&amp;"'"&amp;"!B:B"))</f>
        <v>#REF!</v>
      </c>
      <c r="C8" s="3059" t="s">
        <v>2940</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2940</v>
      </c>
      <c r="D9" s="1867"/>
      <c r="E9" s="3064" t="e">
        <f t="shared" ca="1" si="1"/>
        <v>#REF!</v>
      </c>
      <c r="F9" s="3064" t="e">
        <f t="shared" ca="1" si="2"/>
        <v>#REF!</v>
      </c>
    </row>
    <row r="10" spans="1:6" ht="14.25">
      <c r="A10" s="260"/>
      <c r="B10" s="3063" t="e">
        <f t="shared" ca="1" si="0"/>
        <v>#REF!</v>
      </c>
      <c r="C10" s="3059" t="s">
        <v>2940</v>
      </c>
      <c r="D10" s="1867"/>
      <c r="E10" s="3064" t="e">
        <f t="shared" ca="1" si="1"/>
        <v>#REF!</v>
      </c>
      <c r="F10" s="3064" t="e">
        <f t="shared" ca="1" si="2"/>
        <v>#REF!</v>
      </c>
    </row>
    <row r="11" spans="1:6" ht="14.25">
      <c r="A11" s="260"/>
      <c r="B11" s="3063" t="e">
        <f t="shared" ca="1" si="0"/>
        <v>#REF!</v>
      </c>
      <c r="C11" s="3059" t="s">
        <v>2940</v>
      </c>
      <c r="D11" s="1867"/>
      <c r="E11" s="3064" t="e">
        <f t="shared" ca="1" si="1"/>
        <v>#REF!</v>
      </c>
      <c r="F11" s="3064" t="e">
        <f t="shared" ca="1" si="2"/>
        <v>#REF!</v>
      </c>
    </row>
    <row r="12" spans="1:6" ht="14.25">
      <c r="A12" s="260"/>
      <c r="B12" s="3063" t="e">
        <f t="shared" ca="1" si="0"/>
        <v>#REF!</v>
      </c>
      <c r="C12" s="3059" t="s">
        <v>2940</v>
      </c>
      <c r="D12" s="1867"/>
      <c r="E12" s="3064" t="e">
        <f t="shared" ca="1" si="1"/>
        <v>#REF!</v>
      </c>
      <c r="F12" s="3064" t="e">
        <f t="shared" ca="1" si="2"/>
        <v>#REF!</v>
      </c>
    </row>
    <row r="13" spans="1:6" ht="14.25">
      <c r="A13" s="260"/>
      <c r="B13" s="3063" t="e">
        <f t="shared" ca="1" si="0"/>
        <v>#REF!</v>
      </c>
      <c r="C13" s="3059" t="s">
        <v>2940</v>
      </c>
      <c r="D13" s="1867"/>
      <c r="E13" s="3064" t="e">
        <f t="shared" ca="1" si="1"/>
        <v>#REF!</v>
      </c>
      <c r="F13" s="3064" t="e">
        <f t="shared" ca="1" si="2"/>
        <v>#REF!</v>
      </c>
    </row>
    <row r="14" spans="1:6" ht="14.25">
      <c r="A14" s="3057"/>
      <c r="B14" s="3063" t="e">
        <f t="shared" ca="1" si="0"/>
        <v>#REF!</v>
      </c>
      <c r="C14" s="3059" t="s">
        <v>2940</v>
      </c>
      <c r="D14" s="1867"/>
      <c r="E14" s="3064" t="e">
        <f t="shared" ca="1" si="1"/>
        <v>#REF!</v>
      </c>
      <c r="F14" s="306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5" zoomScale="70" zoomScaleNormal="70" workbookViewId="0">
      <selection activeCell="S6" sqref="S6:V6"/>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2455</v>
      </c>
      <c r="C7" s="53">
        <f ca="1">C8+C12+C14</f>
        <v>0</v>
      </c>
      <c r="D7" s="2461" t="s">
        <v>2458</v>
      </c>
      <c r="E7" s="2455"/>
      <c r="F7" s="2456"/>
      <c r="G7" s="1579"/>
      <c r="H7" s="781">
        <v>1</v>
      </c>
      <c r="I7" s="782" t="s">
        <v>2455</v>
      </c>
      <c r="J7" s="53">
        <f ca="1">J8+J12+J14</f>
        <v>0</v>
      </c>
      <c r="K7" s="2461" t="s">
        <v>2458</v>
      </c>
      <c r="L7" s="2455"/>
      <c r="M7" s="2456"/>
    </row>
    <row r="8" spans="1:25" ht="18" customHeight="1">
      <c r="A8" s="1816" t="s">
        <v>1824</v>
      </c>
      <c r="B8" s="3581" t="s">
        <v>2460</v>
      </c>
      <c r="C8" s="1811">
        <f ca="1">ROUND(F8*F10*F9*(1-F11)/10000,0)</f>
        <v>0</v>
      </c>
      <c r="D8" s="1808" t="s">
        <v>2531</v>
      </c>
      <c r="E8" s="61" t="s">
        <v>637</v>
      </c>
      <c r="F8" s="785">
        <f ca="1">INDIRECT("'数据-取费表'!u"&amp;$G$1)</f>
        <v>0</v>
      </c>
      <c r="G8" s="1579"/>
      <c r="H8" s="2469" t="s">
        <v>1824</v>
      </c>
      <c r="I8" s="3581" t="s">
        <v>2460</v>
      </c>
      <c r="J8" s="783">
        <f ca="1">ROUND(M8*M10*M9*(1-M11)/10000,0)</f>
        <v>0</v>
      </c>
      <c r="K8" s="341" t="s">
        <v>2531</v>
      </c>
      <c r="L8" s="784" t="s">
        <v>1738</v>
      </c>
      <c r="M8" s="785">
        <f ca="1">INDIRECT("'数据-取费表'!z"&amp;$G$1)</f>
        <v>0</v>
      </c>
    </row>
    <row r="9" spans="1:25" ht="18" customHeight="1">
      <c r="A9" s="2465"/>
      <c r="B9" s="3582"/>
      <c r="C9" s="1812"/>
      <c r="D9" s="1809"/>
      <c r="E9" s="61" t="s">
        <v>638</v>
      </c>
      <c r="F9" s="785">
        <f ca="1">IF(INDIRECT("'数据-取费表'!ah"&amp;$G$1)="",INDIRECT("'数据-取费表'!k"&amp;$G$1),INDIRECT("'数据-取费表'!ah"&amp;$G$1))</f>
        <v>0</v>
      </c>
      <c r="G9" s="1579"/>
      <c r="H9" s="2454"/>
      <c r="I9" s="3582"/>
      <c r="J9" s="788"/>
      <c r="K9" s="789"/>
      <c r="L9" s="784" t="s">
        <v>1739</v>
      </c>
      <c r="M9" s="785">
        <f ca="1">F9</f>
        <v>0</v>
      </c>
    </row>
    <row r="10" spans="1:25" ht="18" customHeight="1">
      <c r="A10" s="2458"/>
      <c r="B10" s="3583"/>
      <c r="C10" s="1812"/>
      <c r="D10" s="1809"/>
      <c r="E10" s="61" t="s">
        <v>639</v>
      </c>
      <c r="F10" s="785">
        <f ca="1">INDIRECT("'数据-取费表'!ai"&amp;$G$1)</f>
        <v>0</v>
      </c>
      <c r="G10" s="1579"/>
      <c r="H10" s="2454"/>
      <c r="I10" s="3583"/>
      <c r="J10" s="788"/>
      <c r="K10" s="789"/>
      <c r="L10" s="784" t="s">
        <v>1740</v>
      </c>
      <c r="M10" s="785">
        <f ca="1">INDIRECT("'数据-取费表'!ai"&amp;$G$1)</f>
        <v>0</v>
      </c>
    </row>
    <row r="11" spans="1:25" ht="18" customHeight="1">
      <c r="A11" s="786"/>
      <c r="B11" s="3584"/>
      <c r="C11" s="1812"/>
      <c r="D11" s="1809"/>
      <c r="E11" s="61" t="s">
        <v>640</v>
      </c>
      <c r="F11" s="794">
        <f ca="1">INDIRECT("'数据-取费表'!w"&amp;$G$1)</f>
        <v>0</v>
      </c>
      <c r="G11" s="1579"/>
      <c r="H11" s="2470"/>
      <c r="I11" s="3583"/>
      <c r="J11" s="788"/>
      <c r="K11" s="789"/>
      <c r="L11" s="795" t="s">
        <v>1741</v>
      </c>
      <c r="M11" s="796">
        <f ca="1">INDIRECT("'数据-取费表'!ab"&amp;$G$1)</f>
        <v>0</v>
      </c>
    </row>
    <row r="12" spans="1:25" ht="18" customHeight="1">
      <c r="A12" s="1816" t="s">
        <v>1825</v>
      </c>
      <c r="B12" s="2459" t="s">
        <v>2456</v>
      </c>
      <c r="C12" s="799">
        <f ca="1">ROUND(IF(F12="押一",C8/12*F13,IF(F12="押二",C8/12*2*F13,IF(F12="押三",C8/12*3*F13,C13*F13))),0)</f>
        <v>0</v>
      </c>
      <c r="D12" s="2466" t="s">
        <v>2969</v>
      </c>
      <c r="E12" s="2463" t="s">
        <v>2461</v>
      </c>
      <c r="F12" s="2586"/>
      <c r="G12" s="1579"/>
      <c r="H12" s="2526" t="s">
        <v>1825</v>
      </c>
      <c r="I12" s="2531" t="s">
        <v>2456</v>
      </c>
      <c r="J12" s="783">
        <f ca="1">ROUND(IF(M12="押一",J8/12*M13,IF(M12="押二",J8/12*2*M13,IF(M12="押三",J8/12*3*M13,J13*M13))),0)</f>
        <v>0</v>
      </c>
      <c r="K12" s="2466" t="s">
        <v>2969</v>
      </c>
      <c r="L12" s="2463" t="s">
        <v>2461</v>
      </c>
      <c r="M12" s="2586"/>
    </row>
    <row r="13" spans="1:25" ht="18" customHeight="1">
      <c r="A13" s="790"/>
      <c r="B13" s="2460" t="s">
        <v>2570</v>
      </c>
      <c r="C13" s="2464"/>
      <c r="D13" s="789"/>
      <c r="E13" s="2463" t="s">
        <v>2453</v>
      </c>
      <c r="F13" s="796">
        <f ca="1">'数据-取费表'!B39</f>
        <v>1.4999999999999999E-2</v>
      </c>
      <c r="G13" s="1579"/>
      <c r="H13" s="2527"/>
      <c r="I13" s="2460" t="s">
        <v>2570</v>
      </c>
      <c r="J13" s="2464"/>
      <c r="K13" s="2528"/>
      <c r="L13" s="2463" t="s">
        <v>2453</v>
      </c>
      <c r="M13" s="2457">
        <f ca="1">'数据-取费表'!B39</f>
        <v>1.4999999999999999E-2</v>
      </c>
    </row>
    <row r="14" spans="1:25" ht="18" customHeight="1" thickBot="1">
      <c r="A14" s="2502" t="s">
        <v>2464</v>
      </c>
      <c r="B14" s="2503" t="s">
        <v>2457</v>
      </c>
      <c r="C14" s="2504"/>
      <c r="D14" s="2505"/>
      <c r="E14" s="2506"/>
      <c r="F14" s="2507"/>
      <c r="G14" s="1579"/>
      <c r="H14" s="2516" t="s">
        <v>2464</v>
      </c>
      <c r="I14" s="2529" t="s">
        <v>2457</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2820</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3182">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3182">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3182">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2434</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0</v>
      </c>
      <c r="D26" s="2536"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2817</v>
      </c>
      <c r="J27" s="799">
        <f ca="1">J7-J18</f>
        <v>0</v>
      </c>
      <c r="K27" s="1965" t="s">
        <v>700</v>
      </c>
      <c r="L27" s="1967"/>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2818</v>
      </c>
      <c r="C31" s="2509">
        <f ca="1">ROUND((C21+C22+C25+C28)/(1-F23-C26-C29-C30),0)</f>
        <v>0</v>
      </c>
      <c r="D31" s="2510"/>
      <c r="E31" s="2511"/>
      <c r="F31" s="2512"/>
      <c r="G31" s="1580"/>
      <c r="H31" s="823" t="s">
        <v>1872</v>
      </c>
      <c r="I31" s="2965" t="s">
        <v>2819</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3182">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3182">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3182">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580"/>
      <c r="J36" s="2065"/>
      <c r="K36" s="2066"/>
      <c r="L36" s="2065"/>
      <c r="M36" s="2065"/>
    </row>
    <row r="37" spans="1:18" ht="18" customHeight="1">
      <c r="A37" s="815"/>
      <c r="B37" s="793"/>
      <c r="C37" s="69"/>
      <c r="D37" s="816"/>
      <c r="E37" s="784" t="s">
        <v>674</v>
      </c>
      <c r="F37" s="785">
        <f ca="1">INDIRECT("'数据-取费表'!r"&amp;$G$1)</f>
        <v>0</v>
      </c>
      <c r="G37" s="2048"/>
      <c r="H37" s="2051"/>
      <c r="I37" s="3580"/>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2957</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2960</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09" t="str">
        <f ca="1">IF(M48="住宅",0,IF(L49&gt;J52,L61,J61))</f>
        <v>0</v>
      </c>
      <c r="O47" s="2359" t="s">
        <v>2407</v>
      </c>
      <c r="P47" s="1579"/>
      <c r="Q47" s="1590"/>
      <c r="R47" s="1579"/>
    </row>
    <row r="48" spans="1:18" s="2045" customFormat="1" ht="18" customHeight="1" thickBot="1">
      <c r="A48" s="2070"/>
      <c r="C48" s="2073"/>
      <c r="D48" s="2074"/>
      <c r="E48" s="2074"/>
      <c r="F48" s="2075"/>
      <c r="G48" s="2076"/>
      <c r="I48" s="3100" t="s">
        <v>2341</v>
      </c>
      <c r="J48" s="2346"/>
      <c r="K48" s="3106" t="s">
        <v>2346</v>
      </c>
      <c r="L48" s="3110">
        <f ca="1">INDIRECT("'数据-取费表'!d"&amp;$G$1)</f>
        <v>0</v>
      </c>
      <c r="M48" s="3074"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9" t="s">
        <v>2342</v>
      </c>
      <c r="J49" s="2347"/>
      <c r="K49" s="3107"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9" t="s">
        <v>2343</v>
      </c>
      <c r="J50" s="2348"/>
      <c r="K50" s="3108"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9" t="s">
        <v>2344</v>
      </c>
      <c r="J51" s="3104">
        <f>SUMPRODUCT((I64:I66=J48)*(J63:L63=J49)*(J64:L66))</f>
        <v>0</v>
      </c>
      <c r="K51" s="3108" t="s">
        <v>2350</v>
      </c>
      <c r="L51" s="2349"/>
      <c r="O51" s="2366" t="s">
        <v>2380</v>
      </c>
      <c r="P51" s="2364" t="s">
        <v>2404</v>
      </c>
      <c r="Q51" s="2365">
        <f ca="1">C31</f>
        <v>0</v>
      </c>
      <c r="R51" s="2364" t="s">
        <v>2377</v>
      </c>
    </row>
    <row r="52" spans="1:18" s="2045" customFormat="1" ht="18" customHeight="1" thickBot="1">
      <c r="A52" s="2082"/>
      <c r="F52" s="2071"/>
      <c r="I52" s="3101" t="s">
        <v>2345</v>
      </c>
      <c r="J52" s="3105">
        <f>IF(J50="",J51,J50+J51-YEAR('数据-取费表'!B3))</f>
        <v>0</v>
      </c>
      <c r="K52" s="3079" t="s">
        <v>2351</v>
      </c>
      <c r="L52" s="3111">
        <f ca="1">C45</f>
        <v>0</v>
      </c>
      <c r="O52" s="2366" t="s">
        <v>2381</v>
      </c>
      <c r="P52" s="2364" t="s">
        <v>2382</v>
      </c>
      <c r="Q52" s="2367" t="e">
        <f ca="1">J59</f>
        <v>#VALUE!</v>
      </c>
      <c r="R52" s="2368"/>
    </row>
    <row r="53" spans="1:18" s="2045" customFormat="1" ht="18" customHeight="1" thickBot="1">
      <c r="A53" s="2082"/>
      <c r="F53" s="2071"/>
      <c r="I53" s="3102" t="s">
        <v>2418</v>
      </c>
      <c r="J53" s="2350"/>
      <c r="K53" s="3102" t="s">
        <v>2417</v>
      </c>
      <c r="L53" s="2350"/>
      <c r="O53" s="2366" t="s">
        <v>2383</v>
      </c>
      <c r="P53" s="2364" t="s">
        <v>2384</v>
      </c>
      <c r="Q53" s="2367">
        <f>J53</f>
        <v>0</v>
      </c>
      <c r="R53" s="2368"/>
    </row>
    <row r="54" spans="1:18" s="2045" customFormat="1" ht="29.25" thickBot="1">
      <c r="A54" s="2082"/>
      <c r="I54" s="3103" t="s">
        <v>2973</v>
      </c>
      <c r="J54" s="3183">
        <f ca="1">IF(M48="住宅",MAX(J52,L49),MIN(J52,L49))</f>
        <v>0</v>
      </c>
      <c r="K54" s="3585"/>
      <c r="L54" s="3586"/>
      <c r="O54" s="2366" t="s">
        <v>2385</v>
      </c>
      <c r="P54" s="2364" t="s">
        <v>2386</v>
      </c>
      <c r="Q54" s="2365">
        <f ca="1">J54</f>
        <v>0</v>
      </c>
      <c r="R54" s="2364" t="s">
        <v>2387</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2388</v>
      </c>
      <c r="P55" s="2364" t="s">
        <v>2405</v>
      </c>
      <c r="Q55" s="2365">
        <f ca="1">Q49+Q50</f>
        <v>0</v>
      </c>
      <c r="R55" s="2368" t="s">
        <v>2389</v>
      </c>
    </row>
    <row r="56" spans="1:18" s="2045" customFormat="1" ht="16.5" thickBot="1">
      <c r="A56" s="2082"/>
      <c r="B56" s="2083"/>
      <c r="C56" s="2083"/>
      <c r="I56" s="3114" t="s">
        <v>2352</v>
      </c>
      <c r="J56" s="3054" t="e">
        <f ca="1">ROUND(IF(J48="钢混",J58/J51,1-(1-2%)*(J51-J58)/J51),3)</f>
        <v>#VALUE!</v>
      </c>
      <c r="K56" s="3115" t="s">
        <v>2353</v>
      </c>
      <c r="L56" s="2351"/>
      <c r="O56" s="2369" t="s">
        <v>2408</v>
      </c>
      <c r="P56" s="1579"/>
      <c r="Q56" s="1590"/>
      <c r="R56" s="1579"/>
    </row>
    <row r="57" spans="1:18" s="2045" customFormat="1" ht="43.5" thickBot="1">
      <c r="A57" s="2082"/>
      <c r="B57" s="2083"/>
      <c r="C57" s="2083"/>
      <c r="I57" s="3116" t="s">
        <v>2354</v>
      </c>
      <c r="J57" s="3126" t="s">
        <v>1678</v>
      </c>
      <c r="K57" s="3079" t="s">
        <v>2359</v>
      </c>
      <c r="L57" s="1894">
        <f ca="1">IF(L49&lt;J52,"——",L49-J52)</f>
        <v>0</v>
      </c>
      <c r="O57" s="2360" t="s">
        <v>2372</v>
      </c>
      <c r="P57" s="2361" t="s">
        <v>2373</v>
      </c>
      <c r="Q57" s="2362" t="s">
        <v>2374</v>
      </c>
      <c r="R57" s="2361" t="s">
        <v>2375</v>
      </c>
    </row>
    <row r="58" spans="1:18" s="2045" customFormat="1" ht="29.25" thickBot="1">
      <c r="A58" s="2082"/>
      <c r="B58" s="2083"/>
      <c r="C58" s="2083"/>
      <c r="I58" s="3117" t="s">
        <v>2355</v>
      </c>
      <c r="J58" s="3118" t="str">
        <f ca="1">IF(OR(M48="住宅",J52&lt;L49,J57="是"),"——",J52-L49)</f>
        <v>——</v>
      </c>
      <c r="K58" s="3079"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7" t="s">
        <v>2356</v>
      </c>
      <c r="J59" s="3055" t="e">
        <f ca="1">IF(J56&lt;0.4,0.4,J56)</f>
        <v>#VALUE!</v>
      </c>
      <c r="K59" s="3079"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7" t="s">
        <v>2357</v>
      </c>
      <c r="J60" s="3118" t="str">
        <f ca="1">IF(OR(M48="住宅",J52&lt;L49,J57="是"),"——",ROUND(C30*J59,0))</f>
        <v>——</v>
      </c>
      <c r="K60" s="3079"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19" t="s">
        <v>2358</v>
      </c>
      <c r="J61" s="3120" t="str">
        <f ca="1">IF(OR(M48="住宅",J52&lt;L49,J57="是"),"0",ROUND(J60/(1+J53)^J54,0))</f>
        <v>0</v>
      </c>
      <c r="K61" s="3121" t="s">
        <v>2363</v>
      </c>
      <c r="L61" s="3120"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2" t="s">
        <v>2364</v>
      </c>
      <c r="J63" s="3123" t="s">
        <v>2365</v>
      </c>
      <c r="K63" s="3123" t="s">
        <v>2366</v>
      </c>
      <c r="L63" s="3123" t="s">
        <v>2347</v>
      </c>
      <c r="M63" s="3124" t="s">
        <v>2938</v>
      </c>
      <c r="O63" s="2366" t="s">
        <v>2385</v>
      </c>
      <c r="P63" s="2364" t="s">
        <v>2393</v>
      </c>
      <c r="Q63" s="2365">
        <f ca="1">L60</f>
        <v>0</v>
      </c>
      <c r="R63" s="2368" t="s">
        <v>2394</v>
      </c>
    </row>
    <row r="64" spans="1:18" s="2045" customFormat="1" ht="15.75" thickBot="1">
      <c r="A64" s="2082"/>
      <c r="B64" s="2083"/>
      <c r="C64" s="2083"/>
      <c r="I64" s="3122" t="s">
        <v>2367</v>
      </c>
      <c r="J64" s="3123">
        <v>70</v>
      </c>
      <c r="K64" s="3123">
        <v>50</v>
      </c>
      <c r="L64" s="3123">
        <v>80</v>
      </c>
      <c r="M64" s="3125">
        <v>0.02</v>
      </c>
      <c r="O64" s="2363" t="s">
        <v>2388</v>
      </c>
      <c r="P64" s="2364" t="s">
        <v>2405</v>
      </c>
      <c r="Q64" s="2365" t="e">
        <f ca="1">Q58+Q59</f>
        <v>#DIV/0!</v>
      </c>
      <c r="R64" s="2368" t="s">
        <v>2389</v>
      </c>
    </row>
    <row r="65" spans="1:18" s="2045" customFormat="1" ht="16.5" thickBot="1">
      <c r="A65" s="2082"/>
      <c r="B65" s="2083"/>
      <c r="C65" s="2083"/>
      <c r="I65" s="3122" t="s">
        <v>2368</v>
      </c>
      <c r="J65" s="3123">
        <v>50</v>
      </c>
      <c r="K65" s="3123">
        <v>35</v>
      </c>
      <c r="L65" s="3123">
        <v>60</v>
      </c>
      <c r="M65" s="846">
        <v>0</v>
      </c>
      <c r="O65" s="2369" t="s">
        <v>2412</v>
      </c>
      <c r="P65" s="1579"/>
      <c r="Q65" s="1590"/>
      <c r="R65" s="1579"/>
    </row>
    <row r="66" spans="1:18" s="2045" customFormat="1" ht="15.75" thickBot="1">
      <c r="A66" s="2082"/>
      <c r="B66" s="2083"/>
      <c r="C66" s="2083"/>
      <c r="I66" s="3122" t="s">
        <v>2369</v>
      </c>
      <c r="J66" s="3123">
        <v>40</v>
      </c>
      <c r="K66" s="3123">
        <v>30</v>
      </c>
      <c r="L66" s="3123">
        <v>50</v>
      </c>
      <c r="M66" s="3125">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245539.3平方米。根据《建设工程规划许可证》[]、《出让合同》[]，估价对象规划建筑面积为245539.3平方米。</v>
      </c>
    </row>
    <row r="7" spans="1:4" ht="56.25">
      <c r="A7" s="1781" t="s">
        <v>2743</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2024</v>
      </c>
    </row>
    <row r="11" spans="1:4" ht="18.75">
      <c r="A11" s="1766" t="str">
        <f>TEXT(项目基本情况!D3,"yyyy年m月d日;;")&amp;IF(项目基本情况!B3=项目基本情况!D3,"（评估专业人员勘察现场之日）","")</f>
        <v>2020年5月8日（评估专业人员勘察现场之日）</v>
      </c>
    </row>
    <row r="12" spans="1:4" ht="18.75">
      <c r="A12" s="1783" t="s">
        <v>2023</v>
      </c>
    </row>
    <row r="13" spans="1:4" ht="18.75">
      <c r="A13" s="1777" t="s">
        <v>2937</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根据《国有土地使用证》[]，估价对象（分摊）出让国有建设用地使用权面积为245539.3平方米。根据《建设工程规划许可证》[]、《出让合同》[]，估价对象规划建筑面积为245539.3平方米。</v>
      </c>
    </row>
    <row r="21" spans="1:1" ht="18.75">
      <c r="A21" s="1777" t="s">
        <v>2072</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2057年8月7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5月8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8" zoomScale="80" zoomScaleNormal="80" workbookViewId="0">
      <selection activeCell="I49" sqref="I4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8" t="s">
        <v>952</v>
      </c>
      <c r="E1" s="2352" t="s">
        <v>2371</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0</v>
      </c>
      <c r="D5" s="2461" t="s">
        <v>2458</v>
      </c>
      <c r="E5" s="2455"/>
      <c r="F5" s="2456"/>
      <c r="G5" s="1579"/>
      <c r="H5" s="781">
        <v>1</v>
      </c>
      <c r="I5" s="782" t="s">
        <v>2455</v>
      </c>
      <c r="J5" s="55">
        <f ca="1">J6+J10+J12</f>
        <v>0</v>
      </c>
      <c r="K5" s="2461" t="s">
        <v>2458</v>
      </c>
      <c r="L5" s="2455"/>
      <c r="M5" s="2456"/>
    </row>
    <row r="6" spans="1:33" ht="18" customHeight="1">
      <c r="A6" s="1816" t="s">
        <v>1824</v>
      </c>
      <c r="B6" s="3581" t="s">
        <v>2460</v>
      </c>
      <c r="C6" s="783">
        <f ca="1">ROUND(F6*F8*F7*(1-F9)/10000,0)</f>
        <v>0</v>
      </c>
      <c r="D6" s="2462" t="s">
        <v>2459</v>
      </c>
      <c r="E6" s="784" t="s">
        <v>1738</v>
      </c>
      <c r="F6" s="785">
        <f ca="1">INDIRECT("'数据-取费表'!u"&amp;$G$1)</f>
        <v>0</v>
      </c>
      <c r="G6" s="1579"/>
      <c r="H6" s="2469" t="s">
        <v>2465</v>
      </c>
      <c r="I6" s="3581" t="s">
        <v>2460</v>
      </c>
      <c r="J6" s="783">
        <f ca="1">ROUND(M6*M8*M7*(1-M9)/10000,0)</f>
        <v>0</v>
      </c>
      <c r="K6" s="341" t="s">
        <v>1737</v>
      </c>
      <c r="L6" s="784" t="s">
        <v>1738</v>
      </c>
      <c r="M6" s="785">
        <f ca="1">INDIRECT("'数据-取费表'!z"&amp;$G$1)</f>
        <v>0</v>
      </c>
    </row>
    <row r="7" spans="1:33" ht="18" customHeight="1">
      <c r="A7" s="2465"/>
      <c r="B7" s="3582"/>
      <c r="C7" s="788"/>
      <c r="D7" s="789"/>
      <c r="E7" s="784" t="s">
        <v>1739</v>
      </c>
      <c r="F7" s="785">
        <f ca="1">IF(INDIRECT("'数据-取费表'!ah"&amp;$G$1)="",INDIRECT("'数据-取费表'!k"&amp;$G$1),INDIRECT("'数据-取费表'!ah"&amp;$G$1))</f>
        <v>0</v>
      </c>
      <c r="G7" s="1579"/>
      <c r="H7" s="2454"/>
      <c r="I7" s="3582"/>
      <c r="J7" s="788"/>
      <c r="K7" s="789"/>
      <c r="L7" s="784" t="s">
        <v>1739</v>
      </c>
      <c r="M7" s="785">
        <f ca="1">F7</f>
        <v>0</v>
      </c>
    </row>
    <row r="8" spans="1:33" ht="18" customHeight="1">
      <c r="A8" s="2458"/>
      <c r="B8" s="3583"/>
      <c r="C8" s="788"/>
      <c r="D8" s="789"/>
      <c r="E8" s="784" t="s">
        <v>1740</v>
      </c>
      <c r="F8" s="785">
        <f ca="1">INDIRECT("'数据-取费表'!ai"&amp;$G$1)</f>
        <v>0</v>
      </c>
      <c r="G8" s="1579"/>
      <c r="H8" s="2454"/>
      <c r="I8" s="3583"/>
      <c r="J8" s="788"/>
      <c r="K8" s="789"/>
      <c r="L8" s="784" t="s">
        <v>1740</v>
      </c>
      <c r="M8" s="785">
        <f ca="1">INDIRECT("'数据-取费表'!ai"&amp;$G$1)</f>
        <v>0</v>
      </c>
    </row>
    <row r="9" spans="1:33" ht="18" customHeight="1">
      <c r="A9" s="786"/>
      <c r="B9" s="3584"/>
      <c r="C9" s="788"/>
      <c r="D9" s="789"/>
      <c r="E9" s="784" t="s">
        <v>1741</v>
      </c>
      <c r="F9" s="794">
        <f ca="1">INDIRECT("'数据-取费表'!w"&amp;$G$1)</f>
        <v>0</v>
      </c>
      <c r="G9" s="1579"/>
      <c r="H9" s="2470"/>
      <c r="I9" s="3583"/>
      <c r="J9" s="788"/>
      <c r="K9" s="789"/>
      <c r="L9" s="795" t="s">
        <v>1741</v>
      </c>
      <c r="M9" s="796">
        <f ca="1">INDIRECT("'数据-取费表'!ab"&amp;$G$1)</f>
        <v>0</v>
      </c>
    </row>
    <row r="10" spans="1:33" ht="18" customHeight="1">
      <c r="A10" s="1816" t="s">
        <v>2463</v>
      </c>
      <c r="B10" s="2459" t="s">
        <v>2456</v>
      </c>
      <c r="C10" s="799">
        <f ca="1">ROUND(IF(F10="押一",C6/12*F11,IF(F10="押二",C6/12*2*F11,IF(F10="押三",C6/12*3*F11,C11*F11))),0)</f>
        <v>0</v>
      </c>
      <c r="D10" s="2466" t="s">
        <v>2969</v>
      </c>
      <c r="E10" s="2463" t="s">
        <v>2461</v>
      </c>
      <c r="F10" s="2586"/>
      <c r="G10" s="1579"/>
      <c r="H10" s="2526" t="s">
        <v>2466</v>
      </c>
      <c r="I10" s="2531" t="s">
        <v>2456</v>
      </c>
      <c r="J10" s="783">
        <f ca="1">ROUND(IF(M10="押一",J6/12*M11,IF(M10="押二",J6/12*2*M11,IF(M10="押三",J6/12*3*M11,J11*M11))),0)</f>
        <v>0</v>
      </c>
      <c r="K10" s="2466" t="s">
        <v>2969</v>
      </c>
      <c r="L10" s="2463" t="s">
        <v>2461</v>
      </c>
      <c r="M10" s="2586"/>
    </row>
    <row r="11" spans="1:33" ht="18" customHeight="1">
      <c r="A11" s="790"/>
      <c r="B11" s="2460" t="s">
        <v>2570</v>
      </c>
      <c r="C11" s="2464"/>
      <c r="D11" s="789"/>
      <c r="E11" s="2463" t="s">
        <v>2462</v>
      </c>
      <c r="F11" s="796">
        <f ca="1">'数据-取费表'!B39</f>
        <v>1.4999999999999999E-2</v>
      </c>
      <c r="G11" s="1579"/>
      <c r="H11" s="2527"/>
      <c r="I11" s="2460" t="s">
        <v>2570</v>
      </c>
      <c r="J11" s="2464"/>
      <c r="K11" s="2528"/>
      <c r="L11" s="2463" t="s">
        <v>2462</v>
      </c>
      <c r="M11" s="2457">
        <f ca="1">'数据-取费表'!B39</f>
        <v>1.4999999999999999E-2</v>
      </c>
    </row>
    <row r="12" spans="1:33" ht="18" customHeight="1" thickBot="1">
      <c r="A12" s="2502" t="s">
        <v>2464</v>
      </c>
      <c r="B12" s="2503" t="s">
        <v>2457</v>
      </c>
      <c r="C12" s="2504"/>
      <c r="D12" s="2505"/>
      <c r="E12" s="2506"/>
      <c r="F12" s="2507"/>
      <c r="G12" s="1579"/>
      <c r="H12" s="2516" t="s">
        <v>2467</v>
      </c>
      <c r="I12" s="2529" t="s">
        <v>2457</v>
      </c>
      <c r="J12" s="2530"/>
      <c r="K12" s="2505"/>
      <c r="L12" s="2506"/>
      <c r="M12" s="2519"/>
    </row>
    <row r="13" spans="1:33" ht="18" customHeight="1" thickTop="1">
      <c r="A13" s="1815">
        <v>2</v>
      </c>
      <c r="B13" s="1813" t="s">
        <v>1742</v>
      </c>
      <c r="C13" s="792">
        <f ca="1">ROUND(C29*F13,0)</f>
        <v>0</v>
      </c>
      <c r="D13" s="1820" t="s">
        <v>2294</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2821</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3182">
        <f ca="1">ROUND(IF(项目基本情况!B11="自然人",J6*M17/(1+'数据-取费表'!C42),J18+J19+J20),0)</f>
        <v>0</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3182">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3182">
        <f ca="1">IF(K19="按租金收入计税",ROUND(J6*M19/(1+'数据-取费表'!C42),1),ROUND(C29*F33*0.7,1))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2295</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2532</v>
      </c>
      <c r="C23" s="53">
        <f ca="1">ROUND(IF('数据-取费表'!B22&lt;=1,(C19+C20)*F24*F23/2,(C19+C20)*(POWER((1+F24),F23/2)-1)),0)</f>
        <v>0</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0</v>
      </c>
      <c r="D24" s="2536" t="str">
        <f>IF(F23&lt;=1,"销售费用×利率×(建设周期÷2)","销售费用×((1+利率)^(建设周期÷2)-1)")</f>
        <v>销售费用×利率×(建设周期÷2)</v>
      </c>
      <c r="E24" s="784" t="s">
        <v>1773</v>
      </c>
      <c r="F24" s="819">
        <f ca="1">'数据-取费表'!B40</f>
        <v>4.3499999999999997E-2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2817</v>
      </c>
      <c r="J25" s="792">
        <f ca="1">J5-J16</f>
        <v>0</v>
      </c>
      <c r="K25" s="2513" t="s">
        <v>1777</v>
      </c>
      <c r="L25" s="2514"/>
      <c r="M25" s="2515"/>
    </row>
    <row r="26" spans="1:33" ht="18" customHeight="1">
      <c r="A26" s="1634" t="s">
        <v>1831</v>
      </c>
      <c r="B26" s="784" t="s">
        <v>2435</v>
      </c>
      <c r="C26" s="53">
        <f ca="1">ROUND((C19+C20)*F26,0)</f>
        <v>0</v>
      </c>
      <c r="D26" s="812" t="s">
        <v>1778</v>
      </c>
      <c r="E26" s="795" t="s">
        <v>1779</v>
      </c>
      <c r="F26" s="794">
        <f ca="1">INDIRECT("'数据-取费表'!q"&amp;$G$1)</f>
        <v>0</v>
      </c>
      <c r="G26" s="1579"/>
      <c r="H26" s="2467" t="s">
        <v>1780</v>
      </c>
      <c r="I26" s="2218" t="s">
        <v>2822</v>
      </c>
      <c r="J26" s="783">
        <f ca="1">IF(J5&lt;&gt;0,ROUND(J25*(1-((1+M28)/(1+M26))^M27)/(M26-M28),0),0)</f>
        <v>0</v>
      </c>
      <c r="K26" s="814" t="s">
        <v>1781</v>
      </c>
      <c r="L26" s="784" t="s">
        <v>2416</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2296</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2297</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3182">
        <f ca="1">ROUND(IF(项目基本情况!B11="自然人",C6*F31/(1+'数据-取费表'!C42),C32+C33+C34),1)</f>
        <v>0</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3182">
        <f ca="1">ROUND(C6*F32/(1+'数据-取费表'!C42),1)</f>
        <v>0</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3182">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2817</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2298</v>
      </c>
      <c r="C40" s="783" t="e">
        <f ca="1">ROUND(C39*(1-((1+F42)/(1+F40))^F41)/(F40-F42),0)</f>
        <v>#DIV/0!</v>
      </c>
      <c r="D40" s="814" t="s">
        <v>1807</v>
      </c>
      <c r="E40" s="784" t="s">
        <v>2416</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2959</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2292</v>
      </c>
      <c r="B46" s="2071"/>
      <c r="C46" s="2539" t="e">
        <f ca="1">C67-C40</f>
        <v>#DIV/0!</v>
      </c>
      <c r="D46" s="2071"/>
      <c r="E46" s="2071"/>
      <c r="F46" s="2071"/>
      <c r="I46" s="2343" t="s">
        <v>2340</v>
      </c>
      <c r="J46" s="2344"/>
      <c r="K46" s="2345"/>
      <c r="L46" s="3109" t="e">
        <f ca="1">IF(OR(M47="住宅",D1="土地（套用方法）"),0,IF(L48&gt;J51,L60,J60))</f>
        <v>#DIV/0!</v>
      </c>
      <c r="O46" s="2359" t="s">
        <v>2407</v>
      </c>
      <c r="P46" s="1579"/>
      <c r="Q46" s="1590"/>
      <c r="R46" s="1579"/>
    </row>
    <row r="47" spans="1:18" s="2045" customFormat="1" ht="18" customHeight="1" thickBot="1">
      <c r="A47" s="2337">
        <v>1</v>
      </c>
      <c r="B47" s="2338" t="s">
        <v>635</v>
      </c>
      <c r="C47" s="2539">
        <f ca="1">C48+C52+C54</f>
        <v>0</v>
      </c>
      <c r="D47" s="2071"/>
      <c r="E47" s="2071"/>
      <c r="F47" s="2071"/>
      <c r="I47" s="3100" t="s">
        <v>2341</v>
      </c>
      <c r="J47" s="2346"/>
      <c r="K47" s="3106" t="s">
        <v>2346</v>
      </c>
      <c r="L47" s="3110">
        <f ca="1">INDIRECT("'数据-取费表'!d"&amp;$G$1)</f>
        <v>0</v>
      </c>
      <c r="M47" s="1590" t="str">
        <f>IF(ISNUMBER(FIND("住宅",C1)),"住宅","非住宅")</f>
        <v>非住宅</v>
      </c>
      <c r="O47" s="2360" t="s">
        <v>2372</v>
      </c>
      <c r="P47" s="2361" t="s">
        <v>2373</v>
      </c>
      <c r="Q47" s="2362" t="s">
        <v>2374</v>
      </c>
      <c r="R47" s="2361" t="s">
        <v>2375</v>
      </c>
    </row>
    <row r="48" spans="1:18" s="2045" customFormat="1" ht="18" customHeight="1" thickBot="1">
      <c r="A48" s="2607" t="s">
        <v>2534</v>
      </c>
      <c r="B48" s="2608" t="s">
        <v>2535</v>
      </c>
      <c r="C48" s="2339">
        <f ca="1">ROUND(F48*F50*F49*(1-F51)/10000,0)</f>
        <v>0</v>
      </c>
      <c r="D48" s="2340" t="s">
        <v>636</v>
      </c>
      <c r="E48" s="2341" t="s">
        <v>2293</v>
      </c>
      <c r="F48" s="2342"/>
      <c r="G48" s="2076"/>
      <c r="I48" s="3079" t="s">
        <v>2342</v>
      </c>
      <c r="J48" s="2347"/>
      <c r="K48" s="3107" t="s">
        <v>2348</v>
      </c>
      <c r="L48" s="1894">
        <f ca="1">INDIRECT("'数据-取费表'!f"&amp;$G$1)</f>
        <v>0</v>
      </c>
      <c r="O48" s="2363" t="s">
        <v>2376</v>
      </c>
      <c r="P48" s="2364" t="s">
        <v>2402</v>
      </c>
      <c r="Q48" s="2365" t="e">
        <f ca="1">C40+J29</f>
        <v>#DIV/0!</v>
      </c>
      <c r="R48" s="2364" t="s">
        <v>2377</v>
      </c>
    </row>
    <row r="49" spans="1:18" s="2045" customFormat="1" ht="18" customHeight="1" thickBot="1">
      <c r="A49" s="786"/>
      <c r="B49" s="787"/>
      <c r="C49" s="788"/>
      <c r="D49" s="789"/>
      <c r="E49" s="784" t="s">
        <v>1739</v>
      </c>
      <c r="F49" s="785">
        <f ca="1">F7</f>
        <v>0</v>
      </c>
      <c r="G49" s="2076"/>
      <c r="H49" s="2079"/>
      <c r="I49" s="3079" t="s">
        <v>2343</v>
      </c>
      <c r="J49" s="2348"/>
      <c r="K49" s="3108" t="s">
        <v>2349</v>
      </c>
      <c r="L49" s="2349"/>
      <c r="O49" s="2363" t="s">
        <v>2378</v>
      </c>
      <c r="P49" s="2364" t="s">
        <v>2403</v>
      </c>
      <c r="Q49" s="2365" t="e">
        <f ca="1">J60</f>
        <v>#DIV/0!</v>
      </c>
      <c r="R49" s="2364" t="s">
        <v>2379</v>
      </c>
    </row>
    <row r="50" spans="1:18" s="2045" customFormat="1" ht="18" customHeight="1" thickBot="1">
      <c r="A50" s="786"/>
      <c r="B50" s="787"/>
      <c r="C50" s="788"/>
      <c r="D50" s="789"/>
      <c r="E50" s="784" t="s">
        <v>1740</v>
      </c>
      <c r="F50" s="785">
        <f ca="1">F8</f>
        <v>0</v>
      </c>
      <c r="G50" s="2081"/>
      <c r="H50" s="2079"/>
      <c r="I50" s="3079" t="s">
        <v>2344</v>
      </c>
      <c r="J50" s="3104">
        <f>SUMPRODUCT((I63:I65=J47)*(J62:L62=J48)*(J63:L65))</f>
        <v>0</v>
      </c>
      <c r="K50" s="3108" t="s">
        <v>2350</v>
      </c>
      <c r="L50" s="2349"/>
      <c r="O50" s="2366" t="s">
        <v>2380</v>
      </c>
      <c r="P50" s="2364" t="s">
        <v>2404</v>
      </c>
      <c r="Q50" s="2365">
        <f ca="1">C29</f>
        <v>0</v>
      </c>
      <c r="R50" s="2364" t="s">
        <v>2377</v>
      </c>
    </row>
    <row r="51" spans="1:18" s="2045" customFormat="1" ht="18" customHeight="1" thickBot="1">
      <c r="A51" s="786"/>
      <c r="B51" s="787"/>
      <c r="C51" s="788"/>
      <c r="D51" s="789"/>
      <c r="E51" s="784" t="s">
        <v>640</v>
      </c>
      <c r="F51" s="2336"/>
      <c r="H51" s="2079"/>
      <c r="I51" s="3101" t="s">
        <v>2345</v>
      </c>
      <c r="J51" s="3105">
        <f>IF(J49="",J50,J49+J50-YEAR('数据-取费表'!B2))</f>
        <v>0</v>
      </c>
      <c r="K51" s="3079" t="s">
        <v>2351</v>
      </c>
      <c r="L51" s="3111">
        <f ca="1">ROUND(-PV(INDIRECT("'数据-取费表'!h"&amp;$G$1),J51,(C39-C13*J36),0),0)</f>
        <v>0</v>
      </c>
      <c r="O51" s="2366" t="s">
        <v>2381</v>
      </c>
      <c r="P51" s="2364" t="s">
        <v>2382</v>
      </c>
      <c r="Q51" s="2367" t="e">
        <f ca="1">J58</f>
        <v>#DIV/0!</v>
      </c>
      <c r="R51" s="2368"/>
    </row>
    <row r="52" spans="1:18" s="2045" customFormat="1" ht="18" customHeight="1" thickBot="1">
      <c r="A52" s="781" t="s">
        <v>2533</v>
      </c>
      <c r="B52" s="2459" t="s">
        <v>2456</v>
      </c>
      <c r="C52" s="799">
        <f ca="1">ROUND(IF(F52="押一",C48/12*F11,IF(F52="押二",C48/12*2*F11,IF(F52="押三",C48/12*3*F11,C53*F11))),0)</f>
        <v>0</v>
      </c>
      <c r="D52" s="2466" t="s">
        <v>2970</v>
      </c>
      <c r="E52" s="2463" t="s">
        <v>2461</v>
      </c>
      <c r="F52" s="2586"/>
      <c r="I52" s="3102" t="s">
        <v>2418</v>
      </c>
      <c r="J52" s="2350"/>
      <c r="K52" s="3102" t="s">
        <v>2417</v>
      </c>
      <c r="L52" s="2350"/>
      <c r="O52" s="2366" t="s">
        <v>2383</v>
      </c>
      <c r="P52" s="2364" t="s">
        <v>2384</v>
      </c>
      <c r="Q52" s="2367">
        <f>J52</f>
        <v>0</v>
      </c>
      <c r="R52" s="2368"/>
    </row>
    <row r="53" spans="1:18" s="2045" customFormat="1" ht="39.75" customHeight="1" thickBot="1">
      <c r="A53" s="786"/>
      <c r="B53" s="2460" t="s">
        <v>2570</v>
      </c>
      <c r="C53" s="2464"/>
      <c r="D53" s="2466"/>
      <c r="E53" s="2463"/>
      <c r="F53" s="800"/>
      <c r="I53" s="3103" t="s">
        <v>2973</v>
      </c>
      <c r="J53" s="3183">
        <f ca="1">IF(M47="住宅",MAX(J51,L48),MIN(J51,L48))</f>
        <v>0</v>
      </c>
      <c r="K53" s="3587" t="s">
        <v>2961</v>
      </c>
      <c r="L53" s="3588"/>
      <c r="O53" s="2366" t="s">
        <v>2385</v>
      </c>
      <c r="P53" s="2364" t="s">
        <v>2386</v>
      </c>
      <c r="Q53" s="2365">
        <f ca="1">J53</f>
        <v>0</v>
      </c>
      <c r="R53" s="2364" t="s">
        <v>2387</v>
      </c>
    </row>
    <row r="54" spans="1:18" s="2045" customFormat="1" ht="18" customHeight="1" thickBot="1">
      <c r="A54" s="2502" t="s">
        <v>2464</v>
      </c>
      <c r="B54" s="2503" t="s">
        <v>2457</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2388</v>
      </c>
      <c r="P54" s="2364" t="s">
        <v>2405</v>
      </c>
      <c r="Q54" s="2365" t="e">
        <f ca="1">Q48+Q49</f>
        <v>#DIV/0!</v>
      </c>
      <c r="R54" s="2368" t="s">
        <v>2389</v>
      </c>
    </row>
    <row r="55" spans="1:18" s="2045" customFormat="1" ht="18" customHeight="1" thickTop="1" thickBot="1">
      <c r="A55" s="797">
        <v>2</v>
      </c>
      <c r="B55" s="798" t="s">
        <v>644</v>
      </c>
      <c r="C55" s="799">
        <f ca="1">C13</f>
        <v>0</v>
      </c>
      <c r="D55" s="795"/>
      <c r="E55" s="795"/>
      <c r="F55" s="800"/>
      <c r="I55" s="3114" t="s">
        <v>2352</v>
      </c>
      <c r="J55" s="3054" t="e">
        <f ca="1">ROUND(IF(J47="钢混",J57/J50,1-(1-2%)*(J50-J57)/J50),3)</f>
        <v>#DIV/0!</v>
      </c>
      <c r="K55" s="3115" t="s">
        <v>2353</v>
      </c>
      <c r="L55" s="2351"/>
      <c r="O55" s="2369" t="s">
        <v>2408</v>
      </c>
      <c r="P55" s="1579"/>
      <c r="Q55" s="1590"/>
      <c r="R55" s="1579"/>
    </row>
    <row r="56" spans="1:18" s="2045" customFormat="1" ht="42.75" customHeight="1" thickBot="1">
      <c r="A56" s="1636"/>
      <c r="B56" s="2217" t="s">
        <v>2299</v>
      </c>
      <c r="C56" s="53">
        <f ca="1">C29</f>
        <v>0</v>
      </c>
      <c r="D56" s="2604"/>
      <c r="E56" s="784"/>
      <c r="F56" s="809"/>
      <c r="I56" s="3116" t="s">
        <v>2354</v>
      </c>
      <c r="J56" s="3126"/>
      <c r="K56" s="3079" t="s">
        <v>2359</v>
      </c>
      <c r="L56" s="1894">
        <f ca="1">IF(L48&lt;J51,"——",L48-J51)</f>
        <v>0</v>
      </c>
      <c r="O56" s="2360" t="s">
        <v>2372</v>
      </c>
      <c r="P56" s="2361" t="s">
        <v>2373</v>
      </c>
      <c r="Q56" s="2362" t="s">
        <v>2374</v>
      </c>
      <c r="R56" s="2361" t="s">
        <v>2375</v>
      </c>
    </row>
    <row r="57" spans="1:18" s="2045" customFormat="1" ht="28.5" customHeight="1" thickBot="1">
      <c r="A57" s="797" t="s">
        <v>1748</v>
      </c>
      <c r="B57" s="798" t="s">
        <v>651</v>
      </c>
      <c r="C57" s="799">
        <f ca="1">ROUND(C58+C63+C64+C65,0)</f>
        <v>0</v>
      </c>
      <c r="D57" s="26" t="s">
        <v>1750</v>
      </c>
      <c r="E57" s="2605"/>
      <c r="F57" s="56"/>
      <c r="I57" s="3117" t="s">
        <v>2355</v>
      </c>
      <c r="J57" s="3118">
        <f ca="1">IF(OR(M47="住宅",J51&lt;L48,J56="是"),"——",J51-L48)</f>
        <v>0</v>
      </c>
      <c r="K57" s="3079" t="s">
        <v>2360</v>
      </c>
      <c r="L57" s="1894">
        <f ca="1">IF(L48&lt;J51,"——",IF(L55="比较法",L49,IF(L55="基准地价",L50,L51)))</f>
        <v>0</v>
      </c>
      <c r="O57" s="2363" t="s">
        <v>2376</v>
      </c>
      <c r="P57" s="2364" t="s">
        <v>2406</v>
      </c>
      <c r="Q57" s="2365" t="e">
        <f ca="1">C40+J29</f>
        <v>#DIV/0!</v>
      </c>
      <c r="R57" s="2364" t="s">
        <v>2377</v>
      </c>
    </row>
    <row r="58" spans="1:18" s="2045" customFormat="1" ht="28.5" customHeight="1" thickBot="1">
      <c r="A58" s="1635" t="s">
        <v>1824</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7" t="s">
        <v>2356</v>
      </c>
      <c r="J58" s="3055" t="e">
        <f ca="1">IF(J55&lt;0.4,0.4,J55)</f>
        <v>#DIV/0!</v>
      </c>
      <c r="K58" s="3079" t="s">
        <v>2361</v>
      </c>
      <c r="L58" s="1894" t="e">
        <f ca="1">ROUND(POWER(1+L52,L47-L48)*(POWER(1+L52,L48)-1)/(POWER(1+L52,L47)-1),4)</f>
        <v>#DIV/0!</v>
      </c>
      <c r="O58" s="2363" t="s">
        <v>2378</v>
      </c>
      <c r="P58" s="2364" t="s">
        <v>2409</v>
      </c>
      <c r="Q58" s="2365" t="e">
        <f ca="1">L60</f>
        <v>#DIV/0!</v>
      </c>
      <c r="R58" s="2368" t="s">
        <v>2411</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2357</v>
      </c>
      <c r="J59" s="3118"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19" t="s">
        <v>2358</v>
      </c>
      <c r="J60" s="3120" t="e">
        <f ca="1">IF(OR(M47="住宅",J51&lt;L48,J56="是"),"0",ROUND(J59/(1+J52)^J53,0))</f>
        <v>#DIV/0!</v>
      </c>
      <c r="K60" s="3121" t="s">
        <v>2363</v>
      </c>
      <c r="L60" s="3120" t="e">
        <f ca="1">IF(OR(M47="住宅",L48&lt;J51),0,ROUND(L57*(L58/L59-1),0))</f>
        <v>#DIV/0!</v>
      </c>
      <c r="O60" s="2366" t="s">
        <v>2381</v>
      </c>
      <c r="P60" s="2364" t="s">
        <v>2390</v>
      </c>
      <c r="Q60" s="2367">
        <f>L52</f>
        <v>0</v>
      </c>
      <c r="R60" s="2368"/>
    </row>
    <row r="61" spans="1:18" s="2045" customFormat="1" ht="18" customHeight="1" thickBot="1">
      <c r="A61" s="1637" t="s">
        <v>1833</v>
      </c>
      <c r="B61" s="341" t="s">
        <v>668</v>
      </c>
      <c r="C61" s="54">
        <f ca="1">ROUND(F61*F62/10000,1)</f>
        <v>0</v>
      </c>
      <c r="D61" s="814" t="s">
        <v>669</v>
      </c>
      <c r="E61" s="784" t="s">
        <v>670</v>
      </c>
      <c r="F61" s="640">
        <f t="shared" si="0"/>
        <v>1.5</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0</v>
      </c>
      <c r="I62" s="3122" t="s">
        <v>2364</v>
      </c>
      <c r="J62" s="3123" t="s">
        <v>2365</v>
      </c>
      <c r="K62" s="3123" t="s">
        <v>2366</v>
      </c>
      <c r="L62" s="3123" t="s">
        <v>2347</v>
      </c>
      <c r="M62" s="3124" t="s">
        <v>2938</v>
      </c>
      <c r="O62" s="2366" t="s">
        <v>2385</v>
      </c>
      <c r="P62" s="2364" t="str">
        <f>K59</f>
        <v>建筑物剩余耐用年限下的土地年期修正系数Kn</v>
      </c>
      <c r="Q62" s="2365" t="e">
        <f ca="1">L59</f>
        <v>#DIV/0!</v>
      </c>
      <c r="R62" s="2368" t="s">
        <v>2394</v>
      </c>
    </row>
    <row r="63" spans="1:18" s="2045" customFormat="1" ht="15.75" thickBot="1">
      <c r="A63" s="1635" t="s">
        <v>1889</v>
      </c>
      <c r="B63" s="784" t="s">
        <v>676</v>
      </c>
      <c r="C63" s="53">
        <f ca="1">ROUND(C56*F63,1)</f>
        <v>0</v>
      </c>
      <c r="D63" s="2604" t="s">
        <v>1803</v>
      </c>
      <c r="E63" s="784" t="s">
        <v>1747</v>
      </c>
      <c r="F63" s="817">
        <f t="shared" ca="1" si="0"/>
        <v>0</v>
      </c>
      <c r="I63" s="3122" t="s">
        <v>2367</v>
      </c>
      <c r="J63" s="3123">
        <v>70</v>
      </c>
      <c r="K63" s="3123">
        <v>50</v>
      </c>
      <c r="L63" s="3123">
        <v>80</v>
      </c>
      <c r="M63" s="3125">
        <v>0.02</v>
      </c>
      <c r="O63" s="2363" t="s">
        <v>2388</v>
      </c>
      <c r="P63" s="2364" t="s">
        <v>2405</v>
      </c>
      <c r="Q63" s="2365" t="e">
        <f ca="1">Q57+Q58</f>
        <v>#DIV/0!</v>
      </c>
      <c r="R63" s="2368" t="s">
        <v>2389</v>
      </c>
    </row>
    <row r="64" spans="1:18" s="2045" customFormat="1" ht="16.5" thickBot="1">
      <c r="A64" s="1635" t="s">
        <v>1890</v>
      </c>
      <c r="B64" s="784" t="s">
        <v>679</v>
      </c>
      <c r="C64" s="53">
        <f ca="1">ROUND(C55*F64,1)</f>
        <v>0</v>
      </c>
      <c r="D64" s="2604" t="s">
        <v>680</v>
      </c>
      <c r="E64" s="784" t="s">
        <v>1747</v>
      </c>
      <c r="F64" s="818">
        <f t="shared" ca="1" si="0"/>
        <v>0</v>
      </c>
      <c r="I64" s="3122" t="s">
        <v>2368</v>
      </c>
      <c r="J64" s="3123">
        <v>50</v>
      </c>
      <c r="K64" s="3123">
        <v>35</v>
      </c>
      <c r="L64" s="3123">
        <v>60</v>
      </c>
      <c r="M64" s="846">
        <v>0</v>
      </c>
      <c r="O64" s="2369" t="s">
        <v>2412</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2" t="s">
        <v>2369</v>
      </c>
      <c r="J65" s="3123">
        <v>40</v>
      </c>
      <c r="K65" s="3123">
        <v>30</v>
      </c>
      <c r="L65" s="3123">
        <v>50</v>
      </c>
      <c r="M65" s="3125">
        <v>0.02</v>
      </c>
      <c r="O65" s="2360" t="s">
        <v>2372</v>
      </c>
      <c r="P65" s="2361" t="s">
        <v>2373</v>
      </c>
      <c r="Q65" s="2362" t="s">
        <v>2374</v>
      </c>
      <c r="R65" s="2361" t="s">
        <v>2375</v>
      </c>
    </row>
    <row r="66" spans="1:18" s="2045" customFormat="1" ht="24.75" thickBot="1">
      <c r="A66" s="797" t="s">
        <v>1776</v>
      </c>
      <c r="B66" s="2964" t="s">
        <v>2817</v>
      </c>
      <c r="C66" s="799">
        <f ca="1">C47-C57</f>
        <v>0</v>
      </c>
      <c r="D66" s="2603" t="s">
        <v>700</v>
      </c>
      <c r="E66" s="2602"/>
      <c r="F66" s="820"/>
      <c r="K66" s="2072"/>
      <c r="O66" s="2363" t="s">
        <v>2376</v>
      </c>
      <c r="P66" s="2364" t="s">
        <v>2406</v>
      </c>
      <c r="Q66" s="2365" t="e">
        <f ca="1">C40+J29</f>
        <v>#DIV/0!</v>
      </c>
      <c r="R66" s="2364" t="s">
        <v>2377</v>
      </c>
    </row>
    <row r="67" spans="1:18" s="2045" customFormat="1" ht="20.25" thickBot="1">
      <c r="A67" s="781" t="s">
        <v>1780</v>
      </c>
      <c r="B67" s="2218" t="s">
        <v>2298</v>
      </c>
      <c r="C67" s="783" t="e">
        <f ca="1">ROUND(C66*(1-((1+F69)/(1+F67))^F68)/(F67-F69),0)</f>
        <v>#DIV/0!</v>
      </c>
      <c r="D67" s="814" t="s">
        <v>704</v>
      </c>
      <c r="E67" s="784" t="s">
        <v>705</v>
      </c>
      <c r="F67" s="794">
        <f ca="1">F40</f>
        <v>0</v>
      </c>
      <c r="K67" s="2072"/>
      <c r="O67" s="2363" t="s">
        <v>2378</v>
      </c>
      <c r="P67" s="2364" t="s">
        <v>2409</v>
      </c>
      <c r="Q67" s="2365" t="e">
        <f ca="1">L60</f>
        <v>#DIV/0!</v>
      </c>
      <c r="R67" s="2368" t="s">
        <v>2411</v>
      </c>
    </row>
    <row r="68" spans="1:18" ht="21.75" thickBot="1">
      <c r="A68" s="786"/>
      <c r="B68" s="787"/>
      <c r="C68" s="788"/>
      <c r="D68" s="821" t="s">
        <v>1808</v>
      </c>
      <c r="E68" s="784" t="s">
        <v>1784</v>
      </c>
      <c r="F68" s="822">
        <f ca="1">F41</f>
        <v>0</v>
      </c>
      <c r="O68" s="2366" t="s">
        <v>2380</v>
      </c>
      <c r="P68" s="2364" t="s">
        <v>2410</v>
      </c>
      <c r="Q68" s="2370">
        <f ca="1">L51</f>
        <v>0</v>
      </c>
      <c r="R68" s="2371" t="s">
        <v>2413</v>
      </c>
    </row>
    <row r="69" spans="1:18" ht="20.25" thickBot="1">
      <c r="A69" s="790"/>
      <c r="B69" s="791"/>
      <c r="C69" s="792"/>
      <c r="D69" s="816"/>
      <c r="E69" s="784" t="s">
        <v>710</v>
      </c>
      <c r="F69" s="2336"/>
      <c r="O69" s="2366" t="s">
        <v>2381</v>
      </c>
      <c r="P69" s="2372" t="s">
        <v>2395</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2396</v>
      </c>
      <c r="P70" s="2372" t="s">
        <v>2397</v>
      </c>
      <c r="Q70" s="2365">
        <f ca="1">C39</f>
        <v>0</v>
      </c>
      <c r="R70" s="2364" t="s">
        <v>2377</v>
      </c>
    </row>
    <row r="71" spans="1:18" ht="15.75" thickBot="1">
      <c r="O71" s="2366" t="s">
        <v>2398</v>
      </c>
      <c r="P71" s="2372" t="s">
        <v>2399</v>
      </c>
      <c r="Q71" s="2365">
        <f ca="1">C13</f>
        <v>0</v>
      </c>
      <c r="R71" s="2364" t="s">
        <v>2377</v>
      </c>
    </row>
    <row r="72" spans="1:18" ht="15.75" thickBot="1">
      <c r="O72" s="2366" t="s">
        <v>2400</v>
      </c>
      <c r="P72" s="2372" t="s">
        <v>2401</v>
      </c>
      <c r="Q72" s="2367">
        <f ca="1">J36</f>
        <v>0</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建筑物剩余耐用年限下的土地年期修正系数Kn</v>
      </c>
      <c r="Q75" s="2365" t="e">
        <f ca="1">L59</f>
        <v>#DIV/0!</v>
      </c>
      <c r="R75" s="2368" t="s">
        <v>2394</v>
      </c>
    </row>
    <row r="76" spans="1:18" ht="15.75" thickBot="1">
      <c r="O76" s="2363" t="s">
        <v>2388</v>
      </c>
      <c r="P76" s="2364" t="s">
        <v>2405</v>
      </c>
      <c r="Q76" s="2365" t="e">
        <f ca="1">Q66+Q67</f>
        <v>#DIV/0!</v>
      </c>
      <c r="R76" s="2368"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S6" sqref="S6:V6"/>
    </sheetView>
  </sheetViews>
  <sheetFormatPr defaultRowHeight="13.5"/>
  <cols>
    <col min="1" max="1" width="10.5" customWidth="1"/>
    <col min="2" max="2" width="12.875" customWidth="1"/>
    <col min="3" max="3" width="8.75" customWidth="1"/>
  </cols>
  <sheetData>
    <row r="1" spans="1:9" ht="14.25">
      <c r="A1" s="3589" t="s">
        <v>2468</v>
      </c>
      <c r="B1" s="3590"/>
      <c r="C1" s="3591"/>
      <c r="D1" s="3592">
        <f>SUM(I10,I15,I20,I21,I23)</f>
        <v>0</v>
      </c>
      <c r="E1" s="3592"/>
      <c r="F1" s="3592"/>
      <c r="G1" s="3592"/>
      <c r="H1" s="3592"/>
      <c r="I1" s="3593"/>
    </row>
    <row r="2" spans="1:9">
      <c r="A2" s="3594" t="s">
        <v>2469</v>
      </c>
      <c r="B2" s="3595" t="s">
        <v>2470</v>
      </c>
      <c r="C2" s="3595"/>
      <c r="D2" s="2472" t="s">
        <v>2471</v>
      </c>
      <c r="E2" s="2472" t="s">
        <v>2472</v>
      </c>
      <c r="F2" s="2472" t="s">
        <v>2473</v>
      </c>
      <c r="G2" s="2472" t="s">
        <v>2474</v>
      </c>
      <c r="H2" s="2472" t="s">
        <v>2475</v>
      </c>
      <c r="I2" s="2473" t="s">
        <v>2476</v>
      </c>
    </row>
    <row r="3" spans="1:9">
      <c r="A3" s="3594"/>
      <c r="B3" s="3595" t="s">
        <v>2477</v>
      </c>
      <c r="C3" s="3595"/>
      <c r="D3" s="2474"/>
      <c r="E3" s="2472"/>
      <c r="F3" s="2475"/>
      <c r="G3" s="2475"/>
      <c r="H3" s="2476"/>
      <c r="I3" s="2477">
        <f>ROUND(D3*E3*F3*G3*H3/10000,0)</f>
        <v>0</v>
      </c>
    </row>
    <row r="4" spans="1:9">
      <c r="A4" s="3594"/>
      <c r="B4" s="3595" t="s">
        <v>2478</v>
      </c>
      <c r="C4" s="3595"/>
      <c r="D4" s="2474"/>
      <c r="E4" s="2472"/>
      <c r="F4" s="2475"/>
      <c r="G4" s="2475"/>
      <c r="H4" s="2476"/>
      <c r="I4" s="2477">
        <f t="shared" ref="I4:I9" si="0">ROUND(D4*E4*F4*G4*H4/10000,0)</f>
        <v>0</v>
      </c>
    </row>
    <row r="5" spans="1:9">
      <c r="A5" s="3594"/>
      <c r="B5" s="3595" t="s">
        <v>2479</v>
      </c>
      <c r="C5" s="3595"/>
      <c r="D5" s="2474"/>
      <c r="E5" s="2472"/>
      <c r="F5" s="2475"/>
      <c r="G5" s="2475"/>
      <c r="H5" s="2476"/>
      <c r="I5" s="2477">
        <f t="shared" si="0"/>
        <v>0</v>
      </c>
    </row>
    <row r="6" spans="1:9">
      <c r="A6" s="3594"/>
      <c r="B6" s="3595" t="s">
        <v>2480</v>
      </c>
      <c r="C6" s="3595"/>
      <c r="D6" s="2474"/>
      <c r="E6" s="2472"/>
      <c r="F6" s="2475"/>
      <c r="G6" s="2475"/>
      <c r="H6" s="2476"/>
      <c r="I6" s="2477">
        <f t="shared" si="0"/>
        <v>0</v>
      </c>
    </row>
    <row r="7" spans="1:9">
      <c r="A7" s="3594"/>
      <c r="B7" s="3595" t="s">
        <v>2481</v>
      </c>
      <c r="C7" s="3595"/>
      <c r="D7" s="2474"/>
      <c r="E7" s="2472"/>
      <c r="F7" s="2475"/>
      <c r="G7" s="2475"/>
      <c r="H7" s="2476"/>
      <c r="I7" s="2477">
        <f t="shared" si="0"/>
        <v>0</v>
      </c>
    </row>
    <row r="8" spans="1:9">
      <c r="A8" s="3594"/>
      <c r="B8" s="3595" t="s">
        <v>2482</v>
      </c>
      <c r="C8" s="3595"/>
      <c r="D8" s="2474"/>
      <c r="E8" s="2472"/>
      <c r="F8" s="2475"/>
      <c r="G8" s="2475"/>
      <c r="H8" s="2476"/>
      <c r="I8" s="2477">
        <f t="shared" si="0"/>
        <v>0</v>
      </c>
    </row>
    <row r="9" spans="1:9">
      <c r="A9" s="3594"/>
      <c r="B9" s="3595" t="s">
        <v>2483</v>
      </c>
      <c r="C9" s="3595"/>
      <c r="D9" s="2474"/>
      <c r="E9" s="2472"/>
      <c r="F9" s="2475"/>
      <c r="G9" s="2475"/>
      <c r="H9" s="2476"/>
      <c r="I9" s="2477">
        <f t="shared" si="0"/>
        <v>0</v>
      </c>
    </row>
    <row r="10" spans="1:9">
      <c r="A10" s="3594"/>
      <c r="B10" s="3596" t="s">
        <v>2484</v>
      </c>
      <c r="C10" s="3596"/>
      <c r="D10" s="2478">
        <v>527</v>
      </c>
      <c r="E10" s="2478" t="e">
        <f>ROUND(D1*10000/D10/H9,0)</f>
        <v>#DIV/0!</v>
      </c>
      <c r="F10" s="2479"/>
      <c r="G10" s="2479"/>
      <c r="H10" s="2480"/>
      <c r="I10" s="2481">
        <f>SUM(I3:I9)</f>
        <v>0</v>
      </c>
    </row>
    <row r="11" spans="1:9" ht="14.25">
      <c r="A11" s="3594" t="s">
        <v>2485</v>
      </c>
      <c r="B11" s="3595" t="s">
        <v>2486</v>
      </c>
      <c r="C11" s="3595"/>
      <c r="D11" s="2474" t="s">
        <v>2487</v>
      </c>
      <c r="E11" s="2474" t="s">
        <v>2488</v>
      </c>
      <c r="F11" s="2475" t="s">
        <v>2489</v>
      </c>
      <c r="G11" s="2475" t="s">
        <v>2490</v>
      </c>
      <c r="H11" s="2482" t="s">
        <v>2491</v>
      </c>
      <c r="I11" s="2473" t="s">
        <v>2492</v>
      </c>
    </row>
    <row r="12" spans="1:9">
      <c r="A12" s="3594"/>
      <c r="B12" s="3595" t="s">
        <v>2493</v>
      </c>
      <c r="C12" s="3595"/>
      <c r="D12" s="2474"/>
      <c r="E12" s="2474"/>
      <c r="F12" s="2475"/>
      <c r="G12" s="2476"/>
      <c r="H12" s="2483"/>
      <c r="I12" s="2473">
        <f>ROUND(D12*E12*F12*G12/10000,0)</f>
        <v>0</v>
      </c>
    </row>
    <row r="13" spans="1:9">
      <c r="A13" s="3594"/>
      <c r="B13" s="3595" t="s">
        <v>2494</v>
      </c>
      <c r="C13" s="3595"/>
      <c r="D13" s="2474"/>
      <c r="E13" s="2474"/>
      <c r="F13" s="2475"/>
      <c r="G13" s="2476"/>
      <c r="H13" s="2483"/>
      <c r="I13" s="2473">
        <f>ROUND(D13*E13*F13*G13/10000,0)</f>
        <v>0</v>
      </c>
    </row>
    <row r="14" spans="1:9">
      <c r="A14" s="3594"/>
      <c r="B14" s="3595" t="s">
        <v>2495</v>
      </c>
      <c r="C14" s="3595"/>
      <c r="D14" s="2474"/>
      <c r="E14" s="2474"/>
      <c r="F14" s="2475"/>
      <c r="G14" s="2476"/>
      <c r="H14" s="2483"/>
      <c r="I14" s="2473">
        <f>ROUND(D14*E14*F14*G14/10000,0)</f>
        <v>0</v>
      </c>
    </row>
    <row r="15" spans="1:9">
      <c r="A15" s="3594"/>
      <c r="B15" s="3596" t="s">
        <v>2484</v>
      </c>
      <c r="C15" s="3596"/>
      <c r="D15" s="2478"/>
      <c r="E15" s="2478">
        <f>SUM(E12:E14)</f>
        <v>0</v>
      </c>
      <c r="F15" s="2479"/>
      <c r="G15" s="2476"/>
      <c r="H15" s="2483"/>
      <c r="I15" s="2484">
        <f>SUM(I12:I14)</f>
        <v>0</v>
      </c>
    </row>
    <row r="16" spans="1:9" ht="24">
      <c r="A16" s="3594" t="s">
        <v>2496</v>
      </c>
      <c r="B16" s="3595" t="s">
        <v>2497</v>
      </c>
      <c r="C16" s="3595"/>
      <c r="D16" s="2474" t="s">
        <v>2498</v>
      </c>
      <c r="E16" s="2485" t="s">
        <v>2499</v>
      </c>
      <c r="F16" s="2475" t="s">
        <v>2500</v>
      </c>
      <c r="G16" s="2476" t="s">
        <v>2490</v>
      </c>
      <c r="H16" s="2482" t="s">
        <v>2491</v>
      </c>
      <c r="I16" s="2473" t="s">
        <v>2492</v>
      </c>
    </row>
    <row r="17" spans="1:9" ht="14.25">
      <c r="A17" s="3594"/>
      <c r="B17" s="3595" t="s">
        <v>2501</v>
      </c>
      <c r="C17" s="3595"/>
      <c r="D17" s="2474"/>
      <c r="E17" s="2474"/>
      <c r="F17" s="2475"/>
      <c r="G17" s="2476"/>
      <c r="H17" s="2486"/>
      <c r="I17" s="2487">
        <f>ROUND(D17*E17*F17*G17/10000,0)</f>
        <v>0</v>
      </c>
    </row>
    <row r="18" spans="1:9" ht="14.25">
      <c r="A18" s="3594"/>
      <c r="B18" s="3595" t="s">
        <v>2502</v>
      </c>
      <c r="C18" s="3595"/>
      <c r="D18" s="2474"/>
      <c r="E18" s="2474"/>
      <c r="F18" s="2475"/>
      <c r="G18" s="2476"/>
      <c r="H18" s="2486"/>
      <c r="I18" s="2487">
        <f>ROUND(D18*E18*F18*G18/10000,0)</f>
        <v>0</v>
      </c>
    </row>
    <row r="19" spans="1:9" ht="14.25">
      <c r="A19" s="3594"/>
      <c r="B19" s="3595" t="s">
        <v>2503</v>
      </c>
      <c r="C19" s="3595"/>
      <c r="D19" s="2474"/>
      <c r="E19" s="2474"/>
      <c r="F19" s="2475"/>
      <c r="G19" s="2476"/>
      <c r="H19" s="2486"/>
      <c r="I19" s="2487">
        <f>ROUND(D19*E19*F19*G19/10000,0)</f>
        <v>0</v>
      </c>
    </row>
    <row r="20" spans="1:9">
      <c r="A20" s="3594"/>
      <c r="B20" s="3596" t="s">
        <v>2484</v>
      </c>
      <c r="C20" s="3596"/>
      <c r="D20" s="2478">
        <f>SUM(D17:D19)</f>
        <v>0</v>
      </c>
      <c r="E20" s="2478"/>
      <c r="F20" s="2479"/>
      <c r="G20" s="2476"/>
      <c r="H20" s="2483"/>
      <c r="I20" s="2484">
        <f>SUM(I17:I19)</f>
        <v>0</v>
      </c>
    </row>
    <row r="21" spans="1:9">
      <c r="A21" s="3594" t="s">
        <v>2504</v>
      </c>
      <c r="B21" s="3598"/>
      <c r="C21" s="3598"/>
      <c r="D21" s="3598"/>
      <c r="E21" s="3598"/>
      <c r="F21" s="3598"/>
      <c r="G21" s="3598"/>
      <c r="H21" s="2488">
        <v>0.1</v>
      </c>
      <c r="I21" s="2481">
        <f>ROUND(I10*H21,0)</f>
        <v>0</v>
      </c>
    </row>
    <row r="22" spans="1:9" ht="14.25">
      <c r="A22" s="3599" t="s">
        <v>2505</v>
      </c>
      <c r="B22" s="3600"/>
      <c r="C22" s="3601"/>
      <c r="D22" s="2489" t="s">
        <v>2506</v>
      </c>
      <c r="E22" s="2489" t="s">
        <v>2507</v>
      </c>
      <c r="F22" s="2490" t="s">
        <v>2508</v>
      </c>
      <c r="G22" s="2490" t="s">
        <v>2509</v>
      </c>
      <c r="H22" s="2482" t="s">
        <v>2510</v>
      </c>
      <c r="I22" s="2473" t="s">
        <v>2511</v>
      </c>
    </row>
    <row r="23" spans="1:9" ht="14.25" thickBot="1">
      <c r="A23" s="3602"/>
      <c r="B23" s="3603"/>
      <c r="C23" s="3604"/>
      <c r="D23" s="2491"/>
      <c r="E23" s="2491"/>
      <c r="F23" s="2491"/>
      <c r="G23" s="2492"/>
      <c r="H23" s="2493"/>
      <c r="I23" s="2494">
        <f>ROUND(E23*D23*F23*(1-G23)/10000,0)</f>
        <v>0</v>
      </c>
    </row>
    <row r="26" spans="1:9">
      <c r="A26" s="2495" t="s">
        <v>2512</v>
      </c>
      <c r="B26" s="2495"/>
      <c r="C26" s="2495"/>
      <c r="D26" s="2495"/>
      <c r="E26" s="3605">
        <f>C27-C30-C31-C32</f>
        <v>0</v>
      </c>
      <c r="F26" s="3605"/>
      <c r="G26" s="3605"/>
      <c r="H26" s="2996" t="s">
        <v>2838</v>
      </c>
    </row>
    <row r="27" spans="1:9">
      <c r="A27" s="2496">
        <v>1</v>
      </c>
      <c r="B27" s="2497" t="s">
        <v>2513</v>
      </c>
      <c r="C27" s="2497"/>
      <c r="D27" s="2497"/>
      <c r="E27" s="3606"/>
      <c r="F27" s="3606"/>
      <c r="G27" s="3606"/>
    </row>
    <row r="28" spans="1:9">
      <c r="A28" s="2498" t="s">
        <v>2514</v>
      </c>
      <c r="B28" s="2497" t="s">
        <v>2515</v>
      </c>
      <c r="C28" s="2497"/>
      <c r="D28" s="2497"/>
      <c r="E28" s="3606"/>
      <c r="F28" s="3606"/>
      <c r="G28" s="3606"/>
    </row>
    <row r="29" spans="1:9">
      <c r="A29" s="2498" t="s">
        <v>2516</v>
      </c>
      <c r="B29" s="2497" t="s">
        <v>2457</v>
      </c>
      <c r="C29" s="2497"/>
      <c r="D29" s="2497"/>
      <c r="E29" s="2497" t="s">
        <v>2517</v>
      </c>
      <c r="F29" s="2497"/>
      <c r="G29" s="2497"/>
    </row>
    <row r="30" spans="1:9">
      <c r="A30" s="2496">
        <v>2</v>
      </c>
      <c r="B30" s="2497" t="s">
        <v>2518</v>
      </c>
      <c r="C30" s="2497">
        <f>C27*D30</f>
        <v>0</v>
      </c>
      <c r="D30" s="2499">
        <v>0.2</v>
      </c>
      <c r="E30" s="2497" t="s">
        <v>2519</v>
      </c>
      <c r="F30" s="2497"/>
      <c r="G30" s="2497"/>
    </row>
    <row r="31" spans="1:9">
      <c r="A31" s="2496">
        <v>3</v>
      </c>
      <c r="B31" s="2497" t="s">
        <v>2520</v>
      </c>
      <c r="C31" s="2497">
        <f>C25*D31</f>
        <v>0</v>
      </c>
      <c r="D31" s="2499">
        <v>0.15</v>
      </c>
      <c r="E31" s="2497" t="s">
        <v>2521</v>
      </c>
      <c r="F31" s="2497"/>
      <c r="G31" s="2497"/>
    </row>
    <row r="32" spans="1:9">
      <c r="A32" s="2496">
        <v>4</v>
      </c>
      <c r="B32" s="2497" t="s">
        <v>2522</v>
      </c>
      <c r="C32" s="2497">
        <f>C27*D32</f>
        <v>0</v>
      </c>
      <c r="D32" s="2499">
        <v>0.05</v>
      </c>
      <c r="E32" s="3597"/>
      <c r="F32" s="3597"/>
      <c r="G32" s="3597"/>
    </row>
    <row r="33" spans="1:7" hidden="1">
      <c r="A33" s="3607" t="s">
        <v>2523</v>
      </c>
      <c r="B33" s="3608"/>
      <c r="C33" s="3608"/>
      <c r="D33" s="3609"/>
      <c r="E33" s="3605"/>
      <c r="F33" s="3605"/>
      <c r="G33" s="3605"/>
    </row>
    <row r="34" spans="1:7" hidden="1">
      <c r="A34" s="2500">
        <v>1</v>
      </c>
      <c r="B34" s="2497" t="s">
        <v>2524</v>
      </c>
      <c r="C34" s="2497"/>
      <c r="D34" s="2497"/>
      <c r="E34" s="3606"/>
      <c r="F34" s="3606"/>
      <c r="G34" s="3606"/>
    </row>
    <row r="35" spans="1:7" hidden="1">
      <c r="A35" s="2500">
        <v>2</v>
      </c>
      <c r="B35" s="2497" t="s">
        <v>2525</v>
      </c>
      <c r="C35" s="2497"/>
      <c r="D35" s="2497"/>
      <c r="E35" s="3606"/>
      <c r="F35" s="3606"/>
      <c r="G35" s="3606"/>
    </row>
    <row r="36" spans="1:7" hidden="1">
      <c r="A36" s="2500">
        <v>3</v>
      </c>
      <c r="B36" s="2497" t="s">
        <v>2526</v>
      </c>
      <c r="C36" s="2497"/>
      <c r="D36" s="2497"/>
      <c r="E36" s="3606"/>
      <c r="F36" s="3606"/>
      <c r="G36" s="3606"/>
    </row>
    <row r="37" spans="1:7" hidden="1">
      <c r="A37" s="2500">
        <v>4</v>
      </c>
      <c r="B37" s="2497" t="s">
        <v>2527</v>
      </c>
      <c r="C37" s="2497"/>
      <c r="D37" s="2497"/>
      <c r="E37" s="3606"/>
      <c r="F37" s="3606"/>
      <c r="G37" s="3606"/>
    </row>
    <row r="38" spans="1:7" hidden="1">
      <c r="A38" s="3607" t="s">
        <v>2528</v>
      </c>
      <c r="B38" s="3608"/>
      <c r="C38" s="3608"/>
      <c r="D38" s="3609"/>
      <c r="E38" s="3605"/>
      <c r="F38" s="3605"/>
      <c r="G38" s="36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109733</v>
      </c>
      <c r="C2" s="2094"/>
      <c r="D2" s="2094"/>
      <c r="E2" s="2094"/>
      <c r="F2" s="2094"/>
      <c r="G2" s="2094"/>
    </row>
    <row r="3" spans="1:25" s="2045" customFormat="1" ht="18" customHeight="1">
      <c r="A3" s="1376" t="s">
        <v>1685</v>
      </c>
      <c r="B3" s="425">
        <f ca="1">ROUND(B2*10000/'数据-汇总表'!E3,0)</f>
        <v>4469</v>
      </c>
      <c r="C3" s="2094"/>
      <c r="D3" s="2094"/>
      <c r="E3" s="2094"/>
      <c r="F3" s="2094"/>
      <c r="G3" s="2094"/>
    </row>
    <row r="4" spans="1:25" s="2045" customFormat="1" ht="18" customHeight="1">
      <c r="A4" s="426" t="s">
        <v>468</v>
      </c>
      <c r="B4" s="427">
        <f ca="1">ROUND(B2*10000/'数据-汇总表'!D3,0)</f>
        <v>4469</v>
      </c>
      <c r="C4" s="2047"/>
      <c r="D4" s="2094"/>
      <c r="E4" s="2094"/>
      <c r="F4" s="2094"/>
      <c r="G4" s="2094"/>
    </row>
    <row r="5" spans="1:25" s="2045" customFormat="1" ht="18" customHeight="1" thickBot="1">
      <c r="A5" s="429"/>
      <c r="B5" s="430">
        <f ca="1">ROUND(B2/('数据-汇总表'!D3/666.67),0)</f>
        <v>298</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106785.04156999999</v>
      </c>
      <c r="D7" s="749"/>
      <c r="E7" s="750"/>
      <c r="F7" s="750"/>
      <c r="G7" s="2444" t="s">
        <v>3212</v>
      </c>
    </row>
    <row r="8" spans="1:25" s="2169" customFormat="1" ht="13.5" customHeight="1">
      <c r="A8" s="2434" t="s">
        <v>2437</v>
      </c>
      <c r="B8" s="2437" t="s">
        <v>2439</v>
      </c>
      <c r="C8" s="2438">
        <f>土地比较法!I29*'数据-基础表'!A3/10000</f>
        <v>106785.04156999999</v>
      </c>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245539.3</v>
      </c>
      <c r="E10" s="749">
        <f>'数据-取费表'!B31</f>
        <v>200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0</v>
      </c>
      <c r="D12" s="758">
        <f>'数据-汇总表'!E5</f>
        <v>0</v>
      </c>
      <c r="E12" s="757">
        <f>'数据-取费表'!B27</f>
        <v>0</v>
      </c>
      <c r="F12" s="755"/>
      <c r="G12" s="759"/>
    </row>
    <row r="13" spans="1:25" s="2169" customFormat="1" ht="13.5" customHeight="1">
      <c r="A13" s="2441" t="s">
        <v>2444</v>
      </c>
      <c r="B13" s="756" t="s">
        <v>612</v>
      </c>
      <c r="C13" s="757">
        <f>ROUND(D13*E13/10000,0)</f>
        <v>4911</v>
      </c>
      <c r="D13" s="758">
        <f>'数据-汇总表'!E6</f>
        <v>245539.3</v>
      </c>
      <c r="E13" s="757">
        <f>'数据-取费表'!B28</f>
        <v>200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4645</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12814</v>
      </c>
      <c r="D18" s="762"/>
      <c r="E18" s="763"/>
      <c r="F18" s="761">
        <f>'数据-取费表'!Q16</f>
        <v>0.12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124244.04156999999</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18637</v>
      </c>
      <c r="D20" s="760"/>
      <c r="E20" s="749"/>
      <c r="F20" s="1345">
        <v>0.15</v>
      </c>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142881.04157</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109733</v>
      </c>
      <c r="D22" s="760"/>
      <c r="E22" s="749"/>
      <c r="F22" s="766">
        <f>'数据-取费表'!AP16</f>
        <v>0.76800000000000002</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109733</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7"/>
  <sheetViews>
    <sheetView topLeftCell="A13" workbookViewId="0">
      <selection activeCell="K27" sqref="K27"/>
    </sheetView>
  </sheetViews>
  <sheetFormatPr defaultRowHeight="13.5"/>
  <cols>
    <col min="1" max="11" width="9" style="3188"/>
    <col min="12" max="12" width="21.75" style="3188" customWidth="1"/>
    <col min="13" max="16384" width="9" style="3188"/>
  </cols>
  <sheetData>
    <row r="17" spans="12:12">
      <c r="L17" s="3188">
        <f ca="1">ROUND(结果表!G20*24.55393,4)</f>
        <v>85987.862899999993</v>
      </c>
    </row>
  </sheetData>
  <phoneticPr fontId="229" type="noConversion"/>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0"/>
  <sheetViews>
    <sheetView topLeftCell="B1" zoomScale="90" zoomScaleNormal="90" workbookViewId="0">
      <selection activeCell="D30" sqref="D30"/>
    </sheetView>
  </sheetViews>
  <sheetFormatPr defaultRowHeight="13.5"/>
  <cols>
    <col min="1" max="1" width="9" style="3188"/>
    <col min="2" max="2" width="15.875" style="3188" customWidth="1"/>
    <col min="3" max="3" width="15.75" style="3188" customWidth="1"/>
    <col min="4" max="4" width="6" style="3188" customWidth="1"/>
    <col min="5" max="5" width="11.875" style="3188" customWidth="1"/>
    <col min="6" max="6" width="5.75" style="3188" customWidth="1"/>
    <col min="7" max="7" width="12.625" style="3188" customWidth="1"/>
    <col min="8" max="8" width="6.875" style="3188" customWidth="1"/>
    <col min="9" max="9" width="12.75" style="3188" customWidth="1"/>
    <col min="10" max="10" width="5.25" style="3188" customWidth="1"/>
    <col min="11" max="11" width="12" style="3188" hidden="1" customWidth="1"/>
    <col min="12" max="12" width="6" style="3188" hidden="1" customWidth="1"/>
    <col min="13" max="13" width="12" style="3188" hidden="1" customWidth="1"/>
    <col min="14" max="14" width="0" style="3188" hidden="1" customWidth="1"/>
    <col min="15" max="17" width="9" style="3188"/>
    <col min="18" max="18" width="13.125" style="3188" customWidth="1"/>
    <col min="19" max="20" width="9" style="3188"/>
    <col min="21" max="21" width="9.625" style="3188" bestFit="1" customWidth="1"/>
    <col min="22" max="16384" width="9" style="3188"/>
  </cols>
  <sheetData>
    <row r="1" spans="1:24">
      <c r="A1" s="3610" t="s">
        <v>3131</v>
      </c>
      <c r="B1" s="3610"/>
      <c r="C1" s="3610"/>
      <c r="D1" s="3610"/>
      <c r="E1" s="3610"/>
      <c r="F1" s="3610"/>
      <c r="G1" s="3610"/>
      <c r="H1" s="3610"/>
      <c r="I1" s="3610"/>
      <c r="J1" s="3610"/>
    </row>
    <row r="2" spans="1:24">
      <c r="A2" s="3259"/>
      <c r="B2" s="3259"/>
      <c r="C2" s="3259"/>
      <c r="D2" s="3259"/>
      <c r="E2" s="3259"/>
      <c r="F2" s="3259"/>
      <c r="G2" s="3259"/>
      <c r="H2" s="3259"/>
      <c r="I2" s="3259"/>
      <c r="J2" s="3259"/>
      <c r="K2" s="3259"/>
      <c r="L2" s="3259"/>
      <c r="M2" s="3259"/>
      <c r="N2" s="3259"/>
    </row>
    <row r="3" spans="1:24" ht="15">
      <c r="A3" s="3611" t="s">
        <v>3132</v>
      </c>
      <c r="B3" s="3611"/>
      <c r="C3" s="3612" t="s">
        <v>3133</v>
      </c>
      <c r="D3" s="3612"/>
      <c r="E3" s="3612" t="s">
        <v>3134</v>
      </c>
      <c r="F3" s="3612"/>
      <c r="G3" s="3612" t="s">
        <v>3135</v>
      </c>
      <c r="H3" s="3612"/>
      <c r="I3" s="3612" t="s">
        <v>3136</v>
      </c>
      <c r="J3" s="3612"/>
      <c r="K3" s="3612" t="s">
        <v>3137</v>
      </c>
      <c r="L3" s="3612"/>
      <c r="M3" s="3612" t="s">
        <v>3138</v>
      </c>
      <c r="N3" s="3612"/>
      <c r="P3" s="3260"/>
      <c r="Q3" s="3260"/>
      <c r="R3" s="3260"/>
      <c r="S3" s="3260"/>
      <c r="T3" s="3261"/>
      <c r="U3" s="3262"/>
      <c r="V3" s="3260"/>
    </row>
    <row r="4" spans="1:24" ht="60.75" customHeight="1">
      <c r="A4" s="3611" t="s">
        <v>3139</v>
      </c>
      <c r="B4" s="3611"/>
      <c r="C4" s="3613"/>
      <c r="D4" s="3614"/>
      <c r="E4" s="3613" t="str">
        <f>'土地案例（原）'!F26</f>
        <v>昌平区六环路土城出口土城新村改造
土地一级开发项目核A-04、A-05、A-07地块</v>
      </c>
      <c r="F4" s="3614"/>
      <c r="G4" s="3613" t="str">
        <f>收购补偿方案!C7</f>
        <v>企业利用自有用地（鑫华源公司厂区地块项目）</v>
      </c>
      <c r="H4" s="3614"/>
      <c r="I4" s="3613" t="str">
        <f>收购补偿方案!C9</f>
        <v>怀柔区怀北镇怀北庄村北项目</v>
      </c>
      <c r="J4" s="3614"/>
      <c r="K4" s="3615" t="str">
        <f>'土地案例（原）'!F22</f>
        <v>大兴区庞各庄镇镇区改造土地一级开发项目（DX06-0103-6001、6002、6003）地块</v>
      </c>
      <c r="L4" s="3616"/>
      <c r="M4" s="3613"/>
      <c r="N4" s="3614"/>
      <c r="P4" s="3263" t="s">
        <v>3140</v>
      </c>
      <c r="Q4" s="3260"/>
      <c r="R4" s="3263" t="s">
        <v>3141</v>
      </c>
      <c r="S4" s="3260"/>
      <c r="T4" s="3261"/>
      <c r="U4" s="3262"/>
      <c r="V4" s="3262"/>
    </row>
    <row r="5" spans="1:24" ht="23.25" hidden="1" customHeight="1">
      <c r="A5" s="3611" t="s">
        <v>3142</v>
      </c>
      <c r="B5" s="3611"/>
      <c r="C5" s="3613" t="s">
        <v>3143</v>
      </c>
      <c r="D5" s="3614"/>
      <c r="E5" s="3613">
        <f>[3]橡树湾数据!H7</f>
        <v>109.08</v>
      </c>
      <c r="F5" s="3614"/>
      <c r="G5" s="3613">
        <f>[3]领秀硅谷数据!H6</f>
        <v>101.33</v>
      </c>
      <c r="H5" s="3614"/>
      <c r="I5" s="3613">
        <f>[3]毛纺厂西数据!H6</f>
        <v>110.5</v>
      </c>
      <c r="J5" s="3614"/>
      <c r="K5" s="3613">
        <f>[3]专家国际花园数据!H6</f>
        <v>102</v>
      </c>
      <c r="L5" s="3614"/>
      <c r="M5" s="3613">
        <f>[3]尚品公寓数据!H6</f>
        <v>98.25</v>
      </c>
      <c r="N5" s="3614"/>
      <c r="P5" s="3264">
        <v>42948</v>
      </c>
      <c r="Q5" s="3265" t="e">
        <f>[4]土地案例!#REF!</f>
        <v>#REF!</v>
      </c>
      <c r="R5" s="3266">
        <f>V6</f>
        <v>1.0158</v>
      </c>
      <c r="S5" s="3265" t="e">
        <f>ROUND(Q5*R5*W5,1)</f>
        <v>#REF!</v>
      </c>
      <c r="T5" s="3261" t="s">
        <v>3144</v>
      </c>
      <c r="U5" s="3262">
        <f>[4]地价!W3</f>
        <v>0</v>
      </c>
      <c r="V5" s="3262">
        <f t="shared" ref="V5:V9" si="0">1+U5</f>
        <v>1</v>
      </c>
    </row>
    <row r="6" spans="1:24" ht="15">
      <c r="A6" s="3611" t="s">
        <v>3145</v>
      </c>
      <c r="B6" s="3611"/>
      <c r="C6" s="3267">
        <v>43958</v>
      </c>
      <c r="D6" s="3268">
        <v>100</v>
      </c>
      <c r="E6" s="3269" t="s">
        <v>3146</v>
      </c>
      <c r="F6" s="3268">
        <v>98.5</v>
      </c>
      <c r="G6" s="3269" t="s">
        <v>3284</v>
      </c>
      <c r="H6" s="3268">
        <f>F6</f>
        <v>98.5</v>
      </c>
      <c r="I6" s="3269" t="str">
        <f>G6</f>
        <v>2018-11</v>
      </c>
      <c r="J6" s="3268">
        <f>F6</f>
        <v>98.5</v>
      </c>
      <c r="K6" s="3269" t="s">
        <v>3208</v>
      </c>
      <c r="L6" s="3268">
        <v>97</v>
      </c>
      <c r="M6" s="3269" t="s">
        <v>3147</v>
      </c>
      <c r="N6" s="3268">
        <v>100</v>
      </c>
      <c r="P6" s="3270" t="s">
        <v>3148</v>
      </c>
      <c r="Q6" s="3265">
        <f>100/R6</f>
        <v>98.444575703878712</v>
      </c>
      <c r="R6" s="3266">
        <f>V6</f>
        <v>1.0158</v>
      </c>
      <c r="S6" s="3265">
        <f>ROUND(Q6*R6*W6,1)</f>
        <v>0</v>
      </c>
      <c r="T6" s="3261" t="s">
        <v>3149</v>
      </c>
      <c r="U6" s="3262">
        <f>[2]地价!Q13</f>
        <v>1.5800000000000002E-2</v>
      </c>
      <c r="V6" s="3262">
        <f t="shared" si="0"/>
        <v>1.0158</v>
      </c>
    </row>
    <row r="7" spans="1:24" ht="15">
      <c r="A7" s="3611" t="s">
        <v>3150</v>
      </c>
      <c r="B7" s="3611"/>
      <c r="C7" s="3271" t="s">
        <v>3151</v>
      </c>
      <c r="D7" s="3271">
        <v>100</v>
      </c>
      <c r="E7" s="3271" t="s">
        <v>3151</v>
      </c>
      <c r="F7" s="3271">
        <v>100</v>
      </c>
      <c r="G7" s="3271" t="s">
        <v>3151</v>
      </c>
      <c r="H7" s="3271">
        <f>IF(G7=C7,100,"请调整")</f>
        <v>100</v>
      </c>
      <c r="I7" s="3271" t="s">
        <v>3151</v>
      </c>
      <c r="J7" s="3271">
        <f>IF(I7=C7,100,"请调整")</f>
        <v>100</v>
      </c>
      <c r="K7" s="3271" t="s">
        <v>3151</v>
      </c>
      <c r="L7" s="3271">
        <f>IF(K7=G7,100,"请调整")</f>
        <v>100</v>
      </c>
      <c r="M7" s="3271" t="s">
        <v>3151</v>
      </c>
      <c r="N7" s="3271">
        <f>IF(M7=G7,100,"请调整")</f>
        <v>100</v>
      </c>
      <c r="P7" s="3270" t="s">
        <v>3152</v>
      </c>
      <c r="Q7" s="3265">
        <f>100/R7</f>
        <v>98.347757671125109</v>
      </c>
      <c r="R7" s="3266">
        <f>V7</f>
        <v>1.0167999999999999</v>
      </c>
      <c r="S7" s="3265">
        <f>ROUND(Q7*R7*W7,1)</f>
        <v>0</v>
      </c>
      <c r="T7" s="3261" t="s">
        <v>3153</v>
      </c>
      <c r="U7" s="3262">
        <f>[2]地价!Q12</f>
        <v>1.6799999999999999E-2</v>
      </c>
      <c r="V7" s="3262">
        <f t="shared" si="0"/>
        <v>1.0167999999999999</v>
      </c>
    </row>
    <row r="8" spans="1:24" ht="15">
      <c r="A8" s="3617" t="s">
        <v>3154</v>
      </c>
      <c r="B8" s="3272" t="s">
        <v>1655</v>
      </c>
      <c r="C8" s="3273" t="s">
        <v>3155</v>
      </c>
      <c r="D8" s="3273">
        <v>100</v>
      </c>
      <c r="E8" s="3273" t="s">
        <v>3155</v>
      </c>
      <c r="F8" s="3273">
        <v>100</v>
      </c>
      <c r="G8" s="3273" t="s">
        <v>3155</v>
      </c>
      <c r="H8" s="3273">
        <v>100</v>
      </c>
      <c r="I8" s="3273" t="s">
        <v>3295</v>
      </c>
      <c r="J8" s="3273">
        <v>95</v>
      </c>
      <c r="K8" s="3273" t="s">
        <v>3155</v>
      </c>
      <c r="L8" s="3273">
        <v>100</v>
      </c>
      <c r="M8" s="3273" t="s">
        <v>3155</v>
      </c>
      <c r="N8" s="3271">
        <v>100</v>
      </c>
      <c r="P8" s="3270" t="s">
        <v>3156</v>
      </c>
      <c r="Q8" s="3265">
        <f>100/R8</f>
        <v>98.309083759339359</v>
      </c>
      <c r="R8" s="3274">
        <f>V8</f>
        <v>1.0172000000000001</v>
      </c>
      <c r="S8" s="3265"/>
      <c r="T8" s="3261" t="s">
        <v>3157</v>
      </c>
      <c r="U8" s="3262">
        <f>[2]地价!Q11</f>
        <v>1.72E-2</v>
      </c>
      <c r="V8" s="3262">
        <f t="shared" si="0"/>
        <v>1.0172000000000001</v>
      </c>
    </row>
    <row r="9" spans="1:24" ht="15">
      <c r="A9" s="3618"/>
      <c r="B9" s="3272" t="s">
        <v>3158</v>
      </c>
      <c r="C9" s="3275" t="s">
        <v>3159</v>
      </c>
      <c r="D9" s="3273">
        <v>100</v>
      </c>
      <c r="E9" s="3273" t="s">
        <v>3155</v>
      </c>
      <c r="F9" s="3273">
        <v>95</v>
      </c>
      <c r="G9" s="3325" t="s">
        <v>3290</v>
      </c>
      <c r="H9" s="3273">
        <v>100</v>
      </c>
      <c r="I9" s="3273" t="s">
        <v>3155</v>
      </c>
      <c r="J9" s="3273">
        <f>F9</f>
        <v>95</v>
      </c>
      <c r="K9" s="3273" t="s">
        <v>3155</v>
      </c>
      <c r="L9" s="3273">
        <v>98</v>
      </c>
      <c r="M9" s="3273" t="s">
        <v>3155</v>
      </c>
      <c r="N9" s="3271">
        <v>100</v>
      </c>
      <c r="P9" s="3270" t="s">
        <v>3160</v>
      </c>
      <c r="Q9" s="3265">
        <f>100/R9</f>
        <v>98.726429065060728</v>
      </c>
      <c r="R9" s="3274">
        <f>V9</f>
        <v>1.0128999999999999</v>
      </c>
      <c r="S9" s="3265"/>
      <c r="T9" s="3261" t="s">
        <v>3161</v>
      </c>
      <c r="U9" s="3262">
        <f>[2]地价!Q6</f>
        <v>1.29E-2</v>
      </c>
      <c r="V9" s="3262">
        <f t="shared" si="0"/>
        <v>1.0128999999999999</v>
      </c>
    </row>
    <row r="10" spans="1:24" ht="24">
      <c r="A10" s="3618"/>
      <c r="B10" s="3272" t="s">
        <v>3162</v>
      </c>
      <c r="C10" s="3273" t="s">
        <v>3172</v>
      </c>
      <c r="D10" s="3273">
        <v>100</v>
      </c>
      <c r="E10" s="3273" t="s">
        <v>3285</v>
      </c>
      <c r="F10" s="3273">
        <v>101</v>
      </c>
      <c r="G10" s="3273" t="s">
        <v>3286</v>
      </c>
      <c r="H10" s="3273">
        <v>100</v>
      </c>
      <c r="I10" s="3273" t="s">
        <v>3163</v>
      </c>
      <c r="J10" s="3273">
        <v>99</v>
      </c>
      <c r="K10" s="3273" t="s">
        <v>3164</v>
      </c>
      <c r="L10" s="3273">
        <v>101</v>
      </c>
      <c r="M10" s="3273" t="s">
        <v>3165</v>
      </c>
      <c r="N10" s="3271">
        <v>100</v>
      </c>
      <c r="P10" s="3265"/>
      <c r="Q10" s="3265"/>
      <c r="R10" s="3265"/>
      <c r="S10" s="3265"/>
      <c r="T10" s="3261"/>
      <c r="U10" s="3262"/>
      <c r="V10" s="3262"/>
    </row>
    <row r="11" spans="1:24" ht="48">
      <c r="A11" s="3618"/>
      <c r="B11" s="3276" t="s">
        <v>3166</v>
      </c>
      <c r="C11" s="3272" t="s">
        <v>3167</v>
      </c>
      <c r="D11" s="3273">
        <v>100</v>
      </c>
      <c r="E11" s="3292" t="str">
        <f>I11</f>
        <v>公用服务设施一般，基本能满足需要</v>
      </c>
      <c r="F11" s="3273">
        <v>95</v>
      </c>
      <c r="G11" s="3292" t="s">
        <v>3167</v>
      </c>
      <c r="H11" s="3273">
        <v>100</v>
      </c>
      <c r="I11" s="3277" t="s">
        <v>3168</v>
      </c>
      <c r="J11" s="3278">
        <v>95</v>
      </c>
      <c r="K11" s="3272" t="s">
        <v>3167</v>
      </c>
      <c r="L11" s="3271">
        <v>100</v>
      </c>
      <c r="M11" s="3272" t="s">
        <v>3169</v>
      </c>
      <c r="N11" s="3271">
        <v>100</v>
      </c>
      <c r="O11" s="3188">
        <v>19.3</v>
      </c>
      <c r="P11" s="3265">
        <v>2019.1</v>
      </c>
      <c r="Q11" s="3265">
        <v>18.399999999999999</v>
      </c>
      <c r="R11" s="3266">
        <v>0.183</v>
      </c>
      <c r="S11" s="3265">
        <v>18.2</v>
      </c>
      <c r="T11" s="3261" t="s">
        <v>3170</v>
      </c>
      <c r="U11" s="3262">
        <v>0.17399999999999999</v>
      </c>
      <c r="V11" s="3262">
        <v>0.17299999999999999</v>
      </c>
      <c r="W11" s="3188">
        <v>17.2</v>
      </c>
      <c r="X11" s="3188">
        <v>17.100000000000001</v>
      </c>
    </row>
    <row r="12" spans="1:24" ht="31.5" hidden="1" customHeight="1">
      <c r="A12" s="3618"/>
      <c r="B12" s="3272" t="s">
        <v>3162</v>
      </c>
      <c r="C12" s="3273" t="s">
        <v>3163</v>
      </c>
      <c r="D12" s="3271">
        <v>100</v>
      </c>
      <c r="E12" s="3273" t="s">
        <v>3171</v>
      </c>
      <c r="F12" s="3271">
        <v>100</v>
      </c>
      <c r="G12" s="3273" t="s">
        <v>3163</v>
      </c>
      <c r="H12" s="3271">
        <v>100</v>
      </c>
      <c r="I12" s="3273" t="s">
        <v>3172</v>
      </c>
      <c r="J12" s="3271">
        <v>100</v>
      </c>
      <c r="K12" s="3273" t="s">
        <v>3172</v>
      </c>
      <c r="L12" s="3273">
        <v>100</v>
      </c>
      <c r="M12" s="3273" t="s">
        <v>3163</v>
      </c>
      <c r="N12" s="3271">
        <v>100</v>
      </c>
    </row>
    <row r="13" spans="1:24">
      <c r="A13" s="3619"/>
      <c r="B13" s="3272" t="s">
        <v>3292</v>
      </c>
      <c r="C13" s="3273" t="s">
        <v>3159</v>
      </c>
      <c r="D13" s="3271">
        <v>100</v>
      </c>
      <c r="E13" s="3273" t="s">
        <v>3155</v>
      </c>
      <c r="F13" s="3271">
        <v>95</v>
      </c>
      <c r="G13" s="3273" t="s">
        <v>3290</v>
      </c>
      <c r="H13" s="3271">
        <v>100</v>
      </c>
      <c r="I13" s="3273" t="s">
        <v>3291</v>
      </c>
      <c r="J13" s="3271">
        <f>F13</f>
        <v>95</v>
      </c>
      <c r="K13" s="3273" t="s">
        <v>3155</v>
      </c>
      <c r="L13" s="3273">
        <v>96</v>
      </c>
      <c r="M13" s="3273" t="s">
        <v>3159</v>
      </c>
      <c r="N13" s="3271">
        <v>100</v>
      </c>
      <c r="O13" s="3188">
        <v>100</v>
      </c>
      <c r="P13" s="3188">
        <v>99</v>
      </c>
      <c r="Q13" s="3188">
        <v>97</v>
      </c>
      <c r="R13" s="3188">
        <v>96.5</v>
      </c>
      <c r="S13" s="3188">
        <v>96</v>
      </c>
      <c r="T13" s="3188">
        <v>97</v>
      </c>
      <c r="U13" s="3188">
        <v>96.5</v>
      </c>
      <c r="V13" s="3188">
        <v>96</v>
      </c>
      <c r="W13" s="3188">
        <v>95.5</v>
      </c>
      <c r="X13" s="3188">
        <v>93.5</v>
      </c>
    </row>
    <row r="14" spans="1:24">
      <c r="A14" s="3620" t="s">
        <v>3173</v>
      </c>
      <c r="B14" s="3276" t="s">
        <v>3174</v>
      </c>
      <c r="C14" s="3273" t="s">
        <v>3175</v>
      </c>
      <c r="D14" s="3271">
        <v>100</v>
      </c>
      <c r="E14" s="3323" t="s">
        <v>3176</v>
      </c>
      <c r="F14" s="3324">
        <v>102</v>
      </c>
      <c r="G14" s="3323" t="s">
        <v>3175</v>
      </c>
      <c r="H14" s="3324">
        <v>100</v>
      </c>
      <c r="I14" s="3323" t="s">
        <v>3175</v>
      </c>
      <c r="J14" s="3324">
        <v>100</v>
      </c>
      <c r="K14" s="3273" t="s">
        <v>3175</v>
      </c>
      <c r="L14" s="3279">
        <v>100</v>
      </c>
      <c r="M14" s="3273" t="s">
        <v>3177</v>
      </c>
      <c r="N14" s="3271">
        <v>100</v>
      </c>
      <c r="O14" s="3188">
        <v>100</v>
      </c>
      <c r="P14" s="3188">
        <v>99.6</v>
      </c>
      <c r="Q14" s="3188">
        <v>99.4</v>
      </c>
      <c r="R14" s="3188">
        <v>99.2</v>
      </c>
      <c r="S14" s="3188">
        <v>99</v>
      </c>
      <c r="T14" s="3188">
        <v>98.8</v>
      </c>
      <c r="U14" s="3188">
        <v>98.6</v>
      </c>
      <c r="V14" s="3188">
        <v>98.4</v>
      </c>
      <c r="W14" s="3188">
        <v>98.2</v>
      </c>
      <c r="X14" s="3188">
        <v>98</v>
      </c>
    </row>
    <row r="15" spans="1:24" ht="24" customHeight="1">
      <c r="A15" s="3621"/>
      <c r="B15" s="3276" t="s">
        <v>3178</v>
      </c>
      <c r="C15" s="3273" t="s">
        <v>3179</v>
      </c>
      <c r="D15" s="3271">
        <v>100</v>
      </c>
      <c r="E15" s="3273" t="s">
        <v>3180</v>
      </c>
      <c r="F15" s="3271">
        <v>101</v>
      </c>
      <c r="G15" s="3273" t="str">
        <f>C15</f>
        <v>五通</v>
      </c>
      <c r="H15" s="3271">
        <f>D15</f>
        <v>100</v>
      </c>
      <c r="I15" s="3273" t="s">
        <v>3179</v>
      </c>
      <c r="J15" s="3271">
        <v>100</v>
      </c>
      <c r="K15" s="3273" t="s">
        <v>3209</v>
      </c>
      <c r="L15" s="3271">
        <v>101</v>
      </c>
      <c r="M15" s="3273" t="s">
        <v>3181</v>
      </c>
      <c r="N15" s="3271">
        <v>100</v>
      </c>
    </row>
    <row r="16" spans="1:24">
      <c r="A16" s="3621"/>
      <c r="B16" s="3276" t="s">
        <v>3182</v>
      </c>
      <c r="C16" s="3273" t="s">
        <v>3293</v>
      </c>
      <c r="D16" s="3271">
        <v>100</v>
      </c>
      <c r="E16" s="3273" t="str">
        <f>C16</f>
        <v>一般</v>
      </c>
      <c r="F16" s="3271">
        <v>100</v>
      </c>
      <c r="G16" s="3273" t="s">
        <v>3294</v>
      </c>
      <c r="H16" s="3271">
        <v>102</v>
      </c>
      <c r="I16" s="3273" t="str">
        <f>C16</f>
        <v>一般</v>
      </c>
      <c r="J16" s="3271">
        <v>100</v>
      </c>
      <c r="K16" s="3273" t="str">
        <f>C16</f>
        <v>一般</v>
      </c>
      <c r="L16" s="3271">
        <v>100</v>
      </c>
      <c r="M16" s="3273" t="s">
        <v>3183</v>
      </c>
      <c r="N16" s="3271">
        <v>100</v>
      </c>
    </row>
    <row r="17" spans="1:18">
      <c r="A17" s="3622"/>
      <c r="B17" s="3276" t="s">
        <v>3184</v>
      </c>
      <c r="C17" s="3273">
        <f>'[5]数据-基础表'!A3/10000</f>
        <v>24.553929999999998</v>
      </c>
      <c r="D17" s="3271">
        <v>100</v>
      </c>
      <c r="E17" s="3273">
        <f>'土地案例（原）'!K26</f>
        <v>113.32</v>
      </c>
      <c r="F17" s="3271">
        <v>101.8</v>
      </c>
      <c r="G17" s="3273">
        <v>19.25</v>
      </c>
      <c r="H17" s="3271">
        <v>99.6</v>
      </c>
      <c r="I17" s="3273">
        <f>收购补偿方案!F9</f>
        <v>6.38</v>
      </c>
      <c r="J17" s="3271">
        <v>99.8</v>
      </c>
      <c r="K17" s="3273">
        <f>'土地案例（原）'!K22</f>
        <v>239.14</v>
      </c>
      <c r="L17" s="3271">
        <v>102</v>
      </c>
      <c r="M17" s="3273">
        <v>49.58</v>
      </c>
      <c r="N17" s="3271">
        <v>100</v>
      </c>
      <c r="P17" s="3188">
        <v>50</v>
      </c>
      <c r="Q17" s="3188" t="s">
        <v>3185</v>
      </c>
      <c r="R17" s="3188" t="s">
        <v>3186</v>
      </c>
    </row>
    <row r="18" spans="1:18" ht="36" hidden="1">
      <c r="A18" s="3617" t="s">
        <v>3187</v>
      </c>
      <c r="B18" s="3272" t="s">
        <v>3188</v>
      </c>
      <c r="C18" s="3273" t="s">
        <v>3189</v>
      </c>
      <c r="D18" s="3271">
        <v>100</v>
      </c>
      <c r="E18" s="3273" t="s">
        <v>3189</v>
      </c>
      <c r="F18" s="3271">
        <v>100</v>
      </c>
      <c r="G18" s="3273" t="s">
        <v>3189</v>
      </c>
      <c r="H18" s="3271">
        <v>100</v>
      </c>
      <c r="I18" s="3273" t="s">
        <v>3189</v>
      </c>
      <c r="J18" s="3271">
        <v>100</v>
      </c>
      <c r="K18" s="3273" t="s">
        <v>3189</v>
      </c>
      <c r="L18" s="3271">
        <v>100</v>
      </c>
      <c r="M18" s="3273" t="s">
        <v>3189</v>
      </c>
      <c r="N18" s="3271">
        <v>100</v>
      </c>
    </row>
    <row r="19" spans="1:18" hidden="1">
      <c r="A19" s="3618"/>
      <c r="B19" s="3272" t="s">
        <v>3190</v>
      </c>
      <c r="C19" s="3280" t="s">
        <v>3191</v>
      </c>
      <c r="D19" s="3271">
        <v>100</v>
      </c>
      <c r="E19" s="3280" t="s">
        <v>3191</v>
      </c>
      <c r="F19" s="3271">
        <v>100</v>
      </c>
      <c r="G19" s="3280" t="s">
        <v>3191</v>
      </c>
      <c r="H19" s="3271">
        <v>100</v>
      </c>
      <c r="I19" s="3280" t="s">
        <v>3191</v>
      </c>
      <c r="J19" s="3271">
        <v>100</v>
      </c>
      <c r="K19" s="3280" t="s">
        <v>3191</v>
      </c>
      <c r="L19" s="3271">
        <v>100</v>
      </c>
      <c r="M19" s="3280" t="s">
        <v>3191</v>
      </c>
      <c r="N19" s="3271">
        <v>100</v>
      </c>
    </row>
    <row r="20" spans="1:18" hidden="1">
      <c r="A20" s="3618"/>
      <c r="B20" s="3272" t="s">
        <v>3192</v>
      </c>
      <c r="C20" s="3273" t="s">
        <v>3193</v>
      </c>
      <c r="D20" s="3271">
        <v>100</v>
      </c>
      <c r="E20" s="3273" t="s">
        <v>3193</v>
      </c>
      <c r="F20" s="3271">
        <v>100</v>
      </c>
      <c r="G20" s="3273" t="s">
        <v>3193</v>
      </c>
      <c r="H20" s="3271">
        <v>100</v>
      </c>
      <c r="I20" s="3273" t="s">
        <v>3193</v>
      </c>
      <c r="J20" s="3271">
        <v>100</v>
      </c>
      <c r="K20" s="3273" t="s">
        <v>3193</v>
      </c>
      <c r="L20" s="3271">
        <v>100</v>
      </c>
      <c r="M20" s="3273" t="s">
        <v>3193</v>
      </c>
      <c r="N20" s="3271">
        <v>100</v>
      </c>
    </row>
    <row r="21" spans="1:18" ht="36" hidden="1">
      <c r="A21" s="3618"/>
      <c r="B21" s="3272" t="s">
        <v>3194</v>
      </c>
      <c r="C21" s="3273" t="s">
        <v>3195</v>
      </c>
      <c r="D21" s="3271">
        <v>100</v>
      </c>
      <c r="E21" s="3273" t="s">
        <v>3196</v>
      </c>
      <c r="F21" s="3281">
        <v>100</v>
      </c>
      <c r="G21" s="3273" t="s">
        <v>3196</v>
      </c>
      <c r="H21" s="3281">
        <v>100</v>
      </c>
      <c r="I21" s="3273" t="s">
        <v>3196</v>
      </c>
      <c r="J21" s="3281">
        <v>100</v>
      </c>
      <c r="K21" s="3273" t="s">
        <v>3196</v>
      </c>
      <c r="L21" s="3281">
        <v>100</v>
      </c>
      <c r="M21" s="3273" t="s">
        <v>3196</v>
      </c>
      <c r="N21" s="3281">
        <v>100</v>
      </c>
    </row>
    <row r="22" spans="1:18" ht="36" hidden="1">
      <c r="A22" s="3618"/>
      <c r="B22" s="3272" t="s">
        <v>3197</v>
      </c>
      <c r="C22" s="3273" t="s">
        <v>3198</v>
      </c>
      <c r="D22" s="3271">
        <v>100</v>
      </c>
      <c r="E22" s="3273" t="s">
        <v>3198</v>
      </c>
      <c r="F22" s="3271">
        <v>100</v>
      </c>
      <c r="G22" s="3273" t="s">
        <v>3198</v>
      </c>
      <c r="H22" s="3271">
        <v>100</v>
      </c>
      <c r="I22" s="3273" t="s">
        <v>3199</v>
      </c>
      <c r="J22" s="3271">
        <v>100</v>
      </c>
      <c r="K22" s="3273" t="s">
        <v>3198</v>
      </c>
      <c r="L22" s="3271">
        <v>100</v>
      </c>
      <c r="M22" s="3273" t="s">
        <v>3198</v>
      </c>
      <c r="N22" s="3271">
        <v>100</v>
      </c>
    </row>
    <row r="23" spans="1:18" ht="24" hidden="1">
      <c r="A23" s="3618"/>
      <c r="B23" s="3272" t="s">
        <v>3200</v>
      </c>
      <c r="C23" s="3273" t="s">
        <v>3201</v>
      </c>
      <c r="D23" s="3271">
        <v>100</v>
      </c>
      <c r="E23" s="3273" t="s">
        <v>3201</v>
      </c>
      <c r="F23" s="3271">
        <v>100</v>
      </c>
      <c r="G23" s="3273" t="s">
        <v>3201</v>
      </c>
      <c r="H23" s="3271">
        <v>100</v>
      </c>
      <c r="I23" s="3273" t="s">
        <v>3201</v>
      </c>
      <c r="J23" s="3271">
        <v>100</v>
      </c>
      <c r="K23" s="3273" t="s">
        <v>3201</v>
      </c>
      <c r="L23" s="3271">
        <v>100</v>
      </c>
      <c r="M23" s="3273" t="s">
        <v>3201</v>
      </c>
      <c r="N23" s="3271">
        <v>100</v>
      </c>
    </row>
    <row r="24" spans="1:18" ht="24" hidden="1">
      <c r="A24" s="3619"/>
      <c r="B24" s="3272" t="s">
        <v>3202</v>
      </c>
      <c r="C24" s="3273" t="s">
        <v>3203</v>
      </c>
      <c r="D24" s="3271">
        <v>100</v>
      </c>
      <c r="E24" s="3273" t="s">
        <v>3204</v>
      </c>
      <c r="F24" s="3281">
        <v>100</v>
      </c>
      <c r="G24" s="3273" t="s">
        <v>3204</v>
      </c>
      <c r="H24" s="3281">
        <v>100</v>
      </c>
      <c r="I24" s="3273" t="s">
        <v>3204</v>
      </c>
      <c r="J24" s="3281">
        <v>100</v>
      </c>
      <c r="K24" s="3273" t="s">
        <v>3204</v>
      </c>
      <c r="L24" s="3281">
        <v>100</v>
      </c>
      <c r="M24" s="3273" t="s">
        <v>3204</v>
      </c>
      <c r="N24" s="3281">
        <v>100</v>
      </c>
    </row>
    <row r="25" spans="1:18">
      <c r="A25" s="3611" t="s">
        <v>3205</v>
      </c>
      <c r="B25" s="3611"/>
      <c r="C25" s="3612" t="s">
        <v>3206</v>
      </c>
      <c r="D25" s="3612"/>
      <c r="E25" s="3612">
        <v>4086</v>
      </c>
      <c r="F25" s="3612"/>
      <c r="G25" s="3612">
        <f>收购补偿方案!H7</f>
        <v>5439</v>
      </c>
      <c r="H25" s="3612"/>
      <c r="I25" s="3612">
        <f>收购补偿方案!H9</f>
        <v>2412</v>
      </c>
      <c r="J25" s="3612"/>
      <c r="K25" s="3612">
        <f>ROUND('土地案例（原）'!O22,0)</f>
        <v>3853</v>
      </c>
      <c r="L25" s="3612"/>
      <c r="M25" s="3612"/>
      <c r="N25" s="3612"/>
      <c r="P25" s="3188">
        <v>100</v>
      </c>
      <c r="Q25" s="3188">
        <v>101</v>
      </c>
      <c r="R25" s="3188">
        <v>102</v>
      </c>
    </row>
    <row r="26" spans="1:18">
      <c r="A26" s="3611" t="s">
        <v>3207</v>
      </c>
      <c r="B26" s="3611"/>
      <c r="C26" s="3612" t="s">
        <v>3206</v>
      </c>
      <c r="D26" s="3612"/>
      <c r="E26" s="3624">
        <f>ROUND(E25*POWER(100,COUNT(F6:F24))/PRODUCT(F6:F24),0)</f>
        <v>4568</v>
      </c>
      <c r="F26" s="3624"/>
      <c r="G26" s="3624">
        <f>ROUND(G25*POWER(100,COUNT(H6:H24))/PRODUCT(H6:H24),0)</f>
        <v>5435</v>
      </c>
      <c r="H26" s="3624"/>
      <c r="I26" s="3624">
        <f>ROUND(I25*POWER(100,COUNT(J6:J24))/PRODUCT(J6:J24),0)</f>
        <v>3043</v>
      </c>
      <c r="J26" s="3624"/>
      <c r="K26" s="3624">
        <f>ROUND(K25*POWER(100,COUNT(L6:L24))/PRODUCT(L6:L24),0)</f>
        <v>4058</v>
      </c>
      <c r="L26" s="3624"/>
      <c r="M26" s="3624">
        <f>ROUND(M25*POWER(100,COUNT(N6:N24))/PRODUCT(N6:N24),0)</f>
        <v>0</v>
      </c>
      <c r="N26" s="3624"/>
    </row>
    <row r="27" spans="1:18">
      <c r="A27" s="3623" t="str">
        <f>CONCATENATE("估价对象比较价值=(",TEXT(E26,"G/通用格式"),"+",TEXT(G26,"G/通用格式"),"+",TEXT(I26,"G/通用格式"),"+",TEXT(K26,"G/通用格式"),"+",TEXT(M26,"G/通用格式"),")","/",5,"=",ROUND((E26+G26+I26+K26+M26)/4,0))</f>
        <v>估价对象比较价值=(4568+5435+3043+4058+0)/5=4276</v>
      </c>
      <c r="B27" s="3623"/>
      <c r="C27" s="3623"/>
      <c r="D27" s="3623"/>
      <c r="E27" s="3623"/>
      <c r="F27" s="3623"/>
      <c r="G27" s="3623"/>
      <c r="H27" s="3623"/>
      <c r="I27" s="3623"/>
      <c r="J27" s="3623"/>
      <c r="K27" s="3282"/>
    </row>
    <row r="29" spans="1:18">
      <c r="I29" s="3283">
        <f>ROUND(AVERAGE(E26:J26),0)</f>
        <v>4349</v>
      </c>
    </row>
    <row r="30" spans="1:18">
      <c r="I30" s="3282"/>
    </row>
  </sheetData>
  <mergeCells count="42">
    <mergeCell ref="A27:J27"/>
    <mergeCell ref="M25:N25"/>
    <mergeCell ref="A26:B26"/>
    <mergeCell ref="C26:D26"/>
    <mergeCell ref="E26:F26"/>
    <mergeCell ref="G26:H26"/>
    <mergeCell ref="I26:J26"/>
    <mergeCell ref="K26:L26"/>
    <mergeCell ref="M26:N26"/>
    <mergeCell ref="A25:B25"/>
    <mergeCell ref="C25:D25"/>
    <mergeCell ref="E25:F25"/>
    <mergeCell ref="G25:H25"/>
    <mergeCell ref="I25:J25"/>
    <mergeCell ref="K25:L25"/>
    <mergeCell ref="M5:N5"/>
    <mergeCell ref="A6:B6"/>
    <mergeCell ref="A7:B7"/>
    <mergeCell ref="A8:A13"/>
    <mergeCell ref="A14:A17"/>
    <mergeCell ref="I5:J5"/>
    <mergeCell ref="K5:L5"/>
    <mergeCell ref="A18:A24"/>
    <mergeCell ref="A5:B5"/>
    <mergeCell ref="C5:D5"/>
    <mergeCell ref="E5:F5"/>
    <mergeCell ref="G5:H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229" type="noConversion"/>
  <pageMargins left="0.70866141732283472" right="0.70866141732283472" top="0.74803149606299213" bottom="0.74803149606299213" header="0.31496062992125984" footer="0.31496062992125984"/>
  <pageSetup paperSize="9" scale="11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workbookViewId="0">
      <selection activeCell="C7" sqref="C7"/>
    </sheetView>
  </sheetViews>
  <sheetFormatPr defaultRowHeight="13.5"/>
  <cols>
    <col min="1" max="4" width="9" style="3188"/>
    <col min="5" max="5" width="11.625" style="3188" bestFit="1" customWidth="1"/>
    <col min="6" max="16384" width="9" style="3188"/>
  </cols>
  <sheetData>
    <row r="1" spans="1:8">
      <c r="A1" s="3188" t="s">
        <v>3259</v>
      </c>
      <c r="B1" s="3188" t="s">
        <v>3260</v>
      </c>
      <c r="C1" s="3188" t="s">
        <v>3261</v>
      </c>
      <c r="D1" s="3188" t="s">
        <v>3262</v>
      </c>
      <c r="E1" s="3188" t="s">
        <v>3263</v>
      </c>
      <c r="F1" s="3321" t="s">
        <v>3264</v>
      </c>
      <c r="G1" s="3321" t="s">
        <v>3265</v>
      </c>
      <c r="H1" s="3321" t="s">
        <v>3266</v>
      </c>
    </row>
    <row r="2" spans="1:8">
      <c r="A2" s="3188">
        <v>1</v>
      </c>
      <c r="B2" s="3188" t="s">
        <v>3267</v>
      </c>
      <c r="C2" s="3321" t="s">
        <v>3268</v>
      </c>
      <c r="E2" s="3322">
        <v>41907</v>
      </c>
      <c r="F2" s="3188">
        <v>7.58</v>
      </c>
      <c r="G2" s="3188">
        <v>24503.99</v>
      </c>
      <c r="H2" s="3188">
        <f>ROUND(G2/F2,0)</f>
        <v>3233</v>
      </c>
    </row>
    <row r="3" spans="1:8">
      <c r="A3" s="3188">
        <v>2</v>
      </c>
      <c r="B3" s="3188" t="s">
        <v>3269</v>
      </c>
      <c r="C3" s="3321" t="s">
        <v>3270</v>
      </c>
      <c r="E3" s="3322">
        <v>42296</v>
      </c>
      <c r="F3" s="3188">
        <v>3</v>
      </c>
      <c r="G3" s="3188">
        <v>20688</v>
      </c>
      <c r="H3" s="3188">
        <f t="shared" ref="H3:H10" si="0">ROUND(G3/F3,0)</f>
        <v>6896</v>
      </c>
    </row>
    <row r="4" spans="1:8">
      <c r="A4" s="3188">
        <v>3</v>
      </c>
      <c r="B4" s="3188" t="s">
        <v>3271</v>
      </c>
      <c r="C4" s="3321" t="s">
        <v>3272</v>
      </c>
      <c r="E4" s="3322">
        <v>42447</v>
      </c>
      <c r="F4" s="3188">
        <v>0.1</v>
      </c>
      <c r="G4" s="3188">
        <v>2215.56</v>
      </c>
      <c r="H4" s="3188">
        <f t="shared" si="0"/>
        <v>22156</v>
      </c>
    </row>
    <row r="5" spans="1:8">
      <c r="A5" s="3188">
        <v>4</v>
      </c>
      <c r="B5" s="3188" t="s">
        <v>3269</v>
      </c>
      <c r="C5" s="3321" t="s">
        <v>3273</v>
      </c>
      <c r="D5" s="3321" t="s">
        <v>3274</v>
      </c>
      <c r="E5" s="3322">
        <v>43018</v>
      </c>
      <c r="F5" s="3188">
        <v>2.8</v>
      </c>
      <c r="G5" s="3188">
        <v>27278.3</v>
      </c>
      <c r="H5" s="3188">
        <f t="shared" si="0"/>
        <v>9742</v>
      </c>
    </row>
    <row r="6" spans="1:8">
      <c r="A6" s="3188">
        <v>5</v>
      </c>
      <c r="B6" s="3188" t="s">
        <v>3271</v>
      </c>
      <c r="C6" s="3321" t="s">
        <v>3275</v>
      </c>
      <c r="D6" s="3321" t="s">
        <v>3276</v>
      </c>
      <c r="E6" s="3322">
        <v>43018</v>
      </c>
      <c r="F6" s="3188">
        <v>5.78</v>
      </c>
      <c r="G6" s="3188">
        <v>49424</v>
      </c>
      <c r="H6" s="3188">
        <f t="shared" si="0"/>
        <v>8551</v>
      </c>
    </row>
    <row r="7" spans="1:8">
      <c r="A7" s="3188">
        <v>6</v>
      </c>
      <c r="B7" s="3188" t="s">
        <v>3267</v>
      </c>
      <c r="C7" s="3321" t="s">
        <v>3287</v>
      </c>
      <c r="D7" s="3321" t="s">
        <v>3277</v>
      </c>
      <c r="E7" s="3322">
        <v>43420</v>
      </c>
      <c r="F7" s="3188">
        <v>19.25</v>
      </c>
      <c r="G7" s="3188">
        <v>104697.25</v>
      </c>
      <c r="H7" s="3188">
        <f t="shared" si="0"/>
        <v>5439</v>
      </c>
    </row>
    <row r="8" spans="1:8">
      <c r="A8" s="3188">
        <v>7</v>
      </c>
      <c r="B8" s="3188" t="s">
        <v>3278</v>
      </c>
      <c r="C8" s="3321" t="s">
        <v>3279</v>
      </c>
      <c r="D8" s="3321" t="s">
        <v>3274</v>
      </c>
      <c r="E8" s="3322">
        <v>43420</v>
      </c>
      <c r="F8" s="3188">
        <v>2.97</v>
      </c>
      <c r="G8" s="3188">
        <v>61070.55</v>
      </c>
      <c r="H8" s="3188">
        <f t="shared" si="0"/>
        <v>20562</v>
      </c>
    </row>
    <row r="9" spans="1:8">
      <c r="A9" s="3188">
        <v>8</v>
      </c>
      <c r="B9" s="3188" t="s">
        <v>3271</v>
      </c>
      <c r="C9" s="3321" t="s">
        <v>3280</v>
      </c>
      <c r="D9" s="3321" t="s">
        <v>3281</v>
      </c>
      <c r="E9" s="3322">
        <v>43420</v>
      </c>
      <c r="F9" s="3188">
        <v>6.38</v>
      </c>
      <c r="G9" s="3188">
        <v>15390.36</v>
      </c>
      <c r="H9" s="3188">
        <f t="shared" si="0"/>
        <v>2412</v>
      </c>
    </row>
    <row r="10" spans="1:8">
      <c r="A10" s="3188">
        <v>9</v>
      </c>
      <c r="B10" s="3188" t="s">
        <v>3282</v>
      </c>
      <c r="C10" s="3321" t="s">
        <v>3283</v>
      </c>
      <c r="D10" s="3321" t="s">
        <v>3281</v>
      </c>
      <c r="E10" s="3322">
        <v>43434</v>
      </c>
      <c r="F10" s="3188">
        <v>0.86</v>
      </c>
      <c r="G10" s="3188">
        <v>4039.67</v>
      </c>
      <c r="H10" s="3188">
        <f t="shared" si="0"/>
        <v>4697</v>
      </c>
    </row>
  </sheetData>
  <phoneticPr fontId="22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workbookViewId="0">
      <pane ySplit="7" topLeftCell="A22" activePane="bottomLeft" state="frozen"/>
      <selection activeCell="F10" sqref="F10"/>
      <selection pane="bottomLeft" activeCell="A26" sqref="A26"/>
    </sheetView>
  </sheetViews>
  <sheetFormatPr defaultRowHeight="13.5"/>
  <cols>
    <col min="1" max="3" width="9" style="3188"/>
    <col min="4" max="4" width="10.5" style="3188" customWidth="1"/>
    <col min="5" max="5" width="17.125" style="3188" hidden="1" customWidth="1"/>
    <col min="6" max="6" width="11.5" style="3188" customWidth="1"/>
    <col min="7" max="7" width="9" style="3188"/>
    <col min="8" max="8" width="12" style="3188" customWidth="1"/>
    <col min="9" max="9" width="23.75" style="3188" customWidth="1"/>
    <col min="10" max="10" width="18.125" style="3188" customWidth="1"/>
    <col min="11" max="11" width="13.125" style="3188" customWidth="1"/>
    <col min="12" max="12" width="15.75" style="3188" customWidth="1"/>
    <col min="13" max="14" width="10.625" style="3188" customWidth="1"/>
    <col min="15" max="16384" width="9" style="3188"/>
  </cols>
  <sheetData>
    <row r="1" spans="1:16" hidden="1">
      <c r="A1" s="3625" t="s">
        <v>3003</v>
      </c>
      <c r="B1" s="3625" t="s">
        <v>3004</v>
      </c>
      <c r="C1" s="3625" t="s">
        <v>3005</v>
      </c>
      <c r="D1" s="3625" t="s">
        <v>3006</v>
      </c>
      <c r="E1" s="3625" t="s">
        <v>3007</v>
      </c>
      <c r="F1" s="3625" t="s">
        <v>3008</v>
      </c>
      <c r="G1" s="3625" t="s">
        <v>3009</v>
      </c>
      <c r="H1" s="3625" t="s">
        <v>3010</v>
      </c>
      <c r="I1" s="3625" t="s">
        <v>3011</v>
      </c>
      <c r="J1" s="3627" t="s">
        <v>3012</v>
      </c>
      <c r="K1" s="3627"/>
      <c r="L1" s="3627"/>
    </row>
    <row r="2" spans="1:16" ht="27.75" hidden="1" customHeight="1">
      <c r="A2" s="3630"/>
      <c r="B2" s="3626"/>
      <c r="C2" s="3626"/>
      <c r="D2" s="3626"/>
      <c r="E2" s="3626"/>
      <c r="F2" s="3626"/>
      <c r="G2" s="3626"/>
      <c r="H2" s="3626"/>
      <c r="I2" s="3626"/>
      <c r="J2" s="3189" t="s">
        <v>24</v>
      </c>
      <c r="K2" s="3189" t="s">
        <v>3013</v>
      </c>
      <c r="L2" s="3189" t="s">
        <v>3014</v>
      </c>
    </row>
    <row r="3" spans="1:16" s="3194" customFormat="1" ht="67.5" hidden="1" customHeight="1">
      <c r="A3" s="3190">
        <v>2017</v>
      </c>
      <c r="B3" s="3191" t="s">
        <v>3015</v>
      </c>
      <c r="C3" s="3192" t="s">
        <v>3016</v>
      </c>
      <c r="D3" s="3193" t="s">
        <v>3017</v>
      </c>
      <c r="E3" s="3193" t="s">
        <v>3018</v>
      </c>
      <c r="F3" s="3193" t="s">
        <v>3019</v>
      </c>
      <c r="G3" s="3193" t="s">
        <v>3020</v>
      </c>
      <c r="H3" s="3193" t="s">
        <v>3021</v>
      </c>
      <c r="I3" s="3192" t="s">
        <v>3022</v>
      </c>
      <c r="J3" s="3192">
        <v>7121.0435985612075</v>
      </c>
      <c r="K3" s="3192">
        <v>1647.3462982726589</v>
      </c>
      <c r="L3" s="3192">
        <v>5473.6973002885488</v>
      </c>
    </row>
    <row r="4" spans="1:16" s="3194" customFormat="1" ht="31.5" hidden="1" customHeight="1">
      <c r="A4" s="3190">
        <v>2017</v>
      </c>
      <c r="B4" s="3191" t="s">
        <v>3023</v>
      </c>
      <c r="C4" s="3192" t="s">
        <v>3024</v>
      </c>
      <c r="D4" s="3193" t="s">
        <v>3025</v>
      </c>
      <c r="E4" s="3193" t="s">
        <v>3026</v>
      </c>
      <c r="F4" s="3193" t="s">
        <v>3027</v>
      </c>
      <c r="G4" s="3193" t="s">
        <v>3020</v>
      </c>
      <c r="H4" s="3193" t="s">
        <v>3028</v>
      </c>
      <c r="I4" s="3192" t="s">
        <v>3029</v>
      </c>
      <c r="J4" s="3192">
        <v>10970.676229508195</v>
      </c>
      <c r="K4" s="3192">
        <v>1101.3210382513662</v>
      </c>
      <c r="L4" s="3192">
        <v>9869.3551912568291</v>
      </c>
    </row>
    <row r="5" spans="1:16" hidden="1">
      <c r="J5" s="3195"/>
    </row>
    <row r="6" spans="1:16" ht="17.25" customHeight="1">
      <c r="A6" s="3628" t="s">
        <v>3030</v>
      </c>
      <c r="B6" s="3629"/>
      <c r="C6" s="3629"/>
      <c r="D6" s="3629"/>
      <c r="E6" s="3629"/>
      <c r="F6" s="3196"/>
      <c r="G6" s="3196"/>
      <c r="H6" s="3196"/>
      <c r="I6" s="3196"/>
      <c r="J6" s="3196"/>
      <c r="K6" s="3196"/>
      <c r="L6" s="3196"/>
      <c r="M6" s="3196"/>
      <c r="N6" s="3197"/>
      <c r="O6" s="3197"/>
      <c r="P6" s="3197"/>
    </row>
    <row r="7" spans="1:16" ht="13.5" customHeight="1">
      <c r="A7" s="3198" t="s">
        <v>3031</v>
      </c>
      <c r="B7" s="3198" t="s">
        <v>3032</v>
      </c>
      <c r="C7" s="3198" t="s">
        <v>3033</v>
      </c>
      <c r="D7" s="3199" t="s">
        <v>3034</v>
      </c>
      <c r="E7" s="3199" t="s">
        <v>3035</v>
      </c>
      <c r="F7" s="3198" t="s">
        <v>3006</v>
      </c>
      <c r="G7" s="3198" t="s">
        <v>3008</v>
      </c>
      <c r="H7" s="3198" t="s">
        <v>3009</v>
      </c>
      <c r="I7" s="3198" t="s">
        <v>3010</v>
      </c>
      <c r="J7" s="3198" t="s">
        <v>3011</v>
      </c>
      <c r="K7" s="3200" t="s">
        <v>3036</v>
      </c>
      <c r="L7" s="3201" t="s">
        <v>3037</v>
      </c>
      <c r="M7" s="3201"/>
      <c r="N7" s="3197"/>
      <c r="O7" s="3197"/>
      <c r="P7" s="3197"/>
    </row>
    <row r="8" spans="1:16">
      <c r="A8" s="3202"/>
      <c r="B8" s="3202"/>
      <c r="C8" s="3202"/>
      <c r="D8" s="3203"/>
      <c r="E8" s="3203"/>
      <c r="F8" s="3202"/>
      <c r="G8" s="3202"/>
      <c r="H8" s="3202"/>
      <c r="I8" s="3202"/>
      <c r="J8" s="3202"/>
      <c r="K8" s="3200"/>
      <c r="L8" s="3201" t="s">
        <v>3038</v>
      </c>
      <c r="M8" s="3201" t="s">
        <v>3039</v>
      </c>
      <c r="N8" s="3204" t="s">
        <v>3040</v>
      </c>
      <c r="O8" s="3204" t="s">
        <v>3041</v>
      </c>
      <c r="P8" s="3204"/>
    </row>
    <row r="9" spans="1:16" ht="45" hidden="1" customHeight="1">
      <c r="A9" s="3205">
        <v>2017</v>
      </c>
      <c r="B9" s="3206" t="s">
        <v>3042</v>
      </c>
      <c r="C9" s="3206" t="s">
        <v>3043</v>
      </c>
      <c r="D9" s="3207" t="s">
        <v>3044</v>
      </c>
      <c r="E9" s="3207" t="s">
        <v>3045</v>
      </c>
      <c r="F9" s="3208" t="s">
        <v>3046</v>
      </c>
      <c r="G9" s="3207" t="s">
        <v>3047</v>
      </c>
      <c r="H9" s="3207" t="s">
        <v>3048</v>
      </c>
      <c r="I9" s="3209" t="s">
        <v>3049</v>
      </c>
      <c r="J9" s="3209" t="s">
        <v>3050</v>
      </c>
      <c r="K9" s="3210">
        <v>96.99</v>
      </c>
      <c r="L9" s="3210">
        <v>51676.39</v>
      </c>
      <c r="M9" s="3210">
        <v>172115.08</v>
      </c>
      <c r="N9" s="3211">
        <v>223791.46999999997</v>
      </c>
      <c r="O9" s="3212">
        <v>2307.3664295288172</v>
      </c>
      <c r="P9" s="3212"/>
    </row>
    <row r="10" spans="1:16" s="3221" customFormat="1" ht="34.5" customHeight="1">
      <c r="A10" s="3213">
        <v>2017</v>
      </c>
      <c r="B10" s="3214" t="s">
        <v>3042</v>
      </c>
      <c r="C10" s="3214" t="s">
        <v>3043</v>
      </c>
      <c r="D10" s="3215" t="s">
        <v>3044</v>
      </c>
      <c r="E10" s="3215" t="s">
        <v>3045</v>
      </c>
      <c r="F10" s="3216" t="s">
        <v>3051</v>
      </c>
      <c r="G10" s="3215" t="s">
        <v>3052</v>
      </c>
      <c r="H10" s="3215" t="s">
        <v>3048</v>
      </c>
      <c r="I10" s="3215" t="s">
        <v>3053</v>
      </c>
      <c r="J10" s="3217" t="s">
        <v>3054</v>
      </c>
      <c r="K10" s="3218">
        <v>49.52</v>
      </c>
      <c r="L10" s="3217">
        <v>25737.439999999999</v>
      </c>
      <c r="M10" s="3217">
        <v>180122.23999999999</v>
      </c>
      <c r="N10" s="3219">
        <v>205859.68</v>
      </c>
      <c r="O10" s="3220">
        <v>4157.1017770597737</v>
      </c>
      <c r="P10" s="3220"/>
    </row>
    <row r="11" spans="1:16" ht="55.5" hidden="1" customHeight="1">
      <c r="A11" s="3205">
        <v>2017</v>
      </c>
      <c r="B11" s="3222" t="s">
        <v>3055</v>
      </c>
      <c r="C11" s="3222" t="s">
        <v>3056</v>
      </c>
      <c r="D11" s="3207" t="s">
        <v>3044</v>
      </c>
      <c r="E11" s="3207" t="s">
        <v>3045</v>
      </c>
      <c r="F11" s="3223" t="s">
        <v>3057</v>
      </c>
      <c r="G11" s="3207" t="s">
        <v>3058</v>
      </c>
      <c r="H11" s="3207" t="s">
        <v>3048</v>
      </c>
      <c r="I11" s="3209" t="s">
        <v>3059</v>
      </c>
      <c r="J11" s="3209" t="s">
        <v>3060</v>
      </c>
      <c r="K11" s="3210">
        <v>19.994820000000001</v>
      </c>
      <c r="L11" s="3210">
        <v>4110.28</v>
      </c>
      <c r="M11" s="3210">
        <v>1634.87</v>
      </c>
      <c r="N11" s="3211">
        <v>5745.15</v>
      </c>
      <c r="O11" s="3212">
        <v>287.33191896701243</v>
      </c>
      <c r="P11" s="3224"/>
    </row>
    <row r="12" spans="1:16" ht="100.5" hidden="1" customHeight="1">
      <c r="A12" s="3205">
        <v>2017</v>
      </c>
      <c r="B12" s="3206" t="s">
        <v>3061</v>
      </c>
      <c r="C12" s="3206" t="s">
        <v>3062</v>
      </c>
      <c r="D12" s="3207" t="s">
        <v>3063</v>
      </c>
      <c r="E12" s="3207" t="s">
        <v>3045</v>
      </c>
      <c r="F12" s="3207" t="s">
        <v>3064</v>
      </c>
      <c r="G12" s="3207" t="s">
        <v>3065</v>
      </c>
      <c r="H12" s="3207" t="s">
        <v>3020</v>
      </c>
      <c r="I12" s="3209" t="s">
        <v>3066</v>
      </c>
      <c r="J12" s="3225" t="s">
        <v>3067</v>
      </c>
      <c r="K12" s="3226">
        <v>72.180000000000007</v>
      </c>
      <c r="L12" s="3210">
        <v>20148.59</v>
      </c>
      <c r="M12" s="3210">
        <v>195592.13</v>
      </c>
      <c r="N12" s="3211">
        <v>215740.72</v>
      </c>
      <c r="O12" s="3212">
        <v>2988.9265724577444</v>
      </c>
      <c r="P12" s="3227"/>
    </row>
    <row r="13" spans="1:16" s="3230" customFormat="1" ht="123.75" hidden="1" customHeight="1">
      <c r="A13" s="3205">
        <v>2017</v>
      </c>
      <c r="B13" s="3206" t="s">
        <v>3061</v>
      </c>
      <c r="C13" s="3206" t="s">
        <v>3062</v>
      </c>
      <c r="D13" s="3207" t="s">
        <v>3063</v>
      </c>
      <c r="E13" s="3207" t="s">
        <v>3045</v>
      </c>
      <c r="F13" s="3207" t="s">
        <v>3068</v>
      </c>
      <c r="G13" s="3207" t="s">
        <v>3069</v>
      </c>
      <c r="H13" s="3207" t="s">
        <v>3020</v>
      </c>
      <c r="I13" s="3207" t="s">
        <v>3070</v>
      </c>
      <c r="J13" s="3228" t="s">
        <v>3071</v>
      </c>
      <c r="K13" s="3229">
        <v>148.19999999999999</v>
      </c>
      <c r="L13" s="3210">
        <v>46469.07</v>
      </c>
      <c r="M13" s="3210">
        <v>462882.97</v>
      </c>
      <c r="N13" s="3211">
        <v>509352.04</v>
      </c>
      <c r="O13" s="3212">
        <v>3436.9233468286102</v>
      </c>
      <c r="P13" s="3227"/>
    </row>
    <row r="14" spans="1:16" ht="87.75" hidden="1" customHeight="1">
      <c r="A14" s="3205">
        <v>2017</v>
      </c>
      <c r="B14" s="3222" t="s">
        <v>3072</v>
      </c>
      <c r="C14" s="3222" t="s">
        <v>3073</v>
      </c>
      <c r="D14" s="3207" t="s">
        <v>3044</v>
      </c>
      <c r="E14" s="3207" t="s">
        <v>3045</v>
      </c>
      <c r="F14" s="3207" t="s">
        <v>3074</v>
      </c>
      <c r="G14" s="3207" t="s">
        <v>3075</v>
      </c>
      <c r="H14" s="3207" t="s">
        <v>3048</v>
      </c>
      <c r="I14" s="3209" t="s">
        <v>3076</v>
      </c>
      <c r="J14" s="3209" t="s">
        <v>3077</v>
      </c>
      <c r="K14" s="3210">
        <v>132.25</v>
      </c>
      <c r="L14" s="3210">
        <v>24298.5</v>
      </c>
      <c r="M14" s="3210">
        <v>107594.55</v>
      </c>
      <c r="N14" s="3211">
        <v>131893.04999999999</v>
      </c>
      <c r="O14" s="3212">
        <v>997.30094517958401</v>
      </c>
      <c r="P14" s="3227"/>
    </row>
    <row r="15" spans="1:16" s="3230" customFormat="1" ht="44.25" customHeight="1">
      <c r="A15" s="3205">
        <v>2017</v>
      </c>
      <c r="B15" s="3222" t="s">
        <v>3072</v>
      </c>
      <c r="C15" s="3231" t="s">
        <v>3073</v>
      </c>
      <c r="D15" s="3232" t="s">
        <v>3078</v>
      </c>
      <c r="E15" s="3207" t="s">
        <v>3079</v>
      </c>
      <c r="F15" s="3233" t="s">
        <v>3080</v>
      </c>
      <c r="G15" s="3207" t="s">
        <v>3065</v>
      </c>
      <c r="H15" s="3207" t="s">
        <v>3020</v>
      </c>
      <c r="I15" s="3234" t="s">
        <v>3081</v>
      </c>
      <c r="J15" s="3234" t="s">
        <v>3082</v>
      </c>
      <c r="K15" s="3229">
        <v>217.58</v>
      </c>
      <c r="L15" s="3210">
        <v>106922.18</v>
      </c>
      <c r="M15" s="3210">
        <v>1002860.16</v>
      </c>
      <c r="N15" s="3211">
        <v>1109782.3400000001</v>
      </c>
      <c r="O15" s="3212">
        <v>5100.5714679658058</v>
      </c>
      <c r="P15" s="3235"/>
    </row>
    <row r="16" spans="1:16" s="3221" customFormat="1" ht="63" customHeight="1">
      <c r="A16" s="3236">
        <v>2018</v>
      </c>
      <c r="B16" s="3237" t="s">
        <v>3083</v>
      </c>
      <c r="C16" s="3238" t="s">
        <v>3084</v>
      </c>
      <c r="D16" s="3239" t="s">
        <v>3078</v>
      </c>
      <c r="E16" s="3239" t="s">
        <v>3045</v>
      </c>
      <c r="F16" s="3239" t="s">
        <v>3085</v>
      </c>
      <c r="G16" s="3239" t="s">
        <v>3065</v>
      </c>
      <c r="H16" s="3239" t="s">
        <v>3020</v>
      </c>
      <c r="I16" s="3239" t="s">
        <v>3086</v>
      </c>
      <c r="J16" s="3216" t="s">
        <v>3087</v>
      </c>
      <c r="K16" s="3240">
        <v>193.55</v>
      </c>
      <c r="L16" s="3217">
        <v>230654.05</v>
      </c>
      <c r="M16" s="3217">
        <v>598903.21</v>
      </c>
      <c r="N16" s="3219">
        <v>829557.26</v>
      </c>
      <c r="O16" s="3241">
        <v>4286.0101265822786</v>
      </c>
      <c r="P16" s="3242"/>
    </row>
    <row r="17" spans="1:16" ht="68.25" hidden="1" customHeight="1">
      <c r="A17" s="3243">
        <v>2018</v>
      </c>
      <c r="B17" s="3222" t="s">
        <v>3083</v>
      </c>
      <c r="C17" s="3244" t="s">
        <v>3084</v>
      </c>
      <c r="D17" s="3223" t="s">
        <v>3078</v>
      </c>
      <c r="E17" s="3223" t="s">
        <v>3045</v>
      </c>
      <c r="F17" s="3223" t="s">
        <v>3088</v>
      </c>
      <c r="G17" s="3223" t="s">
        <v>3089</v>
      </c>
      <c r="H17" s="3223" t="s">
        <v>3020</v>
      </c>
      <c r="I17" s="3245" t="s">
        <v>3090</v>
      </c>
      <c r="J17" s="3246" t="s">
        <v>3091</v>
      </c>
      <c r="K17" s="3247">
        <v>210.43</v>
      </c>
      <c r="L17" s="3210">
        <v>23862.83</v>
      </c>
      <c r="M17" s="3210">
        <v>602931.53</v>
      </c>
      <c r="N17" s="3211">
        <v>626794.36</v>
      </c>
      <c r="O17" s="3212">
        <v>2978.6359359406929</v>
      </c>
      <c r="P17" s="3248"/>
    </row>
    <row r="18" spans="1:16" s="3221" customFormat="1" ht="78" customHeight="1">
      <c r="A18" s="3236">
        <v>2018</v>
      </c>
      <c r="B18" s="3237" t="s">
        <v>3083</v>
      </c>
      <c r="C18" s="3238" t="s">
        <v>3084</v>
      </c>
      <c r="D18" s="3239" t="s">
        <v>3078</v>
      </c>
      <c r="E18" s="3239" t="s">
        <v>3045</v>
      </c>
      <c r="F18" s="3239" t="s">
        <v>3092</v>
      </c>
      <c r="G18" s="3239" t="s">
        <v>3065</v>
      </c>
      <c r="H18" s="3239" t="s">
        <v>3020</v>
      </c>
      <c r="I18" s="3239" t="s">
        <v>3093</v>
      </c>
      <c r="J18" s="3216" t="s">
        <v>3094</v>
      </c>
      <c r="K18" s="3249">
        <v>74.25</v>
      </c>
      <c r="L18" s="3217">
        <v>13520.67</v>
      </c>
      <c r="M18" s="3217">
        <v>291651.92</v>
      </c>
      <c r="N18" s="3219">
        <v>305172.58999999997</v>
      </c>
      <c r="O18" s="3241">
        <v>4110.0685521885516</v>
      </c>
      <c r="P18" s="3242"/>
    </row>
    <row r="19" spans="1:16" s="3230" customFormat="1" ht="62.25" hidden="1" customHeight="1">
      <c r="A19" s="3243">
        <v>2018</v>
      </c>
      <c r="B19" s="3222" t="s">
        <v>3083</v>
      </c>
      <c r="C19" s="3244" t="s">
        <v>3084</v>
      </c>
      <c r="D19" s="3223" t="s">
        <v>3095</v>
      </c>
      <c r="E19" s="3223" t="s">
        <v>3045</v>
      </c>
      <c r="F19" s="3223" t="s">
        <v>3096</v>
      </c>
      <c r="G19" s="3223" t="s">
        <v>3097</v>
      </c>
      <c r="H19" s="3223" t="s">
        <v>3020</v>
      </c>
      <c r="I19" s="3223" t="s">
        <v>3098</v>
      </c>
      <c r="J19" s="3208" t="s">
        <v>3099</v>
      </c>
      <c r="K19" s="3247">
        <v>29.09</v>
      </c>
      <c r="L19" s="3210">
        <v>12773.36</v>
      </c>
      <c r="M19" s="3210">
        <v>231746.85</v>
      </c>
      <c r="N19" s="3211">
        <v>244520.21000000002</v>
      </c>
      <c r="O19" s="3212">
        <v>8405.6448951529746</v>
      </c>
      <c r="P19" s="3248"/>
    </row>
    <row r="20" spans="1:16" s="3230" customFormat="1" ht="93" hidden="1" customHeight="1">
      <c r="A20" s="3243">
        <v>2018</v>
      </c>
      <c r="B20" s="3222" t="s">
        <v>3100</v>
      </c>
      <c r="C20" s="3250" t="s">
        <v>3101</v>
      </c>
      <c r="D20" s="3247" t="s">
        <v>3078</v>
      </c>
      <c r="E20" s="3247" t="s">
        <v>3045</v>
      </c>
      <c r="F20" s="3247" t="s">
        <v>3102</v>
      </c>
      <c r="G20" s="3247" t="s">
        <v>3065</v>
      </c>
      <c r="H20" s="3247" t="s">
        <v>3020</v>
      </c>
      <c r="I20" s="3247" t="s">
        <v>3103</v>
      </c>
      <c r="J20" s="3247" t="s">
        <v>3104</v>
      </c>
      <c r="K20" s="3247">
        <v>165.53</v>
      </c>
      <c r="L20" s="3210">
        <v>55495.91</v>
      </c>
      <c r="M20" s="3210">
        <v>418159.92</v>
      </c>
      <c r="N20" s="3211">
        <v>473655.82999999996</v>
      </c>
      <c r="O20" s="3212">
        <v>2861.4500694738113</v>
      </c>
      <c r="P20" s="3248"/>
    </row>
    <row r="21" spans="1:16" s="3230" customFormat="1" ht="117.75" hidden="1" customHeight="1">
      <c r="A21" s="3243">
        <v>2018</v>
      </c>
      <c r="B21" s="3222" t="s">
        <v>3105</v>
      </c>
      <c r="C21" s="3250" t="s">
        <v>3101</v>
      </c>
      <c r="D21" s="3247" t="s">
        <v>3078</v>
      </c>
      <c r="E21" s="3247" t="s">
        <v>3045</v>
      </c>
      <c r="F21" s="3247" t="s">
        <v>3106</v>
      </c>
      <c r="G21" s="3247" t="s">
        <v>3107</v>
      </c>
      <c r="H21" s="3247" t="s">
        <v>3020</v>
      </c>
      <c r="I21" s="3247" t="s">
        <v>3108</v>
      </c>
      <c r="J21" s="3247" t="s">
        <v>3109</v>
      </c>
      <c r="K21" s="3251">
        <v>175.57</v>
      </c>
      <c r="L21" s="3210">
        <v>157294.39999999999</v>
      </c>
      <c r="M21" s="3210">
        <v>394653.43</v>
      </c>
      <c r="N21" s="3211">
        <v>551947.82999999996</v>
      </c>
      <c r="O21" s="3212">
        <v>3143.7479637751321</v>
      </c>
      <c r="P21" s="3248"/>
    </row>
    <row r="22" spans="1:16" s="3230" customFormat="1" ht="44.25" customHeight="1">
      <c r="A22" s="3284">
        <v>2018</v>
      </c>
      <c r="B22" s="3285" t="s">
        <v>3110</v>
      </c>
      <c r="C22" s="3286">
        <v>12</v>
      </c>
      <c r="D22" s="3287" t="s">
        <v>3078</v>
      </c>
      <c r="E22" s="3287" t="s">
        <v>3045</v>
      </c>
      <c r="F22" s="3287" t="s">
        <v>3111</v>
      </c>
      <c r="G22" s="3287" t="s">
        <v>3065</v>
      </c>
      <c r="H22" s="3287" t="s">
        <v>3020</v>
      </c>
      <c r="I22" s="3287" t="s">
        <v>3112</v>
      </c>
      <c r="J22" s="3287" t="s">
        <v>3113</v>
      </c>
      <c r="K22" s="3288">
        <v>239.14</v>
      </c>
      <c r="L22" s="3289">
        <v>61695.44</v>
      </c>
      <c r="M22" s="3289">
        <v>859650.5</v>
      </c>
      <c r="N22" s="3290">
        <v>921345.94</v>
      </c>
      <c r="O22" s="3291">
        <v>3852.7470937526136</v>
      </c>
      <c r="P22" s="3253"/>
    </row>
    <row r="23" spans="1:16" ht="65.25" hidden="1" customHeight="1">
      <c r="A23" s="3243">
        <v>2018</v>
      </c>
      <c r="B23" s="3222" t="s">
        <v>3105</v>
      </c>
      <c r="C23" s="3229" t="s">
        <v>3114</v>
      </c>
      <c r="D23" s="3252" t="s">
        <v>3078</v>
      </c>
      <c r="E23" s="3252" t="s">
        <v>3045</v>
      </c>
      <c r="F23" s="3252" t="s">
        <v>3115</v>
      </c>
      <c r="G23" s="3252" t="s">
        <v>3065</v>
      </c>
      <c r="H23" s="3252" t="s">
        <v>3020</v>
      </c>
      <c r="I23" s="3252" t="s">
        <v>3116</v>
      </c>
      <c r="J23" s="3252" t="s">
        <v>3117</v>
      </c>
      <c r="K23" s="3247">
        <v>55.01</v>
      </c>
      <c r="L23" s="3210">
        <v>61454.45</v>
      </c>
      <c r="M23" s="3210">
        <v>558371.41</v>
      </c>
      <c r="N23" s="3211">
        <v>619825.86</v>
      </c>
      <c r="O23" s="3212">
        <v>11267.512452281404</v>
      </c>
      <c r="P23" s="3253"/>
    </row>
    <row r="25" spans="1:16" ht="45">
      <c r="A25" s="3198" t="s">
        <v>3003</v>
      </c>
      <c r="B25" s="3198" t="s">
        <v>3118</v>
      </c>
      <c r="C25" s="3198" t="s">
        <v>3004</v>
      </c>
      <c r="D25" s="3198" t="s">
        <v>3005</v>
      </c>
      <c r="E25" s="3198" t="s">
        <v>3119</v>
      </c>
      <c r="F25" s="3198" t="s">
        <v>3006</v>
      </c>
      <c r="G25" s="3198" t="s">
        <v>3008</v>
      </c>
      <c r="H25" s="3198" t="s">
        <v>3009</v>
      </c>
      <c r="I25" s="3198" t="s">
        <v>3010</v>
      </c>
      <c r="J25" s="3198" t="s">
        <v>3011</v>
      </c>
      <c r="K25" s="3200" t="s">
        <v>3120</v>
      </c>
      <c r="L25" s="3200" t="s">
        <v>3121</v>
      </c>
      <c r="M25" s="3200" t="s">
        <v>3122</v>
      </c>
      <c r="N25" s="3200" t="s">
        <v>3123</v>
      </c>
    </row>
    <row r="26" spans="1:16" s="3221" customFormat="1" ht="99" customHeight="1">
      <c r="A26" s="3236">
        <v>2018</v>
      </c>
      <c r="B26" s="3237" t="s">
        <v>3124</v>
      </c>
      <c r="C26" s="3254" t="s">
        <v>3125</v>
      </c>
      <c r="D26" s="3255" t="s">
        <v>3126</v>
      </c>
      <c r="E26" s="3255" t="s">
        <v>3045</v>
      </c>
      <c r="F26" s="3255" t="s">
        <v>3127</v>
      </c>
      <c r="G26" s="3255" t="s">
        <v>3128</v>
      </c>
      <c r="H26" s="3255" t="s">
        <v>3020</v>
      </c>
      <c r="I26" s="3255" t="s">
        <v>3129</v>
      </c>
      <c r="J26" s="3255" t="s">
        <v>3130</v>
      </c>
      <c r="K26" s="3256">
        <v>113.32</v>
      </c>
      <c r="L26" s="3257">
        <v>4086.35</v>
      </c>
      <c r="M26" s="3258">
        <v>746.54</v>
      </c>
      <c r="N26" s="3258">
        <v>3339.81</v>
      </c>
    </row>
  </sheetData>
  <mergeCells count="11">
    <mergeCell ref="G1:G2"/>
    <mergeCell ref="H1:H2"/>
    <mergeCell ref="I1:I2"/>
    <mergeCell ref="J1:L1"/>
    <mergeCell ref="A6:E6"/>
    <mergeCell ref="A1:A2"/>
    <mergeCell ref="B1:B2"/>
    <mergeCell ref="C1:C2"/>
    <mergeCell ref="D1:D2"/>
    <mergeCell ref="E1:E2"/>
    <mergeCell ref="F1:F2"/>
  </mergeCells>
  <phoneticPr fontId="229" type="noConversion"/>
  <conditionalFormatting sqref="B20">
    <cfRule type="dataBar" priority="4">
      <dataBar>
        <cfvo type="min"/>
        <cfvo type="max"/>
        <color rgb="FF638EC6"/>
      </dataBar>
      <extLst>
        <ext xmlns:x14="http://schemas.microsoft.com/office/spreadsheetml/2009/9/main" uri="{B025F937-C7B1-47D3-B67F-A62EFF666E3E}">
          <x14:id>{FE78FB24-632F-43EB-8B8C-739346C41F50}</x14:id>
        </ext>
      </extLst>
    </cfRule>
  </conditionalFormatting>
  <conditionalFormatting sqref="B21">
    <cfRule type="dataBar" priority="3">
      <dataBar>
        <cfvo type="min"/>
        <cfvo type="max"/>
        <color rgb="FF638EC6"/>
      </dataBar>
      <extLst>
        <ext xmlns:x14="http://schemas.microsoft.com/office/spreadsheetml/2009/9/main" uri="{B025F937-C7B1-47D3-B67F-A62EFF666E3E}">
          <x14:id>{E1E490F0-8CED-469B-8351-0784871B0C68}</x14:id>
        </ext>
      </extLst>
    </cfRule>
  </conditionalFormatting>
  <conditionalFormatting sqref="B22">
    <cfRule type="dataBar" priority="2">
      <dataBar>
        <cfvo type="min"/>
        <cfvo type="max"/>
        <color rgb="FF638EC6"/>
      </dataBar>
      <extLst>
        <ext xmlns:x14="http://schemas.microsoft.com/office/spreadsheetml/2009/9/main" uri="{B025F937-C7B1-47D3-B67F-A62EFF666E3E}">
          <x14:id>{7228D7DF-BC0C-49D3-B422-D5240A461438}</x14:id>
        </ext>
      </extLst>
    </cfRule>
  </conditionalFormatting>
  <conditionalFormatting sqref="B23">
    <cfRule type="dataBar" priority="1">
      <dataBar>
        <cfvo type="min"/>
        <cfvo type="max"/>
        <color rgb="FF638EC6"/>
      </dataBar>
      <extLst>
        <ext xmlns:x14="http://schemas.microsoft.com/office/spreadsheetml/2009/9/main" uri="{B025F937-C7B1-47D3-B67F-A62EFF666E3E}">
          <x14:id>{56BF7E50-83D6-4D99-AEFE-E9FEF7AE8F26}</x14:id>
        </ext>
      </extLst>
    </cfRule>
  </conditionalFormatting>
  <dataValidations count="1">
    <dataValidation type="list" allowBlank="1" showInputMessage="1" showErrorMessage="1" sqref="E9:E23">
      <formula1>"公开出让,协议出让,划拨"</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FE78FB24-632F-43EB-8B8C-739346C41F50}">
            <x14:dataBar minLength="0" maxLength="100" gradient="0">
              <x14:cfvo type="autoMin"/>
              <x14:cfvo type="autoMax"/>
              <x14:negativeFillColor rgb="FFFF0000"/>
              <x14:axisColor rgb="FF000000"/>
            </x14:dataBar>
          </x14:cfRule>
          <xm:sqref>B20</xm:sqref>
        </x14:conditionalFormatting>
        <x14:conditionalFormatting xmlns:xm="http://schemas.microsoft.com/office/excel/2006/main">
          <x14:cfRule type="dataBar" id="{E1E490F0-8CED-469B-8351-0784871B0C68}">
            <x14:dataBar minLength="0" maxLength="100" gradient="0">
              <x14:cfvo type="autoMin"/>
              <x14:cfvo type="autoMax"/>
              <x14:negativeFillColor rgb="FFFF0000"/>
              <x14:axisColor rgb="FF000000"/>
            </x14:dataBar>
          </x14:cfRule>
          <xm:sqref>B21</xm:sqref>
        </x14:conditionalFormatting>
        <x14:conditionalFormatting xmlns:xm="http://schemas.microsoft.com/office/excel/2006/main">
          <x14:cfRule type="dataBar" id="{7228D7DF-BC0C-49D3-B422-D5240A461438}">
            <x14:dataBar minLength="0" maxLength="100" gradient="0">
              <x14:cfvo type="autoMin"/>
              <x14:cfvo type="autoMax"/>
              <x14:negativeFillColor rgb="FFFF0000"/>
              <x14:axisColor rgb="FF000000"/>
            </x14:dataBar>
          </x14:cfRule>
          <xm:sqref>B22</xm:sqref>
        </x14:conditionalFormatting>
        <x14:conditionalFormatting xmlns:xm="http://schemas.microsoft.com/office/excel/2006/main">
          <x14:cfRule type="dataBar" id="{56BF7E50-83D6-4D99-AEFE-E9FEF7AE8F26}">
            <x14:dataBar minLength="0" maxLength="100" gradient="0">
              <x14:cfvo type="autoMin"/>
              <x14:cfvo type="autoMax"/>
              <x14:negativeFillColor rgb="FFFF0000"/>
              <x14:axisColor rgb="FF000000"/>
            </x14:dataBar>
          </x14:cfRule>
          <xm:sqref>B23</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
  <sheetViews>
    <sheetView zoomScale="90" zoomScaleNormal="90" workbookViewId="0">
      <pane xSplit="6" ySplit="2" topLeftCell="K3" activePane="bottomRight" state="frozen"/>
      <selection activeCell="S7" sqref="S7"/>
      <selection pane="topRight" activeCell="S7" sqref="S7"/>
      <selection pane="bottomLeft" activeCell="S7" sqref="S7"/>
      <selection pane="bottomRight" activeCell="L3" sqref="L3"/>
    </sheetView>
  </sheetViews>
  <sheetFormatPr defaultColWidth="9" defaultRowHeight="11.25"/>
  <cols>
    <col min="1" max="1" width="5.75" style="3299" customWidth="1"/>
    <col min="2" max="2" width="6.25" style="3299" customWidth="1"/>
    <col min="3" max="3" width="4.875" style="3299" customWidth="1"/>
    <col min="4" max="4" width="7.125" style="3295" customWidth="1"/>
    <col min="5" max="5" width="8.25" style="3295" customWidth="1"/>
    <col min="6" max="6" width="13.25" style="3295" customWidth="1"/>
    <col min="7" max="7" width="13.75" style="3295" customWidth="1"/>
    <col min="8" max="8" width="10" style="3295" customWidth="1"/>
    <col min="9" max="9" width="11.25" style="3295" customWidth="1"/>
    <col min="10" max="10" width="48" style="3295" customWidth="1"/>
    <col min="11" max="11" width="14.375" style="3299" customWidth="1"/>
    <col min="12" max="12" width="46.625" style="3299" customWidth="1"/>
    <col min="13" max="13" width="33.875" style="3299" customWidth="1"/>
    <col min="14" max="14" width="17.875" style="3299" customWidth="1"/>
    <col min="15" max="15" width="15.875" style="3295" customWidth="1"/>
    <col min="16" max="17" width="9.125" style="3295" customWidth="1"/>
    <col min="18" max="16384" width="9" style="3295"/>
  </cols>
  <sheetData>
    <row r="1" spans="1:19" ht="24.75" customHeight="1">
      <c r="A1" s="3631" t="s">
        <v>3213</v>
      </c>
      <c r="B1" s="3631"/>
      <c r="C1" s="3631"/>
      <c r="D1" s="3631"/>
      <c r="E1" s="3631"/>
      <c r="F1" s="3631"/>
      <c r="G1" s="3631"/>
      <c r="H1" s="3631"/>
      <c r="I1" s="3631"/>
      <c r="J1" s="3631"/>
      <c r="K1" s="3293"/>
      <c r="L1" s="3293"/>
      <c r="M1" s="3293"/>
      <c r="N1" s="3293"/>
      <c r="O1" s="3294"/>
    </row>
    <row r="2" spans="1:19" s="3299" customFormat="1" ht="54" customHeight="1">
      <c r="A2" s="3296" t="s">
        <v>3003</v>
      </c>
      <c r="B2" s="3296" t="s">
        <v>3118</v>
      </c>
      <c r="C2" s="3296" t="s">
        <v>3004</v>
      </c>
      <c r="D2" s="3296" t="s">
        <v>3005</v>
      </c>
      <c r="E2" s="3296" t="s">
        <v>3119</v>
      </c>
      <c r="F2" s="3296" t="s">
        <v>3006</v>
      </c>
      <c r="G2" s="3296" t="s">
        <v>3008</v>
      </c>
      <c r="H2" s="3296" t="s">
        <v>3009</v>
      </c>
      <c r="I2" s="3296" t="s">
        <v>3010</v>
      </c>
      <c r="J2" s="3296" t="s">
        <v>3011</v>
      </c>
      <c r="K2" s="3297" t="s">
        <v>3120</v>
      </c>
      <c r="L2" s="3296" t="s">
        <v>3214</v>
      </c>
      <c r="M2" s="3296" t="s">
        <v>3215</v>
      </c>
      <c r="N2" s="3298" t="s">
        <v>3216</v>
      </c>
      <c r="O2" s="3297" t="s">
        <v>3121</v>
      </c>
      <c r="P2" s="3297" t="s">
        <v>3122</v>
      </c>
      <c r="Q2" s="3297" t="s">
        <v>3123</v>
      </c>
      <c r="R2" s="3293"/>
    </row>
    <row r="3" spans="1:19" s="3308" customFormat="1" ht="76.5" customHeight="1">
      <c r="A3" s="3300">
        <v>2017</v>
      </c>
      <c r="B3" s="3300">
        <v>2</v>
      </c>
      <c r="C3" s="3301" t="s">
        <v>3217</v>
      </c>
      <c r="D3" s="3302" t="s">
        <v>3218</v>
      </c>
      <c r="E3" s="3302" t="s">
        <v>3045</v>
      </c>
      <c r="F3" s="3302" t="s">
        <v>3219</v>
      </c>
      <c r="G3" s="3302" t="s">
        <v>3220</v>
      </c>
      <c r="H3" s="3302" t="s">
        <v>3020</v>
      </c>
      <c r="I3" s="3302" t="s">
        <v>3221</v>
      </c>
      <c r="J3" s="3302" t="s">
        <v>3222</v>
      </c>
      <c r="K3" s="3303">
        <v>3.12</v>
      </c>
      <c r="L3" s="3304" t="s">
        <v>3223</v>
      </c>
      <c r="M3" s="3302" t="s">
        <v>3224</v>
      </c>
      <c r="N3" s="3305" t="s">
        <v>3225</v>
      </c>
      <c r="O3" s="3306">
        <v>22690.19</v>
      </c>
      <c r="P3" s="3306">
        <v>13839.04</v>
      </c>
      <c r="Q3" s="3306">
        <v>8851.15</v>
      </c>
      <c r="R3" s="3307"/>
      <c r="S3" s="3307"/>
    </row>
    <row r="4" spans="1:19" s="3308" customFormat="1" ht="59.25" customHeight="1">
      <c r="A4" s="3300">
        <v>2018</v>
      </c>
      <c r="B4" s="3300">
        <v>12</v>
      </c>
      <c r="C4" s="3309" t="s">
        <v>3125</v>
      </c>
      <c r="D4" s="3302" t="s">
        <v>3218</v>
      </c>
      <c r="E4" s="3310" t="s">
        <v>3045</v>
      </c>
      <c r="F4" s="3310" t="s">
        <v>3226</v>
      </c>
      <c r="G4" s="3310" t="s">
        <v>3227</v>
      </c>
      <c r="H4" s="3310" t="s">
        <v>3020</v>
      </c>
      <c r="I4" s="3310" t="s">
        <v>3228</v>
      </c>
      <c r="J4" s="3310" t="s">
        <v>3229</v>
      </c>
      <c r="K4" s="3311">
        <v>25.831499999999998</v>
      </c>
      <c r="L4" s="3312" t="s">
        <v>3230</v>
      </c>
      <c r="M4" s="3310" t="s">
        <v>3231</v>
      </c>
      <c r="N4" s="3313" t="s">
        <v>3232</v>
      </c>
      <c r="O4" s="3306">
        <v>15109.13</v>
      </c>
      <c r="P4" s="3306">
        <v>7280.31</v>
      </c>
      <c r="Q4" s="3306">
        <v>7828.82</v>
      </c>
      <c r="R4" s="3307"/>
      <c r="S4" s="3307"/>
    </row>
    <row r="5" spans="1:19" s="3308" customFormat="1" ht="60" customHeight="1">
      <c r="A5" s="3300">
        <v>2019</v>
      </c>
      <c r="B5" s="3300">
        <v>5</v>
      </c>
      <c r="C5" s="3309" t="s">
        <v>3233</v>
      </c>
      <c r="D5" s="3302" t="s">
        <v>3218</v>
      </c>
      <c r="E5" s="3310" t="s">
        <v>3045</v>
      </c>
      <c r="F5" s="3310" t="s">
        <v>3234</v>
      </c>
      <c r="G5" s="3310" t="s">
        <v>3235</v>
      </c>
      <c r="H5" s="3310" t="s">
        <v>3020</v>
      </c>
      <c r="I5" s="3310" t="s">
        <v>3236</v>
      </c>
      <c r="J5" s="3310" t="s">
        <v>3237</v>
      </c>
      <c r="K5" s="3310">
        <v>12</v>
      </c>
      <c r="L5" s="3312" t="s">
        <v>3238</v>
      </c>
      <c r="M5" s="3310" t="s">
        <v>3239</v>
      </c>
      <c r="N5" s="3305" t="s">
        <v>3240</v>
      </c>
      <c r="O5" s="3306">
        <v>8146.62</v>
      </c>
      <c r="P5" s="3306">
        <v>6853.57</v>
      </c>
      <c r="Q5" s="3306">
        <v>1293.05</v>
      </c>
      <c r="R5" s="3307"/>
      <c r="S5" s="3307"/>
    </row>
    <row r="6" spans="1:19" s="3318" customFormat="1" ht="68.25" customHeight="1">
      <c r="A6" s="3300">
        <v>2017</v>
      </c>
      <c r="B6" s="3300">
        <v>3</v>
      </c>
      <c r="C6" s="3314" t="s">
        <v>3241</v>
      </c>
      <c r="D6" s="3302" t="s">
        <v>3126</v>
      </c>
      <c r="E6" s="3302" t="s">
        <v>3045</v>
      </c>
      <c r="F6" s="3302" t="s">
        <v>3242</v>
      </c>
      <c r="G6" s="3302" t="s">
        <v>3243</v>
      </c>
      <c r="H6" s="3302" t="s">
        <v>3020</v>
      </c>
      <c r="I6" s="3302" t="s">
        <v>3244</v>
      </c>
      <c r="J6" s="3302" t="s">
        <v>3245</v>
      </c>
      <c r="K6" s="3315">
        <v>33.36</v>
      </c>
      <c r="L6" s="3304" t="s">
        <v>3246</v>
      </c>
      <c r="M6" s="3302" t="s">
        <v>3247</v>
      </c>
      <c r="N6" s="3316"/>
      <c r="O6" s="3317">
        <v>915.51</v>
      </c>
      <c r="P6" s="3317">
        <v>497.25</v>
      </c>
      <c r="Q6" s="3317">
        <v>418.26</v>
      </c>
    </row>
    <row r="7" spans="1:19" s="3318" customFormat="1" ht="68.25" customHeight="1">
      <c r="A7" s="3300">
        <v>2018</v>
      </c>
      <c r="B7" s="3300">
        <v>4</v>
      </c>
      <c r="C7" s="3309" t="s">
        <v>3248</v>
      </c>
      <c r="D7" s="3310" t="s">
        <v>3126</v>
      </c>
      <c r="E7" s="3310" t="s">
        <v>3045</v>
      </c>
      <c r="F7" s="3310" t="s">
        <v>3249</v>
      </c>
      <c r="G7" s="3310" t="s">
        <v>3250</v>
      </c>
      <c r="H7" s="3310" t="s">
        <v>3020</v>
      </c>
      <c r="I7" s="3310" t="s">
        <v>3251</v>
      </c>
      <c r="J7" s="3310" t="s">
        <v>3252</v>
      </c>
      <c r="K7" s="3310">
        <v>726.3</v>
      </c>
      <c r="L7" s="3319" t="s">
        <v>3253</v>
      </c>
      <c r="M7" s="3310" t="s">
        <v>3254</v>
      </c>
      <c r="N7" s="3320" t="s">
        <v>3255</v>
      </c>
      <c r="O7" s="3317">
        <v>1357.91</v>
      </c>
      <c r="P7" s="3317">
        <v>388.19</v>
      </c>
      <c r="Q7" s="3317">
        <v>969.72</v>
      </c>
    </row>
    <row r="8" spans="1:19" s="3318" customFormat="1" ht="68.25" customHeight="1">
      <c r="A8" s="3300">
        <v>2018</v>
      </c>
      <c r="B8" s="3300">
        <v>12</v>
      </c>
      <c r="C8" s="3309" t="s">
        <v>3125</v>
      </c>
      <c r="D8" s="3310" t="s">
        <v>3126</v>
      </c>
      <c r="E8" s="3310" t="s">
        <v>3045</v>
      </c>
      <c r="F8" s="3310" t="s">
        <v>3256</v>
      </c>
      <c r="G8" s="3310" t="s">
        <v>3128</v>
      </c>
      <c r="H8" s="3310" t="s">
        <v>3020</v>
      </c>
      <c r="I8" s="3310" t="s">
        <v>3129</v>
      </c>
      <c r="J8" s="3310" t="s">
        <v>3130</v>
      </c>
      <c r="K8" s="3310">
        <v>113.32</v>
      </c>
      <c r="L8" s="3312" t="s">
        <v>3257</v>
      </c>
      <c r="M8" s="3310" t="s">
        <v>3258</v>
      </c>
      <c r="N8" s="3316"/>
      <c r="O8" s="3317">
        <v>4086.35</v>
      </c>
      <c r="P8" s="3317">
        <v>746.54</v>
      </c>
      <c r="Q8" s="3317">
        <v>3339.81</v>
      </c>
    </row>
    <row r="9" spans="1:19">
      <c r="O9" s="3295">
        <f>O8*$K$8</f>
        <v>463065.18199999997</v>
      </c>
    </row>
  </sheetData>
  <autoFilter ref="A2:S8"/>
  <mergeCells count="1">
    <mergeCell ref="A1:J1"/>
  </mergeCells>
  <phoneticPr fontId="229" type="noConversion"/>
  <dataValidations count="1">
    <dataValidation type="list" allowBlank="1" showInputMessage="1" showErrorMessage="1" sqref="E3 E5">
      <formula1>"公开出让,协议出让,划拨"</formula1>
    </dataValidation>
  </dataValidations>
  <pageMargins left="0.7" right="0.7" top="0.75" bottom="0.75" header="0.3" footer="0.3"/>
  <pageSetup paperSize="9" orientation="portrait" horizontalDpi="200" verticalDpi="30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500" t="s">
        <v>522</v>
      </c>
      <c r="D4" s="3501"/>
      <c r="E4" s="3534" t="s">
        <v>523</v>
      </c>
      <c r="F4" s="3535"/>
      <c r="G4" s="3500" t="s">
        <v>524</v>
      </c>
      <c r="H4" s="3501"/>
      <c r="I4" s="3500" t="s">
        <v>525</v>
      </c>
      <c r="J4" s="3501"/>
      <c r="K4" s="853" t="s">
        <v>526</v>
      </c>
      <c r="L4" s="2119"/>
      <c r="M4" s="2120"/>
      <c r="N4" s="2120"/>
      <c r="O4" s="2120"/>
      <c r="P4" s="3502" t="s">
        <v>527</v>
      </c>
      <c r="Q4" s="3503"/>
      <c r="R4" s="3508" t="s">
        <v>523</v>
      </c>
      <c r="S4" s="3509"/>
      <c r="T4" s="3508" t="s">
        <v>524</v>
      </c>
      <c r="U4" s="3509"/>
      <c r="V4" s="3495" t="s">
        <v>525</v>
      </c>
      <c r="W4" s="3495"/>
      <c r="X4" s="1554"/>
      <c r="Y4" s="3508" t="s">
        <v>527</v>
      </c>
      <c r="Z4" s="3509"/>
      <c r="AA4" s="3497" t="s">
        <v>523</v>
      </c>
      <c r="AB4" s="3497" t="s">
        <v>524</v>
      </c>
      <c r="AC4" s="3497" t="s">
        <v>525</v>
      </c>
    </row>
    <row r="5" spans="1:29" ht="15">
      <c r="A5" s="515"/>
      <c r="B5" s="516"/>
      <c r="C5" s="3516" t="s">
        <v>2925</v>
      </c>
      <c r="D5" s="3517"/>
      <c r="E5" s="3536" t="s">
        <v>2926</v>
      </c>
      <c r="F5" s="3537"/>
      <c r="G5" s="3516" t="s">
        <v>2927</v>
      </c>
      <c r="H5" s="3517"/>
      <c r="I5" s="3516" t="s">
        <v>2928</v>
      </c>
      <c r="J5" s="3517"/>
      <c r="K5" s="854"/>
      <c r="L5" s="2119"/>
      <c r="M5" s="2120"/>
      <c r="N5" s="2120"/>
      <c r="O5" s="2120"/>
      <c r="P5" s="3504"/>
      <c r="Q5" s="3505"/>
      <c r="R5" s="3510"/>
      <c r="S5" s="3511"/>
      <c r="T5" s="3510"/>
      <c r="U5" s="3511"/>
      <c r="V5" s="3495"/>
      <c r="W5" s="3495"/>
      <c r="X5" s="1554"/>
      <c r="Y5" s="3510"/>
      <c r="Z5" s="3511"/>
      <c r="AA5" s="3498"/>
      <c r="AB5" s="3498"/>
      <c r="AC5" s="3498"/>
    </row>
    <row r="6" spans="1:29" ht="15.75" thickBot="1">
      <c r="A6" s="517"/>
      <c r="B6" s="518"/>
      <c r="C6" s="3514" t="s">
        <v>2929</v>
      </c>
      <c r="D6" s="3515"/>
      <c r="E6" s="3532" t="s">
        <v>2929</v>
      </c>
      <c r="F6" s="3533"/>
      <c r="G6" s="3514" t="s">
        <v>2929</v>
      </c>
      <c r="H6" s="3515"/>
      <c r="I6" s="3514" t="s">
        <v>2929</v>
      </c>
      <c r="J6" s="3515"/>
      <c r="K6" s="854" t="s">
        <v>528</v>
      </c>
      <c r="L6" s="2119"/>
      <c r="M6" s="2120"/>
      <c r="N6" s="2120"/>
      <c r="O6" s="2120"/>
      <c r="P6" s="3506"/>
      <c r="Q6" s="3507"/>
      <c r="R6" s="3510"/>
      <c r="S6" s="3511"/>
      <c r="T6" s="3512"/>
      <c r="U6" s="3513"/>
      <c r="V6" s="3495"/>
      <c r="W6" s="3495"/>
      <c r="X6" s="1554"/>
      <c r="Y6" s="3512"/>
      <c r="Z6" s="3513"/>
      <c r="AA6" s="3499"/>
      <c r="AB6" s="3499"/>
      <c r="AC6" s="3499"/>
    </row>
    <row r="7" spans="1:29" s="1216" customFormat="1" ht="15.75" thickBot="1">
      <c r="A7" s="2868"/>
      <c r="B7" s="2875" t="s">
        <v>529</v>
      </c>
      <c r="C7" s="519">
        <f>'数据-取费表'!B2</f>
        <v>43959</v>
      </c>
      <c r="D7" s="520">
        <v>100</v>
      </c>
      <c r="E7" s="521"/>
      <c r="F7" s="522">
        <f>SUMIF(58:58,YEAR(E7)&amp;"-"&amp;MONTH(E7),59:59)</f>
        <v>0</v>
      </c>
      <c r="G7" s="523"/>
      <c r="H7" s="520">
        <f>SUMIF(58:58,YEAR(G7)&amp;"-"&amp;MONTH(G7),59:59)</f>
        <v>0</v>
      </c>
      <c r="I7" s="523"/>
      <c r="J7" s="520">
        <f>SUMIF(58:58,YEAR(I7)&amp;"-"&amp;MONTH(I7),59:59)</f>
        <v>0</v>
      </c>
      <c r="K7" s="855"/>
      <c r="L7" s="2121"/>
      <c r="M7" s="2122"/>
      <c r="N7" s="2122"/>
      <c r="O7" s="2122"/>
      <c r="P7" s="3525" t="s">
        <v>530</v>
      </c>
      <c r="Q7" s="3527"/>
      <c r="R7" s="1555" t="s">
        <v>13</v>
      </c>
      <c r="S7" s="1556">
        <f t="shared" ref="S7:S15" si="0">F7</f>
        <v>0</v>
      </c>
      <c r="T7" s="1555" t="s">
        <v>13</v>
      </c>
      <c r="U7" s="1556">
        <f t="shared" ref="U7:U15" si="1">H7</f>
        <v>0</v>
      </c>
      <c r="V7" s="1555" t="s">
        <v>13</v>
      </c>
      <c r="W7" s="1556">
        <f t="shared" ref="W7:W15" si="2">J7</f>
        <v>0</v>
      </c>
      <c r="X7" s="1557"/>
      <c r="Y7" s="3525" t="s">
        <v>530</v>
      </c>
      <c r="Z7" s="3526"/>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525" t="s">
        <v>533</v>
      </c>
      <c r="Q8" s="3526"/>
      <c r="R8" s="1555" t="s">
        <v>13</v>
      </c>
      <c r="S8" s="1556">
        <f t="shared" si="0"/>
        <v>0</v>
      </c>
      <c r="T8" s="1555" t="s">
        <v>13</v>
      </c>
      <c r="U8" s="1556">
        <f t="shared" si="1"/>
        <v>0</v>
      </c>
      <c r="V8" s="1555" t="s">
        <v>13</v>
      </c>
      <c r="W8" s="1556">
        <f t="shared" si="2"/>
        <v>0</v>
      </c>
      <c r="X8" s="1557"/>
      <c r="Y8" s="3525" t="s">
        <v>533</v>
      </c>
      <c r="Z8" s="3526"/>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94" t="s">
        <v>535</v>
      </c>
      <c r="Q9" s="1147" t="str">
        <f t="shared" ref="Q9:Q15" si="6">B9</f>
        <v>用途</v>
      </c>
      <c r="R9" s="1555" t="s">
        <v>8</v>
      </c>
      <c r="S9" s="1556">
        <f t="shared" si="0"/>
        <v>100</v>
      </c>
      <c r="T9" s="1555" t="s">
        <v>8</v>
      </c>
      <c r="U9" s="1556">
        <f t="shared" si="1"/>
        <v>100</v>
      </c>
      <c r="V9" s="1555" t="s">
        <v>8</v>
      </c>
      <c r="W9" s="1556">
        <f t="shared" si="2"/>
        <v>100</v>
      </c>
      <c r="X9" s="1557"/>
      <c r="Y9" s="3440"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94"/>
      <c r="Q10" s="1147" t="str">
        <f t="shared" si="6"/>
        <v>土地使用年限（年）</v>
      </c>
      <c r="R10" s="1555" t="s">
        <v>8</v>
      </c>
      <c r="S10" s="1556">
        <f t="shared" si="0"/>
        <v>100</v>
      </c>
      <c r="T10" s="1555" t="s">
        <v>8</v>
      </c>
      <c r="U10" s="1556">
        <f t="shared" si="1"/>
        <v>100</v>
      </c>
      <c r="V10" s="1555" t="s">
        <v>8</v>
      </c>
      <c r="W10" s="1556">
        <f t="shared" si="2"/>
        <v>100</v>
      </c>
      <c r="X10" s="1557"/>
      <c r="Y10" s="3440"/>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94"/>
      <c r="Q11" s="1147" t="str">
        <f t="shared" si="6"/>
        <v>容积率</v>
      </c>
      <c r="R11" s="1555" t="s">
        <v>11</v>
      </c>
      <c r="S11" s="1556" t="e">
        <f t="shared" si="0"/>
        <v>#N/A</v>
      </c>
      <c r="T11" s="1555" t="s">
        <v>11</v>
      </c>
      <c r="U11" s="1556" t="e">
        <f t="shared" si="1"/>
        <v>#N/A</v>
      </c>
      <c r="V11" s="1555" t="s">
        <v>11</v>
      </c>
      <c r="W11" s="1556" t="e">
        <f t="shared" si="2"/>
        <v>#N/A</v>
      </c>
      <c r="X11" s="1557"/>
      <c r="Y11" s="344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94"/>
      <c r="Q12" s="1147">
        <f t="shared" si="6"/>
        <v>111</v>
      </c>
      <c r="R12" s="1555" t="s">
        <v>11</v>
      </c>
      <c r="S12" s="1556">
        <f t="shared" si="0"/>
        <v>100</v>
      </c>
      <c r="T12" s="1555" t="s">
        <v>11</v>
      </c>
      <c r="U12" s="1556">
        <f t="shared" si="1"/>
        <v>100</v>
      </c>
      <c r="V12" s="1555" t="s">
        <v>11</v>
      </c>
      <c r="W12" s="1556">
        <f t="shared" si="2"/>
        <v>100</v>
      </c>
      <c r="X12" s="1557"/>
      <c r="Y12" s="3440"/>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94"/>
      <c r="Q13" s="1147">
        <f t="shared" si="6"/>
        <v>111</v>
      </c>
      <c r="R13" s="1555" t="s">
        <v>11</v>
      </c>
      <c r="S13" s="1556">
        <f t="shared" si="0"/>
        <v>100</v>
      </c>
      <c r="T13" s="1555" t="s">
        <v>11</v>
      </c>
      <c r="U13" s="1556">
        <f t="shared" si="1"/>
        <v>100</v>
      </c>
      <c r="V13" s="1555" t="s">
        <v>11</v>
      </c>
      <c r="W13" s="1556">
        <f t="shared" si="2"/>
        <v>100</v>
      </c>
      <c r="X13" s="1557"/>
      <c r="Y13" s="3440"/>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94"/>
      <c r="Q14" s="1147">
        <f t="shared" si="6"/>
        <v>111</v>
      </c>
      <c r="R14" s="1555" t="s">
        <v>11</v>
      </c>
      <c r="S14" s="1556">
        <f t="shared" si="0"/>
        <v>100</v>
      </c>
      <c r="T14" s="1555" t="s">
        <v>11</v>
      </c>
      <c r="U14" s="1556">
        <f t="shared" si="1"/>
        <v>100</v>
      </c>
      <c r="V14" s="1555" t="s">
        <v>11</v>
      </c>
      <c r="W14" s="1556">
        <f t="shared" si="2"/>
        <v>100</v>
      </c>
      <c r="X14" s="1557"/>
      <c r="Y14" s="3440"/>
      <c r="Z14" s="1146">
        <f t="shared" si="7"/>
        <v>111</v>
      </c>
      <c r="AA14" s="1558">
        <f t="shared" si="3"/>
        <v>1</v>
      </c>
      <c r="AB14" s="1558">
        <f t="shared" si="4"/>
        <v>1</v>
      </c>
      <c r="AC14" s="1558">
        <f t="shared" si="5"/>
        <v>1</v>
      </c>
    </row>
    <row r="15" spans="1:29" ht="99.75">
      <c r="A15" s="2866"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528" t="s">
        <v>540</v>
      </c>
      <c r="Q15" s="1559" t="str">
        <f t="shared" si="6"/>
        <v>居住社区成熟度</v>
      </c>
      <c r="R15" s="1560" t="s">
        <v>11</v>
      </c>
      <c r="S15" s="1561">
        <f t="shared" si="0"/>
        <v>100</v>
      </c>
      <c r="T15" s="1560" t="s">
        <v>11</v>
      </c>
      <c r="U15" s="1561">
        <f t="shared" si="1"/>
        <v>100</v>
      </c>
      <c r="V15" s="1560" t="s">
        <v>11</v>
      </c>
      <c r="W15" s="1561">
        <f t="shared" si="2"/>
        <v>100</v>
      </c>
      <c r="X15" s="1554"/>
      <c r="Y15" s="3528"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529"/>
      <c r="Q16" s="1559"/>
      <c r="R16" s="1560"/>
      <c r="S16" s="1561"/>
      <c r="T16" s="1560"/>
      <c r="U16" s="1561"/>
      <c r="V16" s="1560"/>
      <c r="W16" s="1561"/>
      <c r="X16" s="1554"/>
      <c r="Y16" s="352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529"/>
      <c r="Q17" s="1559" t="str">
        <f>B17</f>
        <v>交通便捷度</v>
      </c>
      <c r="R17" s="1560" t="s">
        <v>11</v>
      </c>
      <c r="S17" s="1561">
        <f>F17</f>
        <v>100</v>
      </c>
      <c r="T17" s="1560" t="s">
        <v>11</v>
      </c>
      <c r="U17" s="1561">
        <f>H17</f>
        <v>100</v>
      </c>
      <c r="V17" s="1560" t="s">
        <v>11</v>
      </c>
      <c r="W17" s="1561">
        <f>J17</f>
        <v>100</v>
      </c>
      <c r="X17" s="1554"/>
      <c r="Y17" s="352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529"/>
      <c r="Q18" s="1559"/>
      <c r="R18" s="1560"/>
      <c r="S18" s="1561"/>
      <c r="T18" s="1560"/>
      <c r="U18" s="1561"/>
      <c r="V18" s="1560"/>
      <c r="W18" s="1561"/>
      <c r="X18" s="1554"/>
      <c r="Y18" s="3529"/>
      <c r="Z18" s="1562"/>
      <c r="AA18" s="1563">
        <v>1</v>
      </c>
      <c r="AB18" s="1563">
        <v>1</v>
      </c>
      <c r="AC18" s="1563">
        <v>1</v>
      </c>
    </row>
    <row r="19" spans="1:29" ht="42.75">
      <c r="A19" s="532"/>
      <c r="B19" s="2565"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529"/>
      <c r="Q19" s="1559" t="str">
        <f>B19</f>
        <v>公共配套设施</v>
      </c>
      <c r="R19" s="1560" t="s">
        <v>11</v>
      </c>
      <c r="S19" s="1561">
        <f>F19</f>
        <v>100</v>
      </c>
      <c r="T19" s="1560" t="s">
        <v>11</v>
      </c>
      <c r="U19" s="1561">
        <f>H19</f>
        <v>100</v>
      </c>
      <c r="V19" s="1560" t="s">
        <v>11</v>
      </c>
      <c r="W19" s="1561">
        <f>J19</f>
        <v>100</v>
      </c>
      <c r="X19" s="1554"/>
      <c r="Y19" s="352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529"/>
      <c r="Q20" s="1559"/>
      <c r="R20" s="1560"/>
      <c r="S20" s="1561"/>
      <c r="T20" s="1560"/>
      <c r="U20" s="1561"/>
      <c r="V20" s="1560"/>
      <c r="W20" s="1561"/>
      <c r="X20" s="1554"/>
      <c r="Y20" s="3529"/>
      <c r="Z20" s="1562"/>
      <c r="AA20" s="1563">
        <v>1</v>
      </c>
      <c r="AB20" s="1563">
        <v>1</v>
      </c>
      <c r="AC20" s="1563">
        <v>1</v>
      </c>
    </row>
    <row r="21" spans="1:29" ht="28.5">
      <c r="A21" s="532"/>
      <c r="B21" s="2558"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529"/>
      <c r="Q21" s="2544" t="str">
        <f>B21</f>
        <v>基础设施水平</v>
      </c>
      <c r="R21" s="1560" t="s">
        <v>11</v>
      </c>
      <c r="S21" s="1561">
        <f>F21</f>
        <v>100</v>
      </c>
      <c r="T21" s="1560" t="s">
        <v>11</v>
      </c>
      <c r="U21" s="1561">
        <f>H21</f>
        <v>100</v>
      </c>
      <c r="V21" s="1560" t="s">
        <v>11</v>
      </c>
      <c r="W21" s="1561">
        <f>J21</f>
        <v>100</v>
      </c>
      <c r="X21" s="2546"/>
      <c r="Y21" s="352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529"/>
      <c r="Q22" s="2544"/>
      <c r="R22" s="1560"/>
      <c r="S22" s="1561"/>
      <c r="T22" s="1560"/>
      <c r="U22" s="1561"/>
      <c r="V22" s="1560"/>
      <c r="W22" s="1561"/>
      <c r="X22" s="2546"/>
      <c r="Y22" s="3529"/>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529"/>
      <c r="Q23" s="1559" t="str">
        <f>B23</f>
        <v>自然及人文环境</v>
      </c>
      <c r="R23" s="1560" t="s">
        <v>11</v>
      </c>
      <c r="S23" s="1561">
        <f>F23</f>
        <v>100</v>
      </c>
      <c r="T23" s="1560" t="s">
        <v>11</v>
      </c>
      <c r="U23" s="1561">
        <f>H23</f>
        <v>100</v>
      </c>
      <c r="V23" s="1560" t="s">
        <v>11</v>
      </c>
      <c r="W23" s="1561">
        <f>J23</f>
        <v>100</v>
      </c>
      <c r="X23" s="1554"/>
      <c r="Y23" s="352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529"/>
      <c r="Q24" s="1559"/>
      <c r="R24" s="1560"/>
      <c r="S24" s="1561"/>
      <c r="T24" s="1560"/>
      <c r="U24" s="1561"/>
      <c r="V24" s="1560"/>
      <c r="W24" s="1561"/>
      <c r="X24" s="1554"/>
      <c r="Y24" s="3529"/>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529"/>
      <c r="Q25" s="1559" t="str">
        <f t="shared" ref="Q25:Q46" si="11">B25</f>
        <v>楼层-1</v>
      </c>
      <c r="R25" s="1560" t="s">
        <v>11</v>
      </c>
      <c r="S25" s="1561">
        <f>F25</f>
        <v>100</v>
      </c>
      <c r="T25" s="1560" t="s">
        <v>11</v>
      </c>
      <c r="U25" s="1561">
        <f>H25</f>
        <v>100</v>
      </c>
      <c r="V25" s="1560" t="s">
        <v>11</v>
      </c>
      <c r="W25" s="1561">
        <f>J25</f>
        <v>100</v>
      </c>
      <c r="X25" s="1554"/>
      <c r="Y25" s="3529"/>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529"/>
      <c r="Q26" s="1559" t="str">
        <f t="shared" si="11"/>
        <v>朝向</v>
      </c>
      <c r="R26" s="1560" t="s">
        <v>11</v>
      </c>
      <c r="S26" s="1561">
        <f>F26</f>
        <v>100</v>
      </c>
      <c r="T26" s="1560" t="s">
        <v>11</v>
      </c>
      <c r="U26" s="1561">
        <f>H26</f>
        <v>100</v>
      </c>
      <c r="V26" s="1560" t="s">
        <v>11</v>
      </c>
      <c r="W26" s="1561">
        <f>J26</f>
        <v>100</v>
      </c>
      <c r="X26" s="1554"/>
      <c r="Y26" s="3529"/>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529"/>
      <c r="Q27" s="1147" t="str">
        <f t="shared" si="11"/>
        <v>道路级别</v>
      </c>
      <c r="R27" s="1555" t="s">
        <v>11</v>
      </c>
      <c r="S27" s="1556">
        <f>F27</f>
        <v>100</v>
      </c>
      <c r="T27" s="1555" t="s">
        <v>11</v>
      </c>
      <c r="U27" s="1556">
        <f>H27</f>
        <v>100</v>
      </c>
      <c r="V27" s="1555" t="s">
        <v>11</v>
      </c>
      <c r="W27" s="1556">
        <f>J27</f>
        <v>100</v>
      </c>
      <c r="X27" s="1557"/>
      <c r="Y27" s="352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529"/>
      <c r="Q28" s="1559">
        <f t="shared" si="11"/>
        <v>111</v>
      </c>
      <c r="R28" s="1560" t="s">
        <v>11</v>
      </c>
      <c r="S28" s="1561">
        <f t="shared" ref="S28:S46" si="12">F28</f>
        <v>100</v>
      </c>
      <c r="T28" s="1560" t="s">
        <v>11</v>
      </c>
      <c r="U28" s="1561">
        <f t="shared" ref="U28:U46" si="13">H28</f>
        <v>100</v>
      </c>
      <c r="V28" s="1560" t="s">
        <v>11</v>
      </c>
      <c r="W28" s="1561">
        <f t="shared" ref="W28:W46" si="14">J28</f>
        <v>100</v>
      </c>
      <c r="X28" s="1554"/>
      <c r="Y28" s="352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529"/>
      <c r="Q29" s="1559">
        <f t="shared" si="11"/>
        <v>111</v>
      </c>
      <c r="R29" s="1560" t="s">
        <v>11</v>
      </c>
      <c r="S29" s="1561">
        <f t="shared" si="12"/>
        <v>100</v>
      </c>
      <c r="T29" s="1560" t="s">
        <v>11</v>
      </c>
      <c r="U29" s="1561">
        <f t="shared" si="13"/>
        <v>100</v>
      </c>
      <c r="V29" s="1560" t="s">
        <v>11</v>
      </c>
      <c r="W29" s="1561">
        <f t="shared" si="14"/>
        <v>100</v>
      </c>
      <c r="X29" s="1554"/>
      <c r="Y29" s="352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529"/>
      <c r="Q30" s="1559">
        <f t="shared" si="11"/>
        <v>111</v>
      </c>
      <c r="R30" s="1560" t="s">
        <v>11</v>
      </c>
      <c r="S30" s="1561">
        <f t="shared" si="12"/>
        <v>100</v>
      </c>
      <c r="T30" s="1560" t="s">
        <v>11</v>
      </c>
      <c r="U30" s="1561">
        <f t="shared" si="13"/>
        <v>100</v>
      </c>
      <c r="V30" s="1560" t="s">
        <v>11</v>
      </c>
      <c r="W30" s="1561">
        <f t="shared" si="14"/>
        <v>100</v>
      </c>
      <c r="X30" s="1554"/>
      <c r="Y30" s="3529"/>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529"/>
      <c r="Q31" s="1559">
        <f t="shared" si="11"/>
        <v>111</v>
      </c>
      <c r="R31" s="1560" t="s">
        <v>11</v>
      </c>
      <c r="S31" s="1561">
        <f t="shared" si="12"/>
        <v>100</v>
      </c>
      <c r="T31" s="1560" t="s">
        <v>11</v>
      </c>
      <c r="U31" s="1561">
        <f t="shared" si="13"/>
        <v>100</v>
      </c>
      <c r="V31" s="1560" t="s">
        <v>11</v>
      </c>
      <c r="W31" s="1561">
        <f t="shared" si="14"/>
        <v>100</v>
      </c>
      <c r="X31" s="1554"/>
      <c r="Y31" s="3529"/>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530" t="s">
        <v>550</v>
      </c>
      <c r="Q32" s="1559" t="str">
        <f t="shared" si="11"/>
        <v>建筑类型</v>
      </c>
      <c r="R32" s="1560" t="s">
        <v>11</v>
      </c>
      <c r="S32" s="1561">
        <f t="shared" si="12"/>
        <v>100</v>
      </c>
      <c r="T32" s="1560" t="s">
        <v>11</v>
      </c>
      <c r="U32" s="1561">
        <f t="shared" si="13"/>
        <v>100</v>
      </c>
      <c r="V32" s="1560" t="s">
        <v>11</v>
      </c>
      <c r="W32" s="1561">
        <f t="shared" si="14"/>
        <v>100</v>
      </c>
      <c r="X32" s="1554"/>
      <c r="Y32" s="3531"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531"/>
      <c r="Q33" s="1591" t="str">
        <f t="shared" si="11"/>
        <v>项目建筑规模</v>
      </c>
      <c r="R33" s="1564" t="s">
        <v>11</v>
      </c>
      <c r="S33" s="1565" t="e">
        <f t="shared" si="12"/>
        <v>#N/A</v>
      </c>
      <c r="T33" s="1564" t="s">
        <v>11</v>
      </c>
      <c r="U33" s="1565" t="e">
        <f t="shared" si="13"/>
        <v>#N/A</v>
      </c>
      <c r="V33" s="1564" t="s">
        <v>11</v>
      </c>
      <c r="W33" s="1565" t="e">
        <f t="shared" si="14"/>
        <v>#N/A</v>
      </c>
      <c r="X33" s="1566"/>
      <c r="Y33" s="3531"/>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531"/>
      <c r="Q34" s="1559" t="str">
        <f t="shared" si="11"/>
        <v>建筑结构</v>
      </c>
      <c r="R34" s="1560" t="s">
        <v>11</v>
      </c>
      <c r="S34" s="1561">
        <f t="shared" si="12"/>
        <v>100</v>
      </c>
      <c r="T34" s="1560" t="s">
        <v>11</v>
      </c>
      <c r="U34" s="1561">
        <f t="shared" si="13"/>
        <v>100</v>
      </c>
      <c r="V34" s="1560" t="s">
        <v>11</v>
      </c>
      <c r="W34" s="1561">
        <f t="shared" si="14"/>
        <v>100</v>
      </c>
      <c r="X34" s="1554"/>
      <c r="Y34" s="3531"/>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531"/>
      <c r="Q35" s="1559" t="str">
        <f t="shared" si="11"/>
        <v>建筑品质</v>
      </c>
      <c r="R35" s="1560" t="s">
        <v>11</v>
      </c>
      <c r="S35" s="1561">
        <f t="shared" si="12"/>
        <v>100</v>
      </c>
      <c r="T35" s="1560" t="s">
        <v>11</v>
      </c>
      <c r="U35" s="1561">
        <f t="shared" si="13"/>
        <v>100</v>
      </c>
      <c r="V35" s="1560" t="s">
        <v>11</v>
      </c>
      <c r="W35" s="1561">
        <f t="shared" si="14"/>
        <v>100</v>
      </c>
      <c r="X35" s="1554"/>
      <c r="Y35" s="3531"/>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531"/>
      <c r="Q36" s="1559" t="str">
        <f t="shared" si="11"/>
        <v>公共部分装修</v>
      </c>
      <c r="R36" s="1560" t="s">
        <v>11</v>
      </c>
      <c r="S36" s="1561">
        <f t="shared" si="12"/>
        <v>100</v>
      </c>
      <c r="T36" s="1560" t="s">
        <v>11</v>
      </c>
      <c r="U36" s="1561">
        <f t="shared" si="13"/>
        <v>100</v>
      </c>
      <c r="V36" s="1560" t="s">
        <v>11</v>
      </c>
      <c r="W36" s="1561">
        <f t="shared" si="14"/>
        <v>100</v>
      </c>
      <c r="X36" s="1554"/>
      <c r="Y36" s="3531"/>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531"/>
      <c r="Q37" s="1147" t="str">
        <f t="shared" si="11"/>
        <v>成新度</v>
      </c>
      <c r="R37" s="1555" t="s">
        <v>11</v>
      </c>
      <c r="S37" s="1556" t="e">
        <f t="shared" si="12"/>
        <v>#N/A</v>
      </c>
      <c r="T37" s="1555" t="s">
        <v>11</v>
      </c>
      <c r="U37" s="1556" t="e">
        <f t="shared" si="13"/>
        <v>#N/A</v>
      </c>
      <c r="V37" s="1555" t="s">
        <v>11</v>
      </c>
      <c r="W37" s="1556" t="e">
        <f t="shared" si="14"/>
        <v>#N/A</v>
      </c>
      <c r="X37" s="1557"/>
      <c r="Y37" s="3531"/>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531" t="s">
        <v>550</v>
      </c>
      <c r="Q38" s="1559" t="str">
        <f t="shared" si="11"/>
        <v>物业管理</v>
      </c>
      <c r="R38" s="1560" t="s">
        <v>11</v>
      </c>
      <c r="S38" s="1561">
        <f t="shared" si="12"/>
        <v>100</v>
      </c>
      <c r="T38" s="1560" t="s">
        <v>11</v>
      </c>
      <c r="U38" s="1561">
        <f t="shared" si="13"/>
        <v>100</v>
      </c>
      <c r="V38" s="1560" t="s">
        <v>11</v>
      </c>
      <c r="W38" s="1561">
        <f t="shared" si="14"/>
        <v>100</v>
      </c>
      <c r="X38" s="1554"/>
      <c r="Y38" s="3531" t="s">
        <v>550</v>
      </c>
      <c r="Z38" s="1562" t="str">
        <f t="shared" si="15"/>
        <v>物业管理</v>
      </c>
      <c r="AA38" s="1563">
        <f t="shared" si="3"/>
        <v>1</v>
      </c>
      <c r="AB38" s="1563">
        <f t="shared" si="4"/>
        <v>1</v>
      </c>
      <c r="AC38" s="1563">
        <f t="shared" si="5"/>
        <v>1</v>
      </c>
    </row>
    <row r="39" spans="1:29" ht="15">
      <c r="A39" s="594"/>
      <c r="B39" s="1881"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531"/>
      <c r="Q39" s="1559" t="str">
        <f t="shared" si="11"/>
        <v>市政基础设施</v>
      </c>
      <c r="R39" s="1560" t="s">
        <v>11</v>
      </c>
      <c r="S39" s="1561">
        <f t="shared" si="12"/>
        <v>100</v>
      </c>
      <c r="T39" s="1560" t="s">
        <v>11</v>
      </c>
      <c r="U39" s="1561">
        <f t="shared" si="13"/>
        <v>100</v>
      </c>
      <c r="V39" s="1560" t="s">
        <v>11</v>
      </c>
      <c r="W39" s="1561">
        <f t="shared" si="14"/>
        <v>100</v>
      </c>
      <c r="X39" s="1554"/>
      <c r="Y39" s="3531"/>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531"/>
      <c r="Q40" s="1559" t="str">
        <f t="shared" si="11"/>
        <v>房型</v>
      </c>
      <c r="R40" s="1560" t="s">
        <v>11</v>
      </c>
      <c r="S40" s="1561">
        <f t="shared" si="12"/>
        <v>100</v>
      </c>
      <c r="T40" s="1560" t="s">
        <v>11</v>
      </c>
      <c r="U40" s="1561">
        <f t="shared" si="13"/>
        <v>100</v>
      </c>
      <c r="V40" s="1560" t="s">
        <v>11</v>
      </c>
      <c r="W40" s="1561">
        <f t="shared" si="14"/>
        <v>100</v>
      </c>
      <c r="X40" s="1554"/>
      <c r="Y40" s="3531"/>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531"/>
      <c r="Q41" s="1591" t="str">
        <f t="shared" si="11"/>
        <v>单套/主力户型建筑面积</v>
      </c>
      <c r="R41" s="1564" t="s">
        <v>11</v>
      </c>
      <c r="S41" s="1565">
        <f t="shared" si="12"/>
        <v>100</v>
      </c>
      <c r="T41" s="1564" t="s">
        <v>11</v>
      </c>
      <c r="U41" s="1565">
        <f t="shared" si="13"/>
        <v>100</v>
      </c>
      <c r="V41" s="1564" t="s">
        <v>11</v>
      </c>
      <c r="W41" s="1565">
        <f t="shared" si="14"/>
        <v>100</v>
      </c>
      <c r="X41" s="1566"/>
      <c r="Y41" s="3531"/>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531"/>
      <c r="Q42" s="1559" t="str">
        <f t="shared" si="11"/>
        <v>内部装修</v>
      </c>
      <c r="R42" s="1560" t="s">
        <v>11</v>
      </c>
      <c r="S42" s="1561">
        <f t="shared" si="12"/>
        <v>100</v>
      </c>
      <c r="T42" s="1560" t="s">
        <v>11</v>
      </c>
      <c r="U42" s="1561">
        <f t="shared" si="13"/>
        <v>100</v>
      </c>
      <c r="V42" s="1560" t="s">
        <v>11</v>
      </c>
      <c r="W42" s="1561">
        <f t="shared" si="14"/>
        <v>100</v>
      </c>
      <c r="X42" s="1554"/>
      <c r="Y42" s="3531"/>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531"/>
      <c r="Q43" s="1559" t="str">
        <f t="shared" si="11"/>
        <v>内部装修维护情况</v>
      </c>
      <c r="R43" s="1560" t="s">
        <v>11</v>
      </c>
      <c r="S43" s="1561">
        <f t="shared" si="12"/>
        <v>100</v>
      </c>
      <c r="T43" s="1560" t="s">
        <v>11</v>
      </c>
      <c r="U43" s="1561">
        <f t="shared" si="13"/>
        <v>100</v>
      </c>
      <c r="V43" s="1560" t="s">
        <v>11</v>
      </c>
      <c r="W43" s="1561">
        <f t="shared" si="14"/>
        <v>100</v>
      </c>
      <c r="X43" s="1554"/>
      <c r="Y43" s="353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531"/>
      <c r="Q44" s="1147">
        <f t="shared" si="11"/>
        <v>111</v>
      </c>
      <c r="R44" s="1555" t="s">
        <v>11</v>
      </c>
      <c r="S44" s="1556">
        <f t="shared" si="12"/>
        <v>100</v>
      </c>
      <c r="T44" s="1555" t="s">
        <v>11</v>
      </c>
      <c r="U44" s="1556">
        <f t="shared" si="13"/>
        <v>100</v>
      </c>
      <c r="V44" s="1555" t="s">
        <v>11</v>
      </c>
      <c r="W44" s="1556">
        <f t="shared" si="14"/>
        <v>100</v>
      </c>
      <c r="X44" s="1557"/>
      <c r="Y44" s="353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531"/>
      <c r="Q45" s="1559">
        <f t="shared" si="11"/>
        <v>111</v>
      </c>
      <c r="R45" s="1560" t="s">
        <v>11</v>
      </c>
      <c r="S45" s="1561">
        <f t="shared" si="12"/>
        <v>100</v>
      </c>
      <c r="T45" s="1560" t="s">
        <v>11</v>
      </c>
      <c r="U45" s="1561">
        <f t="shared" si="13"/>
        <v>100</v>
      </c>
      <c r="V45" s="1560" t="s">
        <v>11</v>
      </c>
      <c r="W45" s="1561">
        <f t="shared" si="14"/>
        <v>100</v>
      </c>
      <c r="X45" s="1554"/>
      <c r="Y45" s="3531"/>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634"/>
      <c r="Q46" s="1559">
        <f t="shared" si="11"/>
        <v>111</v>
      </c>
      <c r="R46" s="1560" t="s">
        <v>10</v>
      </c>
      <c r="S46" s="1561">
        <f t="shared" si="12"/>
        <v>100</v>
      </c>
      <c r="T46" s="1560" t="s">
        <v>10</v>
      </c>
      <c r="U46" s="1561">
        <f t="shared" si="13"/>
        <v>100</v>
      </c>
      <c r="V46" s="1560" t="s">
        <v>10</v>
      </c>
      <c r="W46" s="1561">
        <f t="shared" si="14"/>
        <v>100</v>
      </c>
      <c r="X46" s="1554"/>
      <c r="Y46" s="3634"/>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94" t="str">
        <f>A47</f>
        <v>成交单价（元/平方米）</v>
      </c>
      <c r="Q47" s="3494"/>
      <c r="R47" s="3633">
        <f>E47</f>
        <v>0</v>
      </c>
      <c r="S47" s="3633"/>
      <c r="T47" s="3633">
        <f>G47</f>
        <v>0</v>
      </c>
      <c r="U47" s="3633"/>
      <c r="V47" s="3633">
        <f>I47</f>
        <v>0</v>
      </c>
      <c r="W47" s="3633"/>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3"/>
      <c r="L48" s="2130"/>
      <c r="M48" s="2131"/>
      <c r="N48" s="2131"/>
      <c r="O48" s="2131"/>
      <c r="P48" s="3494" t="str">
        <f>A48</f>
        <v>比较价格（元/平方米）</v>
      </c>
      <c r="Q48" s="3494"/>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1546"/>
      <c r="Y48" s="1546"/>
      <c r="Z48" s="1546"/>
      <c r="AA48" s="1546"/>
      <c r="AB48" s="1546"/>
      <c r="AC48" s="1546"/>
    </row>
    <row r="49" spans="1:29" ht="15.75" thickBot="1">
      <c r="A49" s="621" t="s">
        <v>2931</v>
      </c>
      <c r="B49" s="622"/>
      <c r="C49" s="2601" t="e">
        <f>R49</f>
        <v>#DIV/0!</v>
      </c>
      <c r="D49" s="2601"/>
      <c r="E49" s="2601"/>
      <c r="F49" s="2601"/>
      <c r="G49" s="2601"/>
      <c r="H49" s="2601"/>
      <c r="I49" s="2601"/>
      <c r="J49" s="2601"/>
      <c r="K49" s="1594"/>
      <c r="L49" s="2130"/>
      <c r="M49" s="2131"/>
      <c r="N49" s="2131"/>
      <c r="O49" s="2131"/>
      <c r="P49" s="3491" t="str">
        <f>A49</f>
        <v>估价对象XX用房的比较价格（楼面单价，元/平方米）</v>
      </c>
      <c r="Q49" s="3492"/>
      <c r="R49" s="3632" t="e">
        <f>IF(F1="售价",ROUND(AVERAGE(R48:V48),0),ROUND(AVERAGE(R48:V48),1))</f>
        <v>#DIV/0!</v>
      </c>
      <c r="S49" s="3632"/>
      <c r="T49" s="3632"/>
      <c r="U49" s="3632"/>
      <c r="V49" s="3632"/>
      <c r="W49" s="363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2020-5</v>
      </c>
      <c r="D58" s="2760">
        <f>EDATE(C58,-1)</f>
        <v>43922</v>
      </c>
      <c r="E58" s="2760">
        <f t="shared" ref="E58:O58" si="16">EDATE(D58,-1)</f>
        <v>43891</v>
      </c>
      <c r="F58" s="2760">
        <f t="shared" si="16"/>
        <v>43862</v>
      </c>
      <c r="G58" s="2760">
        <f t="shared" si="16"/>
        <v>43831</v>
      </c>
      <c r="H58" s="2760">
        <f t="shared" si="16"/>
        <v>43800</v>
      </c>
      <c r="I58" s="2760">
        <f t="shared" si="16"/>
        <v>43770</v>
      </c>
      <c r="J58" s="2760">
        <f t="shared" si="16"/>
        <v>43739</v>
      </c>
      <c r="K58" s="2760">
        <f t="shared" si="16"/>
        <v>43709</v>
      </c>
      <c r="L58" s="2760">
        <f t="shared" si="16"/>
        <v>43678</v>
      </c>
      <c r="M58" s="2760">
        <f t="shared" si="16"/>
        <v>43647</v>
      </c>
      <c r="N58" s="2760">
        <f t="shared" si="16"/>
        <v>43617</v>
      </c>
      <c r="O58" s="2760">
        <f t="shared" si="16"/>
        <v>43586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500" t="s">
        <v>522</v>
      </c>
      <c r="D4" s="3501"/>
      <c r="E4" s="3534" t="s">
        <v>523</v>
      </c>
      <c r="F4" s="3535"/>
      <c r="G4" s="3500" t="s">
        <v>524</v>
      </c>
      <c r="H4" s="3501"/>
      <c r="I4" s="3500" t="s">
        <v>525</v>
      </c>
      <c r="J4" s="3501"/>
      <c r="K4" s="514" t="s">
        <v>526</v>
      </c>
      <c r="L4" s="2119"/>
      <c r="M4" s="2120"/>
      <c r="N4" s="2120"/>
      <c r="O4" s="2120"/>
      <c r="P4" s="3502" t="s">
        <v>527</v>
      </c>
      <c r="Q4" s="3503"/>
      <c r="R4" s="3508" t="s">
        <v>523</v>
      </c>
      <c r="S4" s="3509"/>
      <c r="T4" s="3508" t="s">
        <v>524</v>
      </c>
      <c r="U4" s="3509"/>
      <c r="V4" s="3495" t="s">
        <v>525</v>
      </c>
      <c r="W4" s="3495"/>
      <c r="X4" s="1554"/>
      <c r="Y4" s="3508" t="s">
        <v>527</v>
      </c>
      <c r="Z4" s="3509"/>
      <c r="AA4" s="3497" t="s">
        <v>523</v>
      </c>
      <c r="AB4" s="3495" t="s">
        <v>524</v>
      </c>
      <c r="AC4" s="3497" t="s">
        <v>525</v>
      </c>
    </row>
    <row r="5" spans="1:29" ht="15">
      <c r="A5" s="515"/>
      <c r="B5" s="516"/>
      <c r="C5" s="3516" t="s">
        <v>2925</v>
      </c>
      <c r="D5" s="3517"/>
      <c r="E5" s="3536" t="s">
        <v>2926</v>
      </c>
      <c r="F5" s="3537"/>
      <c r="G5" s="3516" t="s">
        <v>2927</v>
      </c>
      <c r="H5" s="3517"/>
      <c r="I5" s="3516" t="s">
        <v>2928</v>
      </c>
      <c r="J5" s="3517"/>
      <c r="K5" s="514"/>
      <c r="L5" s="2119"/>
      <c r="M5" s="2120"/>
      <c r="N5" s="2120"/>
      <c r="O5" s="2120"/>
      <c r="P5" s="3504"/>
      <c r="Q5" s="3505"/>
      <c r="R5" s="3510"/>
      <c r="S5" s="3511"/>
      <c r="T5" s="3510"/>
      <c r="U5" s="3511"/>
      <c r="V5" s="3495"/>
      <c r="W5" s="3495"/>
      <c r="X5" s="1554"/>
      <c r="Y5" s="3510"/>
      <c r="Z5" s="3511"/>
      <c r="AA5" s="3498"/>
      <c r="AB5" s="3495"/>
      <c r="AC5" s="3498"/>
    </row>
    <row r="6" spans="1:29" ht="15.75" thickBot="1">
      <c r="A6" s="517"/>
      <c r="B6" s="518"/>
      <c r="C6" s="3514" t="s">
        <v>2929</v>
      </c>
      <c r="D6" s="3515"/>
      <c r="E6" s="3532" t="s">
        <v>2929</v>
      </c>
      <c r="F6" s="3533"/>
      <c r="G6" s="3514" t="s">
        <v>2929</v>
      </c>
      <c r="H6" s="3515"/>
      <c r="I6" s="3514" t="s">
        <v>2929</v>
      </c>
      <c r="J6" s="3515"/>
      <c r="K6" s="514" t="s">
        <v>528</v>
      </c>
      <c r="L6" s="2119"/>
      <c r="M6" s="2120"/>
      <c r="N6" s="2120"/>
      <c r="O6" s="2120"/>
      <c r="P6" s="3506"/>
      <c r="Q6" s="3507"/>
      <c r="R6" s="3510"/>
      <c r="S6" s="3511"/>
      <c r="T6" s="3512"/>
      <c r="U6" s="3513"/>
      <c r="V6" s="3495"/>
      <c r="W6" s="3495"/>
      <c r="X6" s="1554"/>
      <c r="Y6" s="3512"/>
      <c r="Z6" s="3513"/>
      <c r="AA6" s="3499"/>
      <c r="AB6" s="3495"/>
      <c r="AC6" s="3499"/>
    </row>
    <row r="7" spans="1:29" s="1216" customFormat="1" ht="15.75" thickBot="1">
      <c r="A7" s="2868"/>
      <c r="B7" s="2875" t="s">
        <v>529</v>
      </c>
      <c r="C7" s="519">
        <f>'数据-取费表'!B2</f>
        <v>43959</v>
      </c>
      <c r="D7" s="520">
        <v>100</v>
      </c>
      <c r="E7" s="521"/>
      <c r="F7" s="522">
        <f>SUMIF(58:58,YEAR(E7)&amp;"-"&amp;MONTH(E7),59:59)</f>
        <v>0</v>
      </c>
      <c r="G7" s="521"/>
      <c r="H7" s="520">
        <f>SUMIF(58:58,YEAR(G7)&amp;"-"&amp;MONTH(G7),59:59)</f>
        <v>0</v>
      </c>
      <c r="I7" s="521"/>
      <c r="J7" s="520">
        <f>SUMIF(58:58,YEAR(I7)&amp;"-"&amp;MONTH(I7),59:59)</f>
        <v>0</v>
      </c>
      <c r="K7" s="524"/>
      <c r="L7" s="2121"/>
      <c r="M7" s="2122"/>
      <c r="N7" s="2122"/>
      <c r="O7" s="2122"/>
      <c r="P7" s="3525" t="s">
        <v>530</v>
      </c>
      <c r="Q7" s="3527"/>
      <c r="R7" s="1555" t="s">
        <v>8</v>
      </c>
      <c r="S7" s="1556">
        <f t="shared" ref="S7:S15" si="0">F7</f>
        <v>0</v>
      </c>
      <c r="T7" s="1555" t="s">
        <v>8</v>
      </c>
      <c r="U7" s="1556">
        <f t="shared" ref="U7:U15" si="1">H7</f>
        <v>0</v>
      </c>
      <c r="V7" s="1555" t="s">
        <v>8</v>
      </c>
      <c r="W7" s="1556">
        <f t="shared" ref="W7:W15" si="2">J7</f>
        <v>0</v>
      </c>
      <c r="X7" s="1557"/>
      <c r="Y7" s="3525" t="s">
        <v>530</v>
      </c>
      <c r="Z7" s="3526"/>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525" t="s">
        <v>533</v>
      </c>
      <c r="Q8" s="3526"/>
      <c r="R8" s="1555" t="s">
        <v>8</v>
      </c>
      <c r="S8" s="1556">
        <f t="shared" si="0"/>
        <v>0</v>
      </c>
      <c r="T8" s="1555" t="s">
        <v>8</v>
      </c>
      <c r="U8" s="1556">
        <f t="shared" si="1"/>
        <v>0</v>
      </c>
      <c r="V8" s="1555" t="s">
        <v>8</v>
      </c>
      <c r="W8" s="1556">
        <f t="shared" si="2"/>
        <v>0</v>
      </c>
      <c r="X8" s="1557"/>
      <c r="Y8" s="3525" t="s">
        <v>533</v>
      </c>
      <c r="Z8" s="3526"/>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94" t="s">
        <v>535</v>
      </c>
      <c r="Q9" s="1147" t="str">
        <f t="shared" ref="Q9:Q15" si="6">B9</f>
        <v>用途</v>
      </c>
      <c r="R9" s="1555" t="s">
        <v>8</v>
      </c>
      <c r="S9" s="1556">
        <f t="shared" si="0"/>
        <v>100</v>
      </c>
      <c r="T9" s="1555" t="s">
        <v>8</v>
      </c>
      <c r="U9" s="1556">
        <f t="shared" si="1"/>
        <v>100</v>
      </c>
      <c r="V9" s="1555" t="s">
        <v>8</v>
      </c>
      <c r="W9" s="1556">
        <f t="shared" si="2"/>
        <v>100</v>
      </c>
      <c r="X9" s="1557"/>
      <c r="Y9" s="3440"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94"/>
      <c r="Q10" s="1147" t="str">
        <f t="shared" si="6"/>
        <v>土地使用年限（年）</v>
      </c>
      <c r="R10" s="1555" t="s">
        <v>8</v>
      </c>
      <c r="S10" s="1556">
        <f t="shared" si="0"/>
        <v>100</v>
      </c>
      <c r="T10" s="1555" t="s">
        <v>8</v>
      </c>
      <c r="U10" s="1556">
        <f t="shared" si="1"/>
        <v>100</v>
      </c>
      <c r="V10" s="1555" t="s">
        <v>8</v>
      </c>
      <c r="W10" s="1556">
        <f t="shared" si="2"/>
        <v>100</v>
      </c>
      <c r="X10" s="1557"/>
      <c r="Y10" s="3440"/>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94"/>
      <c r="Q11" s="1147" t="str">
        <f t="shared" si="6"/>
        <v>容积率</v>
      </c>
      <c r="R11" s="1555" t="s">
        <v>8</v>
      </c>
      <c r="S11" s="1556" t="e">
        <f t="shared" si="0"/>
        <v>#N/A</v>
      </c>
      <c r="T11" s="1555" t="s">
        <v>8</v>
      </c>
      <c r="U11" s="1556" t="e">
        <f t="shared" si="1"/>
        <v>#N/A</v>
      </c>
      <c r="V11" s="1555" t="s">
        <v>8</v>
      </c>
      <c r="W11" s="1556" t="e">
        <f t="shared" si="2"/>
        <v>#N/A</v>
      </c>
      <c r="X11" s="1557"/>
      <c r="Y11" s="344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94"/>
      <c r="Q12" s="1147">
        <f t="shared" si="6"/>
        <v>111</v>
      </c>
      <c r="R12" s="1555" t="s">
        <v>8</v>
      </c>
      <c r="S12" s="1556">
        <f t="shared" si="0"/>
        <v>100</v>
      </c>
      <c r="T12" s="1555" t="s">
        <v>8</v>
      </c>
      <c r="U12" s="1556">
        <f t="shared" si="1"/>
        <v>100</v>
      </c>
      <c r="V12" s="1555" t="s">
        <v>8</v>
      </c>
      <c r="W12" s="1556">
        <f t="shared" si="2"/>
        <v>100</v>
      </c>
      <c r="X12" s="1557"/>
      <c r="Y12" s="3440"/>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94"/>
      <c r="Q13" s="1147">
        <f t="shared" si="6"/>
        <v>111</v>
      </c>
      <c r="R13" s="1555" t="s">
        <v>8</v>
      </c>
      <c r="S13" s="1556">
        <f t="shared" si="0"/>
        <v>100</v>
      </c>
      <c r="T13" s="1555" t="s">
        <v>8</v>
      </c>
      <c r="U13" s="1556">
        <f t="shared" si="1"/>
        <v>100</v>
      </c>
      <c r="V13" s="1555" t="s">
        <v>8</v>
      </c>
      <c r="W13" s="1556">
        <f t="shared" si="2"/>
        <v>100</v>
      </c>
      <c r="X13" s="1557"/>
      <c r="Y13" s="3440"/>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94"/>
      <c r="Q14" s="1147">
        <f t="shared" si="6"/>
        <v>111</v>
      </c>
      <c r="R14" s="1555" t="s">
        <v>8</v>
      </c>
      <c r="S14" s="1556">
        <f t="shared" si="0"/>
        <v>100</v>
      </c>
      <c r="T14" s="1555" t="s">
        <v>8</v>
      </c>
      <c r="U14" s="1556">
        <f t="shared" si="1"/>
        <v>100</v>
      </c>
      <c r="V14" s="1555" t="s">
        <v>8</v>
      </c>
      <c r="W14" s="1556">
        <f t="shared" si="2"/>
        <v>100</v>
      </c>
      <c r="X14" s="1557"/>
      <c r="Y14" s="3440"/>
      <c r="Z14" s="1146">
        <f t="shared" si="7"/>
        <v>111</v>
      </c>
      <c r="AA14" s="1558">
        <f t="shared" si="3"/>
        <v>1</v>
      </c>
      <c r="AB14" s="1558">
        <f t="shared" si="4"/>
        <v>1</v>
      </c>
      <c r="AC14" s="1558">
        <f t="shared" si="5"/>
        <v>1</v>
      </c>
    </row>
    <row r="15" spans="1:29" ht="71.25">
      <c r="A15" s="2866"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528" t="s">
        <v>540</v>
      </c>
      <c r="Q15" s="1559" t="str">
        <f t="shared" si="6"/>
        <v>商业繁华度</v>
      </c>
      <c r="R15" s="1560" t="s">
        <v>8</v>
      </c>
      <c r="S15" s="1561">
        <f t="shared" si="0"/>
        <v>100</v>
      </c>
      <c r="T15" s="1560" t="s">
        <v>8</v>
      </c>
      <c r="U15" s="1561">
        <f t="shared" si="1"/>
        <v>100</v>
      </c>
      <c r="V15" s="1560" t="s">
        <v>8</v>
      </c>
      <c r="W15" s="1561">
        <f t="shared" si="2"/>
        <v>100</v>
      </c>
      <c r="X15" s="1554"/>
      <c r="Y15" s="3528"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529"/>
      <c r="Q16" s="1559"/>
      <c r="R16" s="1560"/>
      <c r="S16" s="1561"/>
      <c r="T16" s="1560"/>
      <c r="U16" s="1561"/>
      <c r="V16" s="1560"/>
      <c r="W16" s="1561"/>
      <c r="X16" s="1554"/>
      <c r="Y16" s="352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529"/>
      <c r="Q17" s="1559" t="str">
        <f>B17</f>
        <v>交通便捷度</v>
      </c>
      <c r="R17" s="1560" t="s">
        <v>8</v>
      </c>
      <c r="S17" s="1561">
        <f>F17</f>
        <v>100</v>
      </c>
      <c r="T17" s="1560" t="s">
        <v>8</v>
      </c>
      <c r="U17" s="1561">
        <f>H17</f>
        <v>100</v>
      </c>
      <c r="V17" s="1560" t="s">
        <v>8</v>
      </c>
      <c r="W17" s="1561">
        <f>J17</f>
        <v>100</v>
      </c>
      <c r="X17" s="1554"/>
      <c r="Y17" s="352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529"/>
      <c r="Q18" s="1559"/>
      <c r="R18" s="1560"/>
      <c r="S18" s="1561"/>
      <c r="T18" s="1560"/>
      <c r="U18" s="1561"/>
      <c r="V18" s="1560"/>
      <c r="W18" s="1561"/>
      <c r="X18" s="1554"/>
      <c r="Y18" s="3529"/>
      <c r="Z18" s="1562"/>
      <c r="AA18" s="1563">
        <v>1</v>
      </c>
      <c r="AB18" s="1563">
        <v>1</v>
      </c>
      <c r="AC18" s="1563">
        <v>1</v>
      </c>
    </row>
    <row r="19" spans="1:29" ht="42.75">
      <c r="A19" s="532"/>
      <c r="B19" s="2565"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529"/>
      <c r="Q19" s="1559" t="str">
        <f>B19</f>
        <v>公共配套设施</v>
      </c>
      <c r="R19" s="1560" t="s">
        <v>8</v>
      </c>
      <c r="S19" s="1561">
        <f>F19</f>
        <v>100</v>
      </c>
      <c r="T19" s="1560" t="s">
        <v>8</v>
      </c>
      <c r="U19" s="1561">
        <f>H19</f>
        <v>100</v>
      </c>
      <c r="V19" s="1560" t="s">
        <v>8</v>
      </c>
      <c r="W19" s="1561">
        <f>J19</f>
        <v>100</v>
      </c>
      <c r="X19" s="1554"/>
      <c r="Y19" s="352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529"/>
      <c r="Q20" s="1559"/>
      <c r="R20" s="1560"/>
      <c r="S20" s="1561"/>
      <c r="T20" s="1560"/>
      <c r="U20" s="1561"/>
      <c r="V20" s="1560"/>
      <c r="W20" s="1561"/>
      <c r="X20" s="1554"/>
      <c r="Y20" s="3529"/>
      <c r="Z20" s="1562"/>
      <c r="AA20" s="1563">
        <v>1</v>
      </c>
      <c r="AB20" s="1563">
        <v>1</v>
      </c>
      <c r="AC20" s="1563">
        <v>1</v>
      </c>
    </row>
    <row r="21" spans="1:29" ht="28.5">
      <c r="A21" s="532"/>
      <c r="B21" s="2558"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529"/>
      <c r="Q21" s="2544" t="str">
        <f>B21</f>
        <v>基础设施水平</v>
      </c>
      <c r="R21" s="1560" t="s">
        <v>8</v>
      </c>
      <c r="S21" s="1561">
        <f>F21</f>
        <v>100</v>
      </c>
      <c r="T21" s="1560" t="s">
        <v>8</v>
      </c>
      <c r="U21" s="1561">
        <f>H21</f>
        <v>100</v>
      </c>
      <c r="V21" s="1560" t="s">
        <v>8</v>
      </c>
      <c r="W21" s="1561">
        <f>J21</f>
        <v>100</v>
      </c>
      <c r="X21" s="2546"/>
      <c r="Y21" s="352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529"/>
      <c r="Q22" s="2544"/>
      <c r="R22" s="1560"/>
      <c r="S22" s="1561"/>
      <c r="T22" s="1560"/>
      <c r="U22" s="1561"/>
      <c r="V22" s="1560"/>
      <c r="W22" s="1561"/>
      <c r="X22" s="2546"/>
      <c r="Y22" s="3529"/>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529"/>
      <c r="Q23" s="1559" t="str">
        <f>B23</f>
        <v>自然及人文环境</v>
      </c>
      <c r="R23" s="1560" t="s">
        <v>8</v>
      </c>
      <c r="S23" s="1561">
        <f>F23</f>
        <v>100</v>
      </c>
      <c r="T23" s="1560" t="s">
        <v>8</v>
      </c>
      <c r="U23" s="1561">
        <f>H23</f>
        <v>100</v>
      </c>
      <c r="V23" s="1560" t="s">
        <v>8</v>
      </c>
      <c r="W23" s="1561">
        <f>J23</f>
        <v>100</v>
      </c>
      <c r="X23" s="1554"/>
      <c r="Y23" s="352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529"/>
      <c r="Q24" s="1559"/>
      <c r="R24" s="1560"/>
      <c r="S24" s="1561"/>
      <c r="T24" s="1560"/>
      <c r="U24" s="1561"/>
      <c r="V24" s="1560"/>
      <c r="W24" s="1561"/>
      <c r="X24" s="1554"/>
      <c r="Y24" s="3529"/>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529"/>
      <c r="Q25" s="1559" t="str">
        <f t="shared" ref="Q25:Q46" si="11">B25</f>
        <v>临街状况</v>
      </c>
      <c r="R25" s="1560" t="s">
        <v>8</v>
      </c>
      <c r="S25" s="1561">
        <f>F25</f>
        <v>100</v>
      </c>
      <c r="T25" s="1560" t="s">
        <v>8</v>
      </c>
      <c r="U25" s="1561">
        <f>H25</f>
        <v>100</v>
      </c>
      <c r="V25" s="1560" t="s">
        <v>8</v>
      </c>
      <c r="W25" s="1561">
        <f>J25</f>
        <v>100</v>
      </c>
      <c r="X25" s="1554"/>
      <c r="Y25" s="3529"/>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529"/>
      <c r="Q26" s="1559" t="str">
        <f t="shared" si="11"/>
        <v>平面位置/可视性</v>
      </c>
      <c r="R26" s="1560" t="s">
        <v>8</v>
      </c>
      <c r="S26" s="1561">
        <f>F26</f>
        <v>100</v>
      </c>
      <c r="T26" s="1560" t="s">
        <v>8</v>
      </c>
      <c r="U26" s="1561">
        <f>H26</f>
        <v>100</v>
      </c>
      <c r="V26" s="1560" t="s">
        <v>8</v>
      </c>
      <c r="W26" s="1561">
        <f>J26</f>
        <v>100</v>
      </c>
      <c r="X26" s="1554"/>
      <c r="Y26" s="3529"/>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529"/>
      <c r="Q27" s="1147" t="str">
        <f t="shared" si="11"/>
        <v>人流量</v>
      </c>
      <c r="R27" s="1555" t="s">
        <v>8</v>
      </c>
      <c r="S27" s="1556">
        <f>F27</f>
        <v>100</v>
      </c>
      <c r="T27" s="1555" t="s">
        <v>8</v>
      </c>
      <c r="U27" s="1556">
        <f>H27</f>
        <v>100</v>
      </c>
      <c r="V27" s="1555" t="s">
        <v>8</v>
      </c>
      <c r="W27" s="1556">
        <f>J27</f>
        <v>100</v>
      </c>
      <c r="X27" s="1557"/>
      <c r="Y27" s="3529"/>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52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52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529"/>
      <c r="Q29" s="1559">
        <f t="shared" si="11"/>
        <v>111</v>
      </c>
      <c r="R29" s="1560" t="s">
        <v>8</v>
      </c>
      <c r="S29" s="1561">
        <f t="shared" si="12"/>
        <v>100</v>
      </c>
      <c r="T29" s="1560" t="s">
        <v>8</v>
      </c>
      <c r="U29" s="1561">
        <f t="shared" si="13"/>
        <v>100</v>
      </c>
      <c r="V29" s="1560" t="s">
        <v>8</v>
      </c>
      <c r="W29" s="1561">
        <f t="shared" si="14"/>
        <v>100</v>
      </c>
      <c r="X29" s="1554"/>
      <c r="Y29" s="352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529"/>
      <c r="Q30" s="1559">
        <f t="shared" si="11"/>
        <v>111</v>
      </c>
      <c r="R30" s="1560" t="s">
        <v>8</v>
      </c>
      <c r="S30" s="1561">
        <f t="shared" si="12"/>
        <v>100</v>
      </c>
      <c r="T30" s="1560" t="s">
        <v>8</v>
      </c>
      <c r="U30" s="1561">
        <f t="shared" si="13"/>
        <v>100</v>
      </c>
      <c r="V30" s="1560" t="s">
        <v>8</v>
      </c>
      <c r="W30" s="1561">
        <f t="shared" si="14"/>
        <v>100</v>
      </c>
      <c r="X30" s="1554"/>
      <c r="Y30" s="3529"/>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529"/>
      <c r="Q31" s="1559">
        <f t="shared" si="11"/>
        <v>111</v>
      </c>
      <c r="R31" s="1560" t="s">
        <v>8</v>
      </c>
      <c r="S31" s="1561">
        <f t="shared" si="12"/>
        <v>100</v>
      </c>
      <c r="T31" s="1560" t="s">
        <v>8</v>
      </c>
      <c r="U31" s="1561">
        <f t="shared" si="13"/>
        <v>100</v>
      </c>
      <c r="V31" s="1560" t="s">
        <v>8</v>
      </c>
      <c r="W31" s="1561">
        <f t="shared" si="14"/>
        <v>100</v>
      </c>
      <c r="X31" s="1554"/>
      <c r="Y31" s="3529"/>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530" t="s">
        <v>550</v>
      </c>
      <c r="Q32" s="1559" t="str">
        <f t="shared" si="11"/>
        <v>商业类型</v>
      </c>
      <c r="R32" s="1560" t="s">
        <v>8</v>
      </c>
      <c r="S32" s="1561">
        <f t="shared" si="12"/>
        <v>100</v>
      </c>
      <c r="T32" s="1560" t="s">
        <v>8</v>
      </c>
      <c r="U32" s="1561">
        <f t="shared" si="13"/>
        <v>100</v>
      </c>
      <c r="V32" s="1560" t="s">
        <v>8</v>
      </c>
      <c r="W32" s="1561">
        <f t="shared" si="14"/>
        <v>100</v>
      </c>
      <c r="X32" s="1554"/>
      <c r="Y32" s="3531"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531"/>
      <c r="Q33" s="1591" t="str">
        <f t="shared" si="11"/>
        <v>项目建筑规模</v>
      </c>
      <c r="R33" s="1564" t="s">
        <v>8</v>
      </c>
      <c r="S33" s="1565" t="e">
        <f t="shared" si="12"/>
        <v>#N/A</v>
      </c>
      <c r="T33" s="1564" t="s">
        <v>8</v>
      </c>
      <c r="U33" s="1565" t="e">
        <f t="shared" si="13"/>
        <v>#N/A</v>
      </c>
      <c r="V33" s="1564" t="s">
        <v>8</v>
      </c>
      <c r="W33" s="1565" t="e">
        <f t="shared" si="14"/>
        <v>#N/A</v>
      </c>
      <c r="X33" s="1566"/>
      <c r="Y33" s="3531"/>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531"/>
      <c r="Q34" s="1559" t="str">
        <f t="shared" si="11"/>
        <v>建筑结构</v>
      </c>
      <c r="R34" s="1560" t="s">
        <v>8</v>
      </c>
      <c r="S34" s="1561">
        <f t="shared" si="12"/>
        <v>100</v>
      </c>
      <c r="T34" s="1560" t="s">
        <v>8</v>
      </c>
      <c r="U34" s="1561">
        <f t="shared" si="13"/>
        <v>100</v>
      </c>
      <c r="V34" s="1560" t="s">
        <v>8</v>
      </c>
      <c r="W34" s="1561">
        <f t="shared" si="14"/>
        <v>100</v>
      </c>
      <c r="X34" s="1554"/>
      <c r="Y34" s="3531"/>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531"/>
      <c r="Q35" s="1559" t="str">
        <f t="shared" si="11"/>
        <v>公共部分装修</v>
      </c>
      <c r="R35" s="1560" t="s">
        <v>8</v>
      </c>
      <c r="S35" s="1561">
        <f t="shared" si="12"/>
        <v>100</v>
      </c>
      <c r="T35" s="1560" t="s">
        <v>8</v>
      </c>
      <c r="U35" s="1561">
        <f t="shared" si="13"/>
        <v>100</v>
      </c>
      <c r="V35" s="1560" t="s">
        <v>8</v>
      </c>
      <c r="W35" s="1561">
        <f t="shared" si="14"/>
        <v>100</v>
      </c>
      <c r="X35" s="1554"/>
      <c r="Y35" s="3531"/>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531"/>
      <c r="Q36" s="1559" t="str">
        <f t="shared" si="11"/>
        <v>成新度</v>
      </c>
      <c r="R36" s="1560" t="s">
        <v>8</v>
      </c>
      <c r="S36" s="1561" t="e">
        <f t="shared" si="12"/>
        <v>#N/A</v>
      </c>
      <c r="T36" s="1560" t="s">
        <v>8</v>
      </c>
      <c r="U36" s="1561" t="e">
        <f t="shared" si="13"/>
        <v>#N/A</v>
      </c>
      <c r="V36" s="1560" t="s">
        <v>8</v>
      </c>
      <c r="W36" s="1561" t="e">
        <f t="shared" si="14"/>
        <v>#N/A</v>
      </c>
      <c r="X36" s="1554"/>
      <c r="Y36" s="3531"/>
      <c r="Z36" s="1562" t="str">
        <f t="shared" si="15"/>
        <v>成新度</v>
      </c>
      <c r="AA36" s="1563" t="e">
        <f t="shared" si="3"/>
        <v>#N/A</v>
      </c>
      <c r="AB36" s="1563" t="e">
        <f t="shared" si="4"/>
        <v>#N/A</v>
      </c>
      <c r="AC36" s="1563" t="e">
        <f t="shared" si="5"/>
        <v>#N/A</v>
      </c>
    </row>
    <row r="37" spans="1:29" s="1216" customFormat="1" ht="15">
      <c r="A37" s="600"/>
      <c r="B37" s="1881"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531"/>
      <c r="Q37" s="1147" t="str">
        <f t="shared" si="11"/>
        <v>市政基础设施</v>
      </c>
      <c r="R37" s="1555" t="s">
        <v>8</v>
      </c>
      <c r="S37" s="1556">
        <f t="shared" si="12"/>
        <v>100</v>
      </c>
      <c r="T37" s="1555" t="s">
        <v>8</v>
      </c>
      <c r="U37" s="1556">
        <f t="shared" si="13"/>
        <v>100</v>
      </c>
      <c r="V37" s="1555" t="s">
        <v>8</v>
      </c>
      <c r="W37" s="1556">
        <f t="shared" si="14"/>
        <v>100</v>
      </c>
      <c r="X37" s="1557"/>
      <c r="Y37" s="3531"/>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531" t="s">
        <v>766</v>
      </c>
      <c r="Q38" s="1559" t="str">
        <f t="shared" si="11"/>
        <v>业态</v>
      </c>
      <c r="R38" s="1560" t="s">
        <v>8</v>
      </c>
      <c r="S38" s="1561">
        <f t="shared" si="12"/>
        <v>100</v>
      </c>
      <c r="T38" s="1560" t="s">
        <v>8</v>
      </c>
      <c r="U38" s="1561">
        <f t="shared" si="13"/>
        <v>100</v>
      </c>
      <c r="V38" s="1560" t="s">
        <v>8</v>
      </c>
      <c r="W38" s="1561">
        <f t="shared" si="14"/>
        <v>100</v>
      </c>
      <c r="X38" s="1554"/>
      <c r="Y38" s="3531"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531"/>
      <c r="Q39" s="1559" t="str">
        <f t="shared" si="11"/>
        <v>层高</v>
      </c>
      <c r="R39" s="1560" t="s">
        <v>8</v>
      </c>
      <c r="S39" s="1561">
        <f t="shared" si="12"/>
        <v>100</v>
      </c>
      <c r="T39" s="1560" t="s">
        <v>8</v>
      </c>
      <c r="U39" s="1561">
        <f t="shared" si="13"/>
        <v>100</v>
      </c>
      <c r="V39" s="1560" t="s">
        <v>8</v>
      </c>
      <c r="W39" s="1561">
        <f t="shared" si="14"/>
        <v>100</v>
      </c>
      <c r="X39" s="1554"/>
      <c r="Y39" s="3531"/>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531"/>
      <c r="Q40" s="1559" t="str">
        <f t="shared" si="11"/>
        <v>单套建筑面积</v>
      </c>
      <c r="R40" s="1560" t="s">
        <v>8</v>
      </c>
      <c r="S40" s="1561">
        <f t="shared" si="12"/>
        <v>100</v>
      </c>
      <c r="T40" s="1560" t="s">
        <v>8</v>
      </c>
      <c r="U40" s="1561">
        <f t="shared" si="13"/>
        <v>100</v>
      </c>
      <c r="V40" s="1560" t="s">
        <v>8</v>
      </c>
      <c r="W40" s="1561">
        <f t="shared" si="14"/>
        <v>100</v>
      </c>
      <c r="X40" s="1554"/>
      <c r="Y40" s="3531"/>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531"/>
      <c r="Q41" s="1591" t="str">
        <f t="shared" si="11"/>
        <v>进深比</v>
      </c>
      <c r="R41" s="1564" t="s">
        <v>8</v>
      </c>
      <c r="S41" s="1565">
        <f t="shared" si="12"/>
        <v>100</v>
      </c>
      <c r="T41" s="1564" t="s">
        <v>8</v>
      </c>
      <c r="U41" s="1565">
        <f t="shared" si="13"/>
        <v>100</v>
      </c>
      <c r="V41" s="1564" t="s">
        <v>8</v>
      </c>
      <c r="W41" s="1565">
        <f t="shared" si="14"/>
        <v>100</v>
      </c>
      <c r="X41" s="1566"/>
      <c r="Y41" s="3531"/>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531"/>
      <c r="Q42" s="1559" t="str">
        <f t="shared" si="11"/>
        <v>内部装修</v>
      </c>
      <c r="R42" s="1560" t="s">
        <v>8</v>
      </c>
      <c r="S42" s="1561">
        <f t="shared" si="12"/>
        <v>100</v>
      </c>
      <c r="T42" s="1560" t="s">
        <v>8</v>
      </c>
      <c r="U42" s="1561">
        <f t="shared" si="13"/>
        <v>100</v>
      </c>
      <c r="V42" s="1560" t="s">
        <v>8</v>
      </c>
      <c r="W42" s="1561">
        <f t="shared" si="14"/>
        <v>100</v>
      </c>
      <c r="X42" s="1554"/>
      <c r="Y42" s="3531"/>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531"/>
      <c r="Q43" s="1559" t="str">
        <f t="shared" si="11"/>
        <v>内部装修维护情况</v>
      </c>
      <c r="R43" s="1560" t="s">
        <v>8</v>
      </c>
      <c r="S43" s="1561">
        <f t="shared" si="12"/>
        <v>100</v>
      </c>
      <c r="T43" s="1560" t="s">
        <v>8</v>
      </c>
      <c r="U43" s="1561">
        <f t="shared" si="13"/>
        <v>100</v>
      </c>
      <c r="V43" s="1560" t="s">
        <v>8</v>
      </c>
      <c r="W43" s="1561">
        <f t="shared" si="14"/>
        <v>100</v>
      </c>
      <c r="X43" s="1554"/>
      <c r="Y43" s="353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531"/>
      <c r="Q44" s="1147">
        <f t="shared" si="11"/>
        <v>111</v>
      </c>
      <c r="R44" s="1555" t="s">
        <v>8</v>
      </c>
      <c r="S44" s="1556">
        <f t="shared" si="12"/>
        <v>100</v>
      </c>
      <c r="T44" s="1555" t="s">
        <v>8</v>
      </c>
      <c r="U44" s="1556">
        <f t="shared" si="13"/>
        <v>100</v>
      </c>
      <c r="V44" s="1555" t="s">
        <v>8</v>
      </c>
      <c r="W44" s="1556">
        <f t="shared" si="14"/>
        <v>100</v>
      </c>
      <c r="X44" s="1557"/>
      <c r="Y44" s="353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531"/>
      <c r="Q45" s="1559">
        <f t="shared" si="11"/>
        <v>111</v>
      </c>
      <c r="R45" s="1560" t="s">
        <v>8</v>
      </c>
      <c r="S45" s="1561">
        <f t="shared" si="12"/>
        <v>100</v>
      </c>
      <c r="T45" s="1560" t="s">
        <v>8</v>
      </c>
      <c r="U45" s="1561">
        <f t="shared" si="13"/>
        <v>100</v>
      </c>
      <c r="V45" s="1560" t="s">
        <v>8</v>
      </c>
      <c r="W45" s="1561">
        <f t="shared" si="14"/>
        <v>100</v>
      </c>
      <c r="X45" s="1554"/>
      <c r="Y45" s="3531"/>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634"/>
      <c r="Q46" s="1559">
        <f t="shared" si="11"/>
        <v>111</v>
      </c>
      <c r="R46" s="1560" t="s">
        <v>8</v>
      </c>
      <c r="S46" s="1561">
        <f t="shared" si="12"/>
        <v>100</v>
      </c>
      <c r="T46" s="1560" t="s">
        <v>8</v>
      </c>
      <c r="U46" s="1561">
        <f t="shared" si="13"/>
        <v>100</v>
      </c>
      <c r="V46" s="1560" t="s">
        <v>8</v>
      </c>
      <c r="W46" s="1561">
        <f t="shared" si="14"/>
        <v>100</v>
      </c>
      <c r="X46" s="1554"/>
      <c r="Y46" s="3634"/>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94" t="str">
        <f>A47</f>
        <v>成交单价（元/平方米）</v>
      </c>
      <c r="Q47" s="3494"/>
      <c r="R47" s="3633">
        <f>E47</f>
        <v>0</v>
      </c>
      <c r="S47" s="3633"/>
      <c r="T47" s="3633">
        <f>G47</f>
        <v>0</v>
      </c>
      <c r="U47" s="3633"/>
      <c r="V47" s="3633">
        <f>I47</f>
        <v>0</v>
      </c>
      <c r="W47" s="3633"/>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494" t="str">
        <f>A48</f>
        <v>比较价格（元/平方米）</v>
      </c>
      <c r="Q48" s="3494"/>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1546"/>
      <c r="Y48" s="1546"/>
      <c r="Z48" s="1546"/>
      <c r="AA48" s="1546"/>
      <c r="AB48" s="1546"/>
      <c r="AC48" s="1546"/>
    </row>
    <row r="49" spans="1:29" ht="15.75" thickBot="1">
      <c r="A49" s="621" t="s">
        <v>2931</v>
      </c>
      <c r="B49" s="622"/>
      <c r="C49" s="2601" t="e">
        <f>R49</f>
        <v>#DIV/0!</v>
      </c>
      <c r="D49" s="2601"/>
      <c r="E49" s="2601"/>
      <c r="F49" s="2601"/>
      <c r="G49" s="2601"/>
      <c r="H49" s="2601"/>
      <c r="I49" s="2601"/>
      <c r="J49" s="2601"/>
      <c r="K49" s="1599"/>
      <c r="L49" s="2130"/>
      <c r="M49" s="2131"/>
      <c r="N49" s="2120"/>
      <c r="O49" s="2131"/>
      <c r="P49" s="3491" t="str">
        <f>A49</f>
        <v>估价对象XX用房的比较价格（楼面单价，元/平方米）</v>
      </c>
      <c r="Q49" s="3492"/>
      <c r="R49" s="3632" t="e">
        <f>IF(F1="售价",ROUND(AVERAGE(R48:V48),0),ROUND(AVERAGE(R48:V48),1))</f>
        <v>#DIV/0!</v>
      </c>
      <c r="S49" s="3632"/>
      <c r="T49" s="3632"/>
      <c r="U49" s="3632"/>
      <c r="V49" s="3632"/>
      <c r="W49" s="363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2020-5</v>
      </c>
      <c r="D58" s="2760">
        <f>EDATE(C58,-1)</f>
        <v>43922</v>
      </c>
      <c r="E58" s="2760">
        <f t="shared" ref="E58:O58" si="16">EDATE(D58,-1)</f>
        <v>43891</v>
      </c>
      <c r="F58" s="2760">
        <f t="shared" si="16"/>
        <v>43862</v>
      </c>
      <c r="G58" s="2760">
        <f t="shared" si="16"/>
        <v>43831</v>
      </c>
      <c r="H58" s="2760">
        <f t="shared" si="16"/>
        <v>43800</v>
      </c>
      <c r="I58" s="2760">
        <f t="shared" si="16"/>
        <v>43770</v>
      </c>
      <c r="J58" s="2760">
        <f t="shared" si="16"/>
        <v>43739</v>
      </c>
      <c r="K58" s="2760">
        <f t="shared" si="16"/>
        <v>43709</v>
      </c>
      <c r="L58" s="2760">
        <f t="shared" si="16"/>
        <v>43678</v>
      </c>
      <c r="M58" s="2760">
        <f t="shared" si="16"/>
        <v>43647</v>
      </c>
      <c r="N58" s="2760">
        <f t="shared" si="16"/>
        <v>43617</v>
      </c>
      <c r="O58" s="2760">
        <f t="shared" si="16"/>
        <v>43586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2553</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245539.3平方米。根据《建设工程规划许可证》[]、《出让合同》[]，估价对象规划建筑面积为245539.3平方米。</v>
      </c>
    </row>
    <row r="7" spans="1:4" ht="93.75">
      <c r="A7" s="2829" t="s">
        <v>2744</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2024</v>
      </c>
    </row>
    <row r="11" spans="1:4" ht="18.75">
      <c r="A11" s="1766" t="str">
        <f>TEXT(项目基本情况!D3,"yyyy年m月d日;;")&amp;IF(项目基本情况!B3=项目基本情况!D3,"（评估专业人员勘察现场之日）","")</f>
        <v>2020年5月8日（评估专业人员勘察现场之日）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根据《国有土地使用证》[]，估价对象（分摊）出让国有建设用地使用权面积为245539.3平方米。根据《建设工程规划许可证》[]、《出让合同》[]，估价对象规划建筑面积为245539.3平方米。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2745</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5月8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500" t="s">
        <v>522</v>
      </c>
      <c r="D4" s="3501"/>
      <c r="E4" s="3534" t="s">
        <v>523</v>
      </c>
      <c r="F4" s="3535"/>
      <c r="G4" s="3500" t="s">
        <v>524</v>
      </c>
      <c r="H4" s="3501"/>
      <c r="I4" s="3500" t="s">
        <v>525</v>
      </c>
      <c r="J4" s="3501"/>
      <c r="K4" s="514" t="s">
        <v>526</v>
      </c>
      <c r="L4" s="2119"/>
      <c r="M4" s="2120"/>
      <c r="N4" s="2120"/>
      <c r="O4" s="2120"/>
      <c r="P4" s="3636" t="s">
        <v>527</v>
      </c>
      <c r="Q4" s="3503"/>
      <c r="R4" s="3508" t="s">
        <v>523</v>
      </c>
      <c r="S4" s="3509"/>
      <c r="T4" s="3508" t="s">
        <v>524</v>
      </c>
      <c r="U4" s="3509"/>
      <c r="V4" s="3495" t="s">
        <v>525</v>
      </c>
      <c r="W4" s="3495"/>
      <c r="X4" s="1554"/>
      <c r="Y4" s="3508" t="s">
        <v>527</v>
      </c>
      <c r="Z4" s="3509"/>
      <c r="AA4" s="3497" t="s">
        <v>523</v>
      </c>
      <c r="AB4" s="3497" t="s">
        <v>524</v>
      </c>
      <c r="AC4" s="3497" t="s">
        <v>525</v>
      </c>
    </row>
    <row r="5" spans="1:29" ht="15">
      <c r="A5" s="515"/>
      <c r="B5" s="516"/>
      <c r="C5" s="3516" t="s">
        <v>2925</v>
      </c>
      <c r="D5" s="3517"/>
      <c r="E5" s="3536" t="s">
        <v>2926</v>
      </c>
      <c r="F5" s="3537"/>
      <c r="G5" s="3516" t="s">
        <v>2927</v>
      </c>
      <c r="H5" s="3517"/>
      <c r="I5" s="3516" t="s">
        <v>2928</v>
      </c>
      <c r="J5" s="3517"/>
      <c r="K5" s="514"/>
      <c r="L5" s="2119"/>
      <c r="M5" s="2120"/>
      <c r="N5" s="2120"/>
      <c r="O5" s="2120"/>
      <c r="P5" s="3637"/>
      <c r="Q5" s="3505"/>
      <c r="R5" s="3510"/>
      <c r="S5" s="3511"/>
      <c r="T5" s="3510"/>
      <c r="U5" s="3511"/>
      <c r="V5" s="3495"/>
      <c r="W5" s="3495"/>
      <c r="X5" s="1554"/>
      <c r="Y5" s="3510"/>
      <c r="Z5" s="3511"/>
      <c r="AA5" s="3498"/>
      <c r="AB5" s="3498"/>
      <c r="AC5" s="3498"/>
    </row>
    <row r="6" spans="1:29" ht="15.75" thickBot="1">
      <c r="A6" s="517"/>
      <c r="B6" s="518"/>
      <c r="C6" s="3514" t="s">
        <v>2929</v>
      </c>
      <c r="D6" s="3515"/>
      <c r="E6" s="3532" t="s">
        <v>2929</v>
      </c>
      <c r="F6" s="3533"/>
      <c r="G6" s="3514" t="s">
        <v>2929</v>
      </c>
      <c r="H6" s="3515"/>
      <c r="I6" s="3514" t="s">
        <v>2929</v>
      </c>
      <c r="J6" s="3515"/>
      <c r="K6" s="514" t="s">
        <v>528</v>
      </c>
      <c r="L6" s="2119"/>
      <c r="M6" s="2120"/>
      <c r="N6" s="2120"/>
      <c r="O6" s="2120"/>
      <c r="P6" s="3638"/>
      <c r="Q6" s="3507"/>
      <c r="R6" s="3510"/>
      <c r="S6" s="3511"/>
      <c r="T6" s="3512"/>
      <c r="U6" s="3513"/>
      <c r="V6" s="3495"/>
      <c r="W6" s="3495"/>
      <c r="X6" s="1554"/>
      <c r="Y6" s="3512"/>
      <c r="Z6" s="3513"/>
      <c r="AA6" s="3499"/>
      <c r="AB6" s="3499"/>
      <c r="AC6" s="3499"/>
    </row>
    <row r="7" spans="1:29" s="1216" customFormat="1" ht="15.75" thickBot="1">
      <c r="A7" s="2868"/>
      <c r="B7" s="2875" t="s">
        <v>529</v>
      </c>
      <c r="C7" s="519">
        <f>'数据-取费表'!B2</f>
        <v>43959</v>
      </c>
      <c r="D7" s="520">
        <v>100</v>
      </c>
      <c r="E7" s="521"/>
      <c r="F7" s="522">
        <f>SUMIF(59:59,YEAR(E7)&amp;"-"&amp;MONTH(E7),60:60)</f>
        <v>0</v>
      </c>
      <c r="G7" s="521"/>
      <c r="H7" s="520">
        <f>SUMIF(59:59,YEAR(G7)&amp;"-"&amp;MONTH(G7),60:60)</f>
        <v>0</v>
      </c>
      <c r="I7" s="521"/>
      <c r="J7" s="520">
        <f>SUMIF(59:59,YEAR(I7)&amp;"-"&amp;MONTH(I7),60:60)</f>
        <v>0</v>
      </c>
      <c r="K7" s="524"/>
      <c r="L7" s="2121"/>
      <c r="M7" s="2122"/>
      <c r="N7" s="2122"/>
      <c r="O7" s="2122"/>
      <c r="P7" s="3527" t="s">
        <v>530</v>
      </c>
      <c r="Q7" s="3527"/>
      <c r="R7" s="1555" t="s">
        <v>8</v>
      </c>
      <c r="S7" s="1556">
        <f t="shared" ref="S7:S15" si="0">F7</f>
        <v>0</v>
      </c>
      <c r="T7" s="1555" t="s">
        <v>8</v>
      </c>
      <c r="U7" s="1556">
        <f t="shared" ref="U7:U15" si="1">H7</f>
        <v>0</v>
      </c>
      <c r="V7" s="1555" t="s">
        <v>8</v>
      </c>
      <c r="W7" s="1556">
        <f t="shared" ref="W7:W15" si="2">J7</f>
        <v>0</v>
      </c>
      <c r="X7" s="1557"/>
      <c r="Y7" s="3525" t="s">
        <v>530</v>
      </c>
      <c r="Z7" s="3526"/>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527" t="s">
        <v>533</v>
      </c>
      <c r="Q8" s="3526"/>
      <c r="R8" s="1555" t="s">
        <v>8</v>
      </c>
      <c r="S8" s="1556">
        <f t="shared" si="0"/>
        <v>0</v>
      </c>
      <c r="T8" s="1555" t="s">
        <v>8</v>
      </c>
      <c r="U8" s="1556">
        <f t="shared" si="1"/>
        <v>0</v>
      </c>
      <c r="V8" s="1555" t="s">
        <v>8</v>
      </c>
      <c r="W8" s="1556">
        <f t="shared" si="2"/>
        <v>0</v>
      </c>
      <c r="X8" s="1557"/>
      <c r="Y8" s="3525" t="s">
        <v>533</v>
      </c>
      <c r="Z8" s="3526"/>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94" t="s">
        <v>535</v>
      </c>
      <c r="Q9" s="1147" t="str">
        <f t="shared" ref="Q9:Q15" si="6">B9</f>
        <v>用途</v>
      </c>
      <c r="R9" s="1555" t="s">
        <v>8</v>
      </c>
      <c r="S9" s="1556">
        <f t="shared" si="0"/>
        <v>100</v>
      </c>
      <c r="T9" s="1555" t="s">
        <v>8</v>
      </c>
      <c r="U9" s="1556">
        <f t="shared" si="1"/>
        <v>100</v>
      </c>
      <c r="V9" s="1555" t="s">
        <v>8</v>
      </c>
      <c r="W9" s="1556">
        <f t="shared" si="2"/>
        <v>100</v>
      </c>
      <c r="X9" s="1557"/>
      <c r="Y9" s="3440"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94"/>
      <c r="Q10" s="1147" t="str">
        <f t="shared" si="6"/>
        <v>土地使用年限（年）</v>
      </c>
      <c r="R10" s="1555" t="s">
        <v>8</v>
      </c>
      <c r="S10" s="1556">
        <f t="shared" si="0"/>
        <v>100</v>
      </c>
      <c r="T10" s="1555" t="s">
        <v>8</v>
      </c>
      <c r="U10" s="1556">
        <f t="shared" si="1"/>
        <v>100</v>
      </c>
      <c r="V10" s="1555" t="s">
        <v>8</v>
      </c>
      <c r="W10" s="1556">
        <f t="shared" si="2"/>
        <v>100</v>
      </c>
      <c r="X10" s="1557"/>
      <c r="Y10" s="3440"/>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94"/>
      <c r="Q11" s="1147" t="str">
        <f t="shared" si="6"/>
        <v>容积率</v>
      </c>
      <c r="R11" s="1555" t="s">
        <v>8</v>
      </c>
      <c r="S11" s="1556" t="e">
        <f t="shared" si="0"/>
        <v>#N/A</v>
      </c>
      <c r="T11" s="1555" t="s">
        <v>8</v>
      </c>
      <c r="U11" s="1556" t="e">
        <f t="shared" si="1"/>
        <v>#N/A</v>
      </c>
      <c r="V11" s="1555" t="s">
        <v>8</v>
      </c>
      <c r="W11" s="1556" t="e">
        <f t="shared" si="2"/>
        <v>#N/A</v>
      </c>
      <c r="X11" s="1557"/>
      <c r="Y11" s="344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94"/>
      <c r="Q12" s="1147">
        <f t="shared" si="6"/>
        <v>111</v>
      </c>
      <c r="R12" s="1555" t="s">
        <v>8</v>
      </c>
      <c r="S12" s="1556">
        <f t="shared" si="0"/>
        <v>100</v>
      </c>
      <c r="T12" s="1555" t="s">
        <v>8</v>
      </c>
      <c r="U12" s="1556">
        <f t="shared" si="1"/>
        <v>100</v>
      </c>
      <c r="V12" s="1555" t="s">
        <v>8</v>
      </c>
      <c r="W12" s="1556">
        <f t="shared" si="2"/>
        <v>100</v>
      </c>
      <c r="X12" s="1557"/>
      <c r="Y12" s="3440"/>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94"/>
      <c r="Q13" s="1147">
        <f t="shared" si="6"/>
        <v>111</v>
      </c>
      <c r="R13" s="1555" t="s">
        <v>8</v>
      </c>
      <c r="S13" s="1556">
        <f t="shared" si="0"/>
        <v>100</v>
      </c>
      <c r="T13" s="1555" t="s">
        <v>8</v>
      </c>
      <c r="U13" s="1556">
        <f t="shared" si="1"/>
        <v>100</v>
      </c>
      <c r="V13" s="1555" t="s">
        <v>8</v>
      </c>
      <c r="W13" s="1556">
        <f t="shared" si="2"/>
        <v>100</v>
      </c>
      <c r="X13" s="1557"/>
      <c r="Y13" s="3440"/>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94"/>
      <c r="Q14" s="1147">
        <f t="shared" si="6"/>
        <v>111</v>
      </c>
      <c r="R14" s="1555" t="s">
        <v>8</v>
      </c>
      <c r="S14" s="1556">
        <f t="shared" si="0"/>
        <v>100</v>
      </c>
      <c r="T14" s="1555" t="s">
        <v>8</v>
      </c>
      <c r="U14" s="1556">
        <f t="shared" si="1"/>
        <v>100</v>
      </c>
      <c r="V14" s="1555" t="s">
        <v>8</v>
      </c>
      <c r="W14" s="1556">
        <f t="shared" si="2"/>
        <v>100</v>
      </c>
      <c r="X14" s="1557"/>
      <c r="Y14" s="3440"/>
      <c r="Z14" s="1146">
        <f t="shared" si="7"/>
        <v>111</v>
      </c>
      <c r="AA14" s="1558">
        <f t="shared" si="3"/>
        <v>1</v>
      </c>
      <c r="AB14" s="1558">
        <f t="shared" si="4"/>
        <v>1</v>
      </c>
      <c r="AC14" s="1558">
        <f t="shared" si="5"/>
        <v>1</v>
      </c>
    </row>
    <row r="15" spans="1:29" ht="71.25">
      <c r="A15" s="2866"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528" t="s">
        <v>540</v>
      </c>
      <c r="Q15" s="1559" t="str">
        <f t="shared" si="6"/>
        <v>办公集聚程度</v>
      </c>
      <c r="R15" s="1560" t="s">
        <v>8</v>
      </c>
      <c r="S15" s="1561">
        <f t="shared" si="0"/>
        <v>100</v>
      </c>
      <c r="T15" s="1560" t="s">
        <v>8</v>
      </c>
      <c r="U15" s="1561">
        <f t="shared" si="1"/>
        <v>100</v>
      </c>
      <c r="V15" s="1560" t="s">
        <v>8</v>
      </c>
      <c r="W15" s="1561">
        <f t="shared" si="2"/>
        <v>100</v>
      </c>
      <c r="X15" s="1554"/>
      <c r="Y15" s="3528"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529"/>
      <c r="Q16" s="1559"/>
      <c r="R16" s="1560"/>
      <c r="S16" s="1561"/>
      <c r="T16" s="1560"/>
      <c r="U16" s="1561"/>
      <c r="V16" s="1560"/>
      <c r="W16" s="1561"/>
      <c r="X16" s="1554"/>
      <c r="Y16" s="3529"/>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529"/>
      <c r="Q17" s="1559" t="str">
        <f>B17</f>
        <v>交通便捷度</v>
      </c>
      <c r="R17" s="1560" t="s">
        <v>8</v>
      </c>
      <c r="S17" s="1561">
        <f>F17</f>
        <v>100</v>
      </c>
      <c r="T17" s="1560" t="s">
        <v>8</v>
      </c>
      <c r="U17" s="1561">
        <f>H17</f>
        <v>100</v>
      </c>
      <c r="V17" s="1560" t="s">
        <v>8</v>
      </c>
      <c r="W17" s="1561">
        <f>J17</f>
        <v>100</v>
      </c>
      <c r="X17" s="1554"/>
      <c r="Y17" s="352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529"/>
      <c r="Q18" s="1559"/>
      <c r="R18" s="1560"/>
      <c r="S18" s="1561"/>
      <c r="T18" s="1560"/>
      <c r="U18" s="1561"/>
      <c r="V18" s="1560"/>
      <c r="W18" s="1561"/>
      <c r="X18" s="1554"/>
      <c r="Y18" s="3529"/>
      <c r="Z18" s="1562"/>
      <c r="AA18" s="1563">
        <v>1</v>
      </c>
      <c r="AB18" s="1563">
        <v>1</v>
      </c>
      <c r="AC18" s="1563">
        <v>1</v>
      </c>
    </row>
    <row r="19" spans="1:29" ht="42.75">
      <c r="A19" s="532"/>
      <c r="B19" s="2568"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529"/>
      <c r="Q19" s="1559" t="str">
        <f>B19</f>
        <v>公共配套设施</v>
      </c>
      <c r="R19" s="1560" t="s">
        <v>8</v>
      </c>
      <c r="S19" s="1561">
        <f>F19</f>
        <v>100</v>
      </c>
      <c r="T19" s="1560" t="s">
        <v>8</v>
      </c>
      <c r="U19" s="1561">
        <f>H19</f>
        <v>100</v>
      </c>
      <c r="V19" s="1560" t="s">
        <v>8</v>
      </c>
      <c r="W19" s="1561">
        <f>J19</f>
        <v>100</v>
      </c>
      <c r="X19" s="1554"/>
      <c r="Y19" s="352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529"/>
      <c r="Q20" s="1559"/>
      <c r="R20" s="1560"/>
      <c r="S20" s="1561"/>
      <c r="T20" s="1560"/>
      <c r="U20" s="1561"/>
      <c r="V20" s="1560"/>
      <c r="W20" s="1561"/>
      <c r="X20" s="1554"/>
      <c r="Y20" s="3529"/>
      <c r="Z20" s="1562"/>
      <c r="AA20" s="1563">
        <v>1</v>
      </c>
      <c r="AB20" s="1563">
        <v>1</v>
      </c>
      <c r="AC20" s="1563">
        <v>1</v>
      </c>
    </row>
    <row r="21" spans="1:29" ht="28.5">
      <c r="A21" s="532"/>
      <c r="B21" s="2556"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529"/>
      <c r="Q21" s="2544" t="str">
        <f>B21</f>
        <v>基础设施水平</v>
      </c>
      <c r="R21" s="1560" t="s">
        <v>8</v>
      </c>
      <c r="S21" s="1561">
        <f>F21</f>
        <v>100</v>
      </c>
      <c r="T21" s="1560" t="s">
        <v>8</v>
      </c>
      <c r="U21" s="1561">
        <f>H21</f>
        <v>100</v>
      </c>
      <c r="V21" s="1560" t="s">
        <v>8</v>
      </c>
      <c r="W21" s="1561">
        <f>J21</f>
        <v>100</v>
      </c>
      <c r="X21" s="2546"/>
      <c r="Y21" s="3529"/>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529"/>
      <c r="Q22" s="2544"/>
      <c r="R22" s="1560"/>
      <c r="S22" s="1561"/>
      <c r="T22" s="1560"/>
      <c r="U22" s="1561"/>
      <c r="V22" s="1560"/>
      <c r="W22" s="1561"/>
      <c r="X22" s="2546"/>
      <c r="Y22" s="3529"/>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529"/>
      <c r="Q23" s="1559" t="str">
        <f>B23</f>
        <v>环境质量</v>
      </c>
      <c r="R23" s="1560" t="s">
        <v>8</v>
      </c>
      <c r="S23" s="1561">
        <f>F23</f>
        <v>100</v>
      </c>
      <c r="T23" s="1560" t="s">
        <v>8</v>
      </c>
      <c r="U23" s="1561">
        <f>H23</f>
        <v>100</v>
      </c>
      <c r="V23" s="1560" t="s">
        <v>8</v>
      </c>
      <c r="W23" s="1561">
        <f>J23</f>
        <v>100</v>
      </c>
      <c r="X23" s="1554"/>
      <c r="Y23" s="352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529"/>
      <c r="Q24" s="1559"/>
      <c r="R24" s="1560"/>
      <c r="S24" s="1561"/>
      <c r="T24" s="1560"/>
      <c r="U24" s="1561"/>
      <c r="V24" s="1560"/>
      <c r="W24" s="1561"/>
      <c r="X24" s="1554"/>
      <c r="Y24" s="3529"/>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529"/>
      <c r="Q25" s="1559" t="str">
        <f>B25</f>
        <v>毗邻道路的类型与等级</v>
      </c>
      <c r="R25" s="1560" t="s">
        <v>8</v>
      </c>
      <c r="S25" s="1561">
        <f>F25</f>
        <v>100</v>
      </c>
      <c r="T25" s="1560" t="s">
        <v>8</v>
      </c>
      <c r="U25" s="1561">
        <f>H25</f>
        <v>100</v>
      </c>
      <c r="V25" s="1560" t="s">
        <v>8</v>
      </c>
      <c r="W25" s="1561">
        <f>J25</f>
        <v>100</v>
      </c>
      <c r="X25" s="1554"/>
      <c r="Y25" s="352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529"/>
      <c r="Q26" s="1559"/>
      <c r="R26" s="1560"/>
      <c r="S26" s="1561"/>
      <c r="T26" s="1560"/>
      <c r="U26" s="1561"/>
      <c r="V26" s="1560"/>
      <c r="W26" s="1561"/>
      <c r="X26" s="1554"/>
      <c r="Y26" s="3529"/>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529"/>
      <c r="Q27" s="1559" t="str">
        <f t="shared" ref="Q27:Q47" si="11">B27</f>
        <v>楼层</v>
      </c>
      <c r="R27" s="1560" t="s">
        <v>8</v>
      </c>
      <c r="S27" s="1561">
        <f>F27</f>
        <v>100</v>
      </c>
      <c r="T27" s="1560" t="s">
        <v>8</v>
      </c>
      <c r="U27" s="1561">
        <f>H27</f>
        <v>100</v>
      </c>
      <c r="V27" s="1560" t="s">
        <v>8</v>
      </c>
      <c r="W27" s="1561">
        <f>J27</f>
        <v>100</v>
      </c>
      <c r="X27" s="1554"/>
      <c r="Y27" s="3529"/>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529"/>
      <c r="Q28" s="1147" t="str">
        <f t="shared" si="11"/>
        <v>朝向</v>
      </c>
      <c r="R28" s="1555" t="s">
        <v>8</v>
      </c>
      <c r="S28" s="1556">
        <f>F28</f>
        <v>100</v>
      </c>
      <c r="T28" s="1555" t="s">
        <v>8</v>
      </c>
      <c r="U28" s="1556">
        <f>H28</f>
        <v>100</v>
      </c>
      <c r="V28" s="1555" t="s">
        <v>8</v>
      </c>
      <c r="W28" s="1556">
        <f>J28</f>
        <v>100</v>
      </c>
      <c r="X28" s="1557"/>
      <c r="Y28" s="352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529"/>
      <c r="Q29" s="1559">
        <f t="shared" si="11"/>
        <v>111</v>
      </c>
      <c r="R29" s="1560" t="s">
        <v>8</v>
      </c>
      <c r="S29" s="1561">
        <f t="shared" ref="S29:S47" si="12">F29</f>
        <v>100</v>
      </c>
      <c r="T29" s="1560" t="s">
        <v>8</v>
      </c>
      <c r="U29" s="1561">
        <f t="shared" ref="U29:U47" si="13">H29</f>
        <v>100</v>
      </c>
      <c r="V29" s="1560" t="s">
        <v>8</v>
      </c>
      <c r="W29" s="1561">
        <f t="shared" ref="W29:W47" si="14">J29</f>
        <v>100</v>
      </c>
      <c r="X29" s="1554"/>
      <c r="Y29" s="352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529"/>
      <c r="Q30" s="1559">
        <f t="shared" si="11"/>
        <v>111</v>
      </c>
      <c r="R30" s="1560" t="s">
        <v>8</v>
      </c>
      <c r="S30" s="1561">
        <f t="shared" si="12"/>
        <v>100</v>
      </c>
      <c r="T30" s="1560" t="s">
        <v>8</v>
      </c>
      <c r="U30" s="1561">
        <f t="shared" si="13"/>
        <v>100</v>
      </c>
      <c r="V30" s="1560" t="s">
        <v>8</v>
      </c>
      <c r="W30" s="1561">
        <f t="shared" si="14"/>
        <v>100</v>
      </c>
      <c r="X30" s="1554"/>
      <c r="Y30" s="352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529"/>
      <c r="Q31" s="1559">
        <f t="shared" si="11"/>
        <v>111</v>
      </c>
      <c r="R31" s="1560" t="s">
        <v>8</v>
      </c>
      <c r="S31" s="1561">
        <f t="shared" si="12"/>
        <v>100</v>
      </c>
      <c r="T31" s="1560" t="s">
        <v>8</v>
      </c>
      <c r="U31" s="1561">
        <f t="shared" si="13"/>
        <v>100</v>
      </c>
      <c r="V31" s="1560" t="s">
        <v>8</v>
      </c>
      <c r="W31" s="1561">
        <f t="shared" si="14"/>
        <v>100</v>
      </c>
      <c r="X31" s="1554"/>
      <c r="Y31" s="3529"/>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529"/>
      <c r="Q32" s="1559">
        <f t="shared" si="11"/>
        <v>111</v>
      </c>
      <c r="R32" s="1560" t="s">
        <v>8</v>
      </c>
      <c r="S32" s="1561">
        <f t="shared" si="12"/>
        <v>100</v>
      </c>
      <c r="T32" s="1560" t="s">
        <v>8</v>
      </c>
      <c r="U32" s="1561">
        <f t="shared" si="13"/>
        <v>100</v>
      </c>
      <c r="V32" s="1560" t="s">
        <v>8</v>
      </c>
      <c r="W32" s="1561">
        <f t="shared" si="14"/>
        <v>100</v>
      </c>
      <c r="X32" s="1554"/>
      <c r="Y32" s="3529"/>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530" t="s">
        <v>550</v>
      </c>
      <c r="Q33" s="1559" t="str">
        <f t="shared" si="11"/>
        <v>建筑类型</v>
      </c>
      <c r="R33" s="1560" t="s">
        <v>8</v>
      </c>
      <c r="S33" s="1561">
        <f t="shared" si="12"/>
        <v>100</v>
      </c>
      <c r="T33" s="1560" t="s">
        <v>8</v>
      </c>
      <c r="U33" s="1561">
        <f t="shared" si="13"/>
        <v>100</v>
      </c>
      <c r="V33" s="1560" t="s">
        <v>8</v>
      </c>
      <c r="W33" s="1561">
        <f t="shared" si="14"/>
        <v>100</v>
      </c>
      <c r="X33" s="1554"/>
      <c r="Y33" s="3531"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531"/>
      <c r="Q34" s="1591" t="str">
        <f t="shared" si="11"/>
        <v>项目建筑规模</v>
      </c>
      <c r="R34" s="1564" t="s">
        <v>8</v>
      </c>
      <c r="S34" s="1565" t="e">
        <f t="shared" si="12"/>
        <v>#N/A</v>
      </c>
      <c r="T34" s="1564" t="s">
        <v>8</v>
      </c>
      <c r="U34" s="1565" t="e">
        <f t="shared" si="13"/>
        <v>#N/A</v>
      </c>
      <c r="V34" s="1564" t="s">
        <v>8</v>
      </c>
      <c r="W34" s="1565" t="e">
        <f t="shared" si="14"/>
        <v>#N/A</v>
      </c>
      <c r="X34" s="1566"/>
      <c r="Y34" s="3531"/>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531"/>
      <c r="Q35" s="1559" t="str">
        <f t="shared" si="11"/>
        <v>建筑结构</v>
      </c>
      <c r="R35" s="1560" t="s">
        <v>8</v>
      </c>
      <c r="S35" s="1561">
        <f t="shared" si="12"/>
        <v>100</v>
      </c>
      <c r="T35" s="1560" t="s">
        <v>8</v>
      </c>
      <c r="U35" s="1561">
        <f t="shared" si="13"/>
        <v>100</v>
      </c>
      <c r="V35" s="1560" t="s">
        <v>8</v>
      </c>
      <c r="W35" s="1561">
        <f t="shared" si="14"/>
        <v>100</v>
      </c>
      <c r="X35" s="1554"/>
      <c r="Y35" s="3531"/>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531"/>
      <c r="Q36" s="1559" t="str">
        <f t="shared" si="11"/>
        <v>公共部分装修</v>
      </c>
      <c r="R36" s="1560" t="s">
        <v>8</v>
      </c>
      <c r="S36" s="1561">
        <f t="shared" si="12"/>
        <v>100</v>
      </c>
      <c r="T36" s="1560" t="s">
        <v>8</v>
      </c>
      <c r="U36" s="1561">
        <f t="shared" si="13"/>
        <v>100</v>
      </c>
      <c r="V36" s="1560" t="s">
        <v>8</v>
      </c>
      <c r="W36" s="1561">
        <f t="shared" si="14"/>
        <v>100</v>
      </c>
      <c r="X36" s="1554"/>
      <c r="Y36" s="3531"/>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531"/>
      <c r="Q37" s="1559" t="str">
        <f t="shared" si="11"/>
        <v>成新度</v>
      </c>
      <c r="R37" s="1560" t="s">
        <v>8</v>
      </c>
      <c r="S37" s="1561" t="e">
        <f t="shared" si="12"/>
        <v>#N/A</v>
      </c>
      <c r="T37" s="1560" t="s">
        <v>8</v>
      </c>
      <c r="U37" s="1561" t="e">
        <f t="shared" si="13"/>
        <v>#N/A</v>
      </c>
      <c r="V37" s="1560" t="s">
        <v>8</v>
      </c>
      <c r="W37" s="1561" t="e">
        <f t="shared" si="14"/>
        <v>#N/A</v>
      </c>
      <c r="X37" s="1554"/>
      <c r="Y37" s="3531"/>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531"/>
      <c r="Q38" s="1147" t="str">
        <f t="shared" si="11"/>
        <v>写字楼等级</v>
      </c>
      <c r="R38" s="1555" t="s">
        <v>8</v>
      </c>
      <c r="S38" s="1556">
        <f t="shared" si="12"/>
        <v>100</v>
      </c>
      <c r="T38" s="1555" t="s">
        <v>8</v>
      </c>
      <c r="U38" s="1556">
        <f t="shared" si="13"/>
        <v>100</v>
      </c>
      <c r="V38" s="1555" t="s">
        <v>8</v>
      </c>
      <c r="W38" s="1556">
        <f t="shared" si="14"/>
        <v>100</v>
      </c>
      <c r="X38" s="1557"/>
      <c r="Y38" s="3531"/>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531" t="s">
        <v>550</v>
      </c>
      <c r="Q39" s="1559" t="str">
        <f t="shared" si="11"/>
        <v>物业管理</v>
      </c>
      <c r="R39" s="1560" t="s">
        <v>8</v>
      </c>
      <c r="S39" s="1561">
        <f t="shared" si="12"/>
        <v>100</v>
      </c>
      <c r="T39" s="1560" t="s">
        <v>8</v>
      </c>
      <c r="U39" s="1561">
        <f t="shared" si="13"/>
        <v>100</v>
      </c>
      <c r="V39" s="1560" t="s">
        <v>8</v>
      </c>
      <c r="W39" s="1561">
        <f t="shared" si="14"/>
        <v>100</v>
      </c>
      <c r="X39" s="1554"/>
      <c r="Y39" s="3531" t="s">
        <v>550</v>
      </c>
      <c r="Z39" s="1562" t="str">
        <f t="shared" si="15"/>
        <v>物业管理</v>
      </c>
      <c r="AA39" s="1563">
        <f t="shared" si="3"/>
        <v>1</v>
      </c>
      <c r="AB39" s="1563">
        <f t="shared" si="4"/>
        <v>1</v>
      </c>
      <c r="AC39" s="1563">
        <f t="shared" si="5"/>
        <v>1</v>
      </c>
    </row>
    <row r="40" spans="1:29" ht="15">
      <c r="A40" s="594"/>
      <c r="B40" s="1881"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531"/>
      <c r="Q40" s="1559" t="str">
        <f t="shared" si="11"/>
        <v>市政基础设施</v>
      </c>
      <c r="R40" s="1560" t="s">
        <v>8</v>
      </c>
      <c r="S40" s="1561">
        <f t="shared" si="12"/>
        <v>100</v>
      </c>
      <c r="T40" s="1560" t="s">
        <v>8</v>
      </c>
      <c r="U40" s="1561">
        <f t="shared" si="13"/>
        <v>100</v>
      </c>
      <c r="V40" s="1560" t="s">
        <v>8</v>
      </c>
      <c r="W40" s="1561">
        <f t="shared" si="14"/>
        <v>100</v>
      </c>
      <c r="X40" s="1554"/>
      <c r="Y40" s="3531"/>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531"/>
      <c r="Q41" s="1559" t="str">
        <f t="shared" si="11"/>
        <v>层高</v>
      </c>
      <c r="R41" s="1560" t="s">
        <v>8</v>
      </c>
      <c r="S41" s="1561">
        <f t="shared" si="12"/>
        <v>100</v>
      </c>
      <c r="T41" s="1560" t="s">
        <v>8</v>
      </c>
      <c r="U41" s="1561">
        <f t="shared" si="13"/>
        <v>100</v>
      </c>
      <c r="V41" s="1560" t="s">
        <v>8</v>
      </c>
      <c r="W41" s="1561">
        <f t="shared" si="14"/>
        <v>100</v>
      </c>
      <c r="X41" s="1554"/>
      <c r="Y41" s="3531"/>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531"/>
      <c r="Q42" s="1591" t="str">
        <f t="shared" si="11"/>
        <v>单套建筑面积</v>
      </c>
      <c r="R42" s="1564" t="s">
        <v>8</v>
      </c>
      <c r="S42" s="1565">
        <f t="shared" si="12"/>
        <v>100</v>
      </c>
      <c r="T42" s="1564" t="s">
        <v>8</v>
      </c>
      <c r="U42" s="1565">
        <f t="shared" si="13"/>
        <v>100</v>
      </c>
      <c r="V42" s="1564" t="s">
        <v>8</v>
      </c>
      <c r="W42" s="1565">
        <f t="shared" si="14"/>
        <v>100</v>
      </c>
      <c r="X42" s="1566"/>
      <c r="Y42" s="3531"/>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531"/>
      <c r="Q43" s="1559" t="str">
        <f t="shared" si="11"/>
        <v>内部装修</v>
      </c>
      <c r="R43" s="1560" t="s">
        <v>8</v>
      </c>
      <c r="S43" s="1561">
        <f t="shared" si="12"/>
        <v>100</v>
      </c>
      <c r="T43" s="1560" t="s">
        <v>8</v>
      </c>
      <c r="U43" s="1561">
        <f t="shared" si="13"/>
        <v>100</v>
      </c>
      <c r="V43" s="1560" t="s">
        <v>8</v>
      </c>
      <c r="W43" s="1561">
        <f t="shared" si="14"/>
        <v>100</v>
      </c>
      <c r="X43" s="1554"/>
      <c r="Y43" s="3531"/>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531"/>
      <c r="Q44" s="1559" t="str">
        <f t="shared" si="11"/>
        <v>内部装修维护情况</v>
      </c>
      <c r="R44" s="1560" t="s">
        <v>8</v>
      </c>
      <c r="S44" s="1561">
        <f t="shared" si="12"/>
        <v>100</v>
      </c>
      <c r="T44" s="1560" t="s">
        <v>8</v>
      </c>
      <c r="U44" s="1561">
        <f t="shared" si="13"/>
        <v>100</v>
      </c>
      <c r="V44" s="1560" t="s">
        <v>8</v>
      </c>
      <c r="W44" s="1561">
        <f t="shared" si="14"/>
        <v>100</v>
      </c>
      <c r="X44" s="1554"/>
      <c r="Y44" s="3531"/>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531"/>
      <c r="Q45" s="1147">
        <f t="shared" si="11"/>
        <v>111</v>
      </c>
      <c r="R45" s="1555" t="s">
        <v>8</v>
      </c>
      <c r="S45" s="1556">
        <f t="shared" si="12"/>
        <v>100</v>
      </c>
      <c r="T45" s="1555" t="s">
        <v>8</v>
      </c>
      <c r="U45" s="1556">
        <f t="shared" si="13"/>
        <v>100</v>
      </c>
      <c r="V45" s="1555" t="s">
        <v>8</v>
      </c>
      <c r="W45" s="1556">
        <f t="shared" si="14"/>
        <v>100</v>
      </c>
      <c r="X45" s="1557"/>
      <c r="Y45" s="3531"/>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531"/>
      <c r="Q46" s="1559">
        <f t="shared" si="11"/>
        <v>111</v>
      </c>
      <c r="R46" s="1560" t="s">
        <v>8</v>
      </c>
      <c r="S46" s="1561">
        <f t="shared" si="12"/>
        <v>100</v>
      </c>
      <c r="T46" s="1560" t="s">
        <v>8</v>
      </c>
      <c r="U46" s="1561">
        <f t="shared" si="13"/>
        <v>100</v>
      </c>
      <c r="V46" s="1560" t="s">
        <v>8</v>
      </c>
      <c r="W46" s="1561">
        <f t="shared" si="14"/>
        <v>100</v>
      </c>
      <c r="X46" s="1554"/>
      <c r="Y46" s="3531"/>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634"/>
      <c r="Q47" s="1559">
        <f t="shared" si="11"/>
        <v>111</v>
      </c>
      <c r="R47" s="1560" t="s">
        <v>8</v>
      </c>
      <c r="S47" s="1561">
        <f t="shared" si="12"/>
        <v>100</v>
      </c>
      <c r="T47" s="1560" t="s">
        <v>8</v>
      </c>
      <c r="U47" s="1561">
        <f t="shared" si="13"/>
        <v>100</v>
      </c>
      <c r="V47" s="1560" t="s">
        <v>8</v>
      </c>
      <c r="W47" s="1561">
        <f t="shared" si="14"/>
        <v>100</v>
      </c>
      <c r="X47" s="1554"/>
      <c r="Y47" s="3634"/>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92" t="str">
        <f>A48</f>
        <v>成交单价（元/平方米）</v>
      </c>
      <c r="Q48" s="3494"/>
      <c r="R48" s="3633">
        <f>E48</f>
        <v>0</v>
      </c>
      <c r="S48" s="3633"/>
      <c r="T48" s="3633">
        <f>G48</f>
        <v>0</v>
      </c>
      <c r="U48" s="3633"/>
      <c r="V48" s="3633">
        <f>I48</f>
        <v>0</v>
      </c>
      <c r="W48" s="3633"/>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92" t="str">
        <f>A49</f>
        <v>比较价格（元/平方米）</v>
      </c>
      <c r="Q49" s="3494"/>
      <c r="R49" s="3633" t="e">
        <f>IF(F1="售价",ROUND(PRODUCT(R48,AA7:AA47),0),ROUND(PRODUCT(R48,AA7:AA47),1))</f>
        <v>#DIV/0!</v>
      </c>
      <c r="S49" s="3633"/>
      <c r="T49" s="3633" t="e">
        <f>IF(F1="售价",ROUND(PRODUCT(T48,AB7:AB47),0),ROUND(PRODUCT(T48,AB7:AB47),1))</f>
        <v>#DIV/0!</v>
      </c>
      <c r="U49" s="3633"/>
      <c r="V49" s="3633" t="e">
        <f>IF(F1="售价",ROUND(PRODUCT(V48,AC7:AC47),0),ROUND(PRODUCT(V48,AC7:AC47),1))</f>
        <v>#DIV/0!</v>
      </c>
      <c r="W49" s="3633"/>
      <c r="X49" s="1546"/>
      <c r="Y49" s="1546"/>
      <c r="Z49" s="1546"/>
      <c r="AA49" s="1546"/>
      <c r="AB49" s="1546"/>
      <c r="AC49" s="1546"/>
    </row>
    <row r="50" spans="1:29" ht="15.75" thickBot="1">
      <c r="A50" s="621" t="s">
        <v>2931</v>
      </c>
      <c r="B50" s="622"/>
      <c r="C50" s="2601" t="e">
        <f>R50</f>
        <v>#DIV/0!</v>
      </c>
      <c r="D50" s="2601"/>
      <c r="E50" s="2601"/>
      <c r="F50" s="2601"/>
      <c r="G50" s="2601"/>
      <c r="H50" s="2601"/>
      <c r="I50" s="2601"/>
      <c r="J50" s="2601"/>
      <c r="K50" s="1599"/>
      <c r="L50" s="2130"/>
      <c r="M50" s="2120"/>
      <c r="N50" s="2120"/>
      <c r="O50" s="2120"/>
      <c r="P50" s="3635" t="str">
        <f>A50</f>
        <v>估价对象XX用房的比较价格（楼面单价，元/平方米）</v>
      </c>
      <c r="Q50" s="3492"/>
      <c r="R50" s="3632" t="e">
        <f>IF(F1="售价",ROUND(AVERAGE(R49:V49),0),ROUND(AVERAGE(R49:V49),1))</f>
        <v>#DIV/0!</v>
      </c>
      <c r="S50" s="3632"/>
      <c r="T50" s="3632"/>
      <c r="U50" s="3632"/>
      <c r="V50" s="3632"/>
      <c r="W50" s="3632"/>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2020-5</v>
      </c>
      <c r="D59" s="2760">
        <f>EDATE(C59,-1)</f>
        <v>43922</v>
      </c>
      <c r="E59" s="2760">
        <f t="shared" ref="E59:O59" si="16">EDATE(D59,-1)</f>
        <v>43891</v>
      </c>
      <c r="F59" s="2760">
        <f t="shared" si="16"/>
        <v>43862</v>
      </c>
      <c r="G59" s="2760">
        <f t="shared" si="16"/>
        <v>43831</v>
      </c>
      <c r="H59" s="2760">
        <f t="shared" si="16"/>
        <v>43800</v>
      </c>
      <c r="I59" s="2760">
        <f t="shared" si="16"/>
        <v>43770</v>
      </c>
      <c r="J59" s="2760">
        <f t="shared" si="16"/>
        <v>43739</v>
      </c>
      <c r="K59" s="2760">
        <f t="shared" si="16"/>
        <v>43709</v>
      </c>
      <c r="L59" s="2760">
        <f t="shared" si="16"/>
        <v>43678</v>
      </c>
      <c r="M59" s="2760">
        <f t="shared" si="16"/>
        <v>43647</v>
      </c>
      <c r="N59" s="2760">
        <f t="shared" si="16"/>
        <v>43617</v>
      </c>
      <c r="O59" s="2760">
        <f t="shared" si="16"/>
        <v>43586</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2554</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2555</v>
      </c>
      <c r="C83" s="2563" t="s">
        <v>2556</v>
      </c>
      <c r="D83" s="2563" t="s">
        <v>2557</v>
      </c>
      <c r="E83" s="2563" t="s">
        <v>2558</v>
      </c>
      <c r="F83" s="2563" t="s">
        <v>2559</v>
      </c>
      <c r="G83" s="2563" t="s">
        <v>2560</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2553</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500" t="s">
        <v>522</v>
      </c>
      <c r="D4" s="3501"/>
      <c r="E4" s="3534" t="s">
        <v>523</v>
      </c>
      <c r="F4" s="3535"/>
      <c r="G4" s="3500" t="s">
        <v>524</v>
      </c>
      <c r="H4" s="3501"/>
      <c r="I4" s="3500" t="s">
        <v>525</v>
      </c>
      <c r="J4" s="3501"/>
      <c r="K4" s="514" t="s">
        <v>526</v>
      </c>
      <c r="L4" s="2119"/>
      <c r="M4" s="2120"/>
      <c r="N4" s="2120"/>
      <c r="O4" s="2120"/>
      <c r="P4" s="3502" t="s">
        <v>527</v>
      </c>
      <c r="Q4" s="3503"/>
      <c r="R4" s="3508" t="s">
        <v>523</v>
      </c>
      <c r="S4" s="3509"/>
      <c r="T4" s="3508" t="s">
        <v>524</v>
      </c>
      <c r="U4" s="3509"/>
      <c r="V4" s="3495" t="s">
        <v>525</v>
      </c>
      <c r="W4" s="3495"/>
      <c r="X4" s="1554"/>
      <c r="Y4" s="3508" t="s">
        <v>527</v>
      </c>
      <c r="Z4" s="3509"/>
      <c r="AA4" s="3497" t="s">
        <v>523</v>
      </c>
      <c r="AB4" s="3498" t="s">
        <v>524</v>
      </c>
      <c r="AC4" s="3497" t="s">
        <v>525</v>
      </c>
    </row>
    <row r="5" spans="1:29" ht="15">
      <c r="A5" s="515"/>
      <c r="B5" s="516"/>
      <c r="C5" s="3516" t="s">
        <v>2925</v>
      </c>
      <c r="D5" s="3517"/>
      <c r="E5" s="3536" t="s">
        <v>2926</v>
      </c>
      <c r="F5" s="3537"/>
      <c r="G5" s="3516" t="s">
        <v>2927</v>
      </c>
      <c r="H5" s="3517"/>
      <c r="I5" s="3516" t="s">
        <v>2928</v>
      </c>
      <c r="J5" s="3517"/>
      <c r="K5" s="514"/>
      <c r="L5" s="2119"/>
      <c r="M5" s="2120"/>
      <c r="N5" s="2120"/>
      <c r="O5" s="2120"/>
      <c r="P5" s="3504"/>
      <c r="Q5" s="3505"/>
      <c r="R5" s="3510"/>
      <c r="S5" s="3511"/>
      <c r="T5" s="3510"/>
      <c r="U5" s="3511"/>
      <c r="V5" s="3495"/>
      <c r="W5" s="3495"/>
      <c r="X5" s="1554"/>
      <c r="Y5" s="3510"/>
      <c r="Z5" s="3511"/>
      <c r="AA5" s="3498"/>
      <c r="AB5" s="3498"/>
      <c r="AC5" s="3498"/>
    </row>
    <row r="6" spans="1:29" ht="15.75" thickBot="1">
      <c r="A6" s="517"/>
      <c r="B6" s="518"/>
      <c r="C6" s="3514" t="s">
        <v>2929</v>
      </c>
      <c r="D6" s="3515"/>
      <c r="E6" s="3532" t="s">
        <v>2929</v>
      </c>
      <c r="F6" s="3533"/>
      <c r="G6" s="3514" t="s">
        <v>2929</v>
      </c>
      <c r="H6" s="3515"/>
      <c r="I6" s="3514" t="s">
        <v>2929</v>
      </c>
      <c r="J6" s="3515"/>
      <c r="K6" s="514" t="s">
        <v>528</v>
      </c>
      <c r="L6" s="2119"/>
      <c r="M6" s="2120"/>
      <c r="N6" s="2120"/>
      <c r="O6" s="2120"/>
      <c r="P6" s="3506"/>
      <c r="Q6" s="3507"/>
      <c r="R6" s="3510"/>
      <c r="S6" s="3511"/>
      <c r="T6" s="3512"/>
      <c r="U6" s="3513"/>
      <c r="V6" s="3495"/>
      <c r="W6" s="3495"/>
      <c r="X6" s="1554"/>
      <c r="Y6" s="3512"/>
      <c r="Z6" s="3513"/>
      <c r="AA6" s="3499"/>
      <c r="AB6" s="3499"/>
      <c r="AC6" s="3499"/>
    </row>
    <row r="7" spans="1:29" s="1216" customFormat="1" ht="15.75" thickBot="1">
      <c r="A7" s="2868"/>
      <c r="B7" s="2875" t="s">
        <v>529</v>
      </c>
      <c r="C7" s="519">
        <f>'数据-取费表'!B2</f>
        <v>43959</v>
      </c>
      <c r="D7" s="520">
        <v>100</v>
      </c>
      <c r="E7" s="521"/>
      <c r="F7" s="522">
        <f>SUMIF(52:52,YEAR(E7)&amp;"-"&amp;MONTH(E7),53:53)</f>
        <v>0</v>
      </c>
      <c r="G7" s="521"/>
      <c r="H7" s="520">
        <f>SUMIF(52:52,YEAR(G7)&amp;"-"&amp;MONTH(G7),53:53)</f>
        <v>0</v>
      </c>
      <c r="I7" s="521"/>
      <c r="J7" s="520">
        <f>SUMIF(52:52,YEAR(I7)&amp;"-"&amp;MONTH(I7),53:53)</f>
        <v>0</v>
      </c>
      <c r="K7" s="524"/>
      <c r="L7" s="2121"/>
      <c r="M7" s="2122"/>
      <c r="N7" s="2122"/>
      <c r="O7" s="2122"/>
      <c r="P7" s="3525" t="s">
        <v>530</v>
      </c>
      <c r="Q7" s="3527"/>
      <c r="R7" s="1555" t="s">
        <v>8</v>
      </c>
      <c r="S7" s="1556">
        <f t="shared" ref="S7:S15" si="0">F7</f>
        <v>0</v>
      </c>
      <c r="T7" s="1555" t="s">
        <v>8</v>
      </c>
      <c r="U7" s="1556">
        <f t="shared" ref="U7:U15" si="1">H7</f>
        <v>0</v>
      </c>
      <c r="V7" s="1555" t="s">
        <v>8</v>
      </c>
      <c r="W7" s="1556">
        <f t="shared" ref="W7:W15" si="2">J7</f>
        <v>0</v>
      </c>
      <c r="X7" s="1557"/>
      <c r="Y7" s="3525" t="s">
        <v>530</v>
      </c>
      <c r="Z7" s="3526"/>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525" t="s">
        <v>533</v>
      </c>
      <c r="Q8" s="3526"/>
      <c r="R8" s="1555" t="s">
        <v>8</v>
      </c>
      <c r="S8" s="1556">
        <f t="shared" si="0"/>
        <v>0</v>
      </c>
      <c r="T8" s="1555" t="s">
        <v>8</v>
      </c>
      <c r="U8" s="1556">
        <f t="shared" si="1"/>
        <v>0</v>
      </c>
      <c r="V8" s="1555" t="s">
        <v>8</v>
      </c>
      <c r="W8" s="1556">
        <f t="shared" si="2"/>
        <v>0</v>
      </c>
      <c r="X8" s="1557"/>
      <c r="Y8" s="3525" t="s">
        <v>533</v>
      </c>
      <c r="Z8" s="3526"/>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94" t="s">
        <v>535</v>
      </c>
      <c r="Q9" s="1147" t="str">
        <f t="shared" ref="Q9:Q15" si="6">B9</f>
        <v>用途</v>
      </c>
      <c r="R9" s="1555" t="s">
        <v>8</v>
      </c>
      <c r="S9" s="1556">
        <f t="shared" si="0"/>
        <v>100</v>
      </c>
      <c r="T9" s="1555" t="s">
        <v>8</v>
      </c>
      <c r="U9" s="1556">
        <f t="shared" si="1"/>
        <v>100</v>
      </c>
      <c r="V9" s="1555" t="s">
        <v>8</v>
      </c>
      <c r="W9" s="1556">
        <f t="shared" si="2"/>
        <v>100</v>
      </c>
      <c r="X9" s="1557"/>
      <c r="Y9" s="3440"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94"/>
      <c r="Q10" s="1147" t="str">
        <f t="shared" si="6"/>
        <v>土地使用年限（年）</v>
      </c>
      <c r="R10" s="1555" t="s">
        <v>8</v>
      </c>
      <c r="S10" s="1556">
        <f t="shared" si="0"/>
        <v>100</v>
      </c>
      <c r="T10" s="1555" t="s">
        <v>8</v>
      </c>
      <c r="U10" s="1556">
        <f t="shared" si="1"/>
        <v>100</v>
      </c>
      <c r="V10" s="1555" t="s">
        <v>8</v>
      </c>
      <c r="W10" s="1556">
        <f t="shared" si="2"/>
        <v>100</v>
      </c>
      <c r="X10" s="1557"/>
      <c r="Y10" s="3440"/>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94"/>
      <c r="Q11" s="1147" t="str">
        <f t="shared" si="6"/>
        <v>容积率</v>
      </c>
      <c r="R11" s="1555" t="s">
        <v>8</v>
      </c>
      <c r="S11" s="1556" t="e">
        <f t="shared" si="0"/>
        <v>#N/A</v>
      </c>
      <c r="T11" s="1555" t="s">
        <v>8</v>
      </c>
      <c r="U11" s="1556" t="e">
        <f t="shared" si="1"/>
        <v>#N/A</v>
      </c>
      <c r="V11" s="1555" t="s">
        <v>8</v>
      </c>
      <c r="W11" s="1556" t="e">
        <f t="shared" si="2"/>
        <v>#N/A</v>
      </c>
      <c r="X11" s="1557"/>
      <c r="Y11" s="344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94"/>
      <c r="Q12" s="1147">
        <f t="shared" si="6"/>
        <v>111</v>
      </c>
      <c r="R12" s="1555" t="s">
        <v>8</v>
      </c>
      <c r="S12" s="1556">
        <f t="shared" si="0"/>
        <v>100</v>
      </c>
      <c r="T12" s="1555" t="s">
        <v>8</v>
      </c>
      <c r="U12" s="1556">
        <f t="shared" si="1"/>
        <v>100</v>
      </c>
      <c r="V12" s="1555" t="s">
        <v>8</v>
      </c>
      <c r="W12" s="1556">
        <f t="shared" si="2"/>
        <v>100</v>
      </c>
      <c r="X12" s="1557"/>
      <c r="Y12" s="3440"/>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94"/>
      <c r="Q13" s="1147">
        <f t="shared" si="6"/>
        <v>111</v>
      </c>
      <c r="R13" s="1555" t="s">
        <v>8</v>
      </c>
      <c r="S13" s="1556">
        <f t="shared" si="0"/>
        <v>100</v>
      </c>
      <c r="T13" s="1555" t="s">
        <v>8</v>
      </c>
      <c r="U13" s="1556">
        <f t="shared" si="1"/>
        <v>100</v>
      </c>
      <c r="V13" s="1555" t="s">
        <v>8</v>
      </c>
      <c r="W13" s="1556">
        <f t="shared" si="2"/>
        <v>100</v>
      </c>
      <c r="X13" s="1557"/>
      <c r="Y13" s="3440"/>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94"/>
      <c r="Q14" s="1147">
        <f t="shared" si="6"/>
        <v>111</v>
      </c>
      <c r="R14" s="1555" t="s">
        <v>8</v>
      </c>
      <c r="S14" s="1556">
        <f t="shared" si="0"/>
        <v>100</v>
      </c>
      <c r="T14" s="1555" t="s">
        <v>8</v>
      </c>
      <c r="U14" s="1556">
        <f t="shared" si="1"/>
        <v>100</v>
      </c>
      <c r="V14" s="1555" t="s">
        <v>8</v>
      </c>
      <c r="W14" s="1556">
        <f t="shared" si="2"/>
        <v>100</v>
      </c>
      <c r="X14" s="1557"/>
      <c r="Y14" s="3440"/>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528" t="s">
        <v>540</v>
      </c>
      <c r="Q15" s="1559" t="str">
        <f t="shared" si="6"/>
        <v>产业集聚程度</v>
      </c>
      <c r="R15" s="1560" t="s">
        <v>8</v>
      </c>
      <c r="S15" s="1561">
        <f t="shared" si="0"/>
        <v>100</v>
      </c>
      <c r="T15" s="1560" t="s">
        <v>8</v>
      </c>
      <c r="U15" s="1561">
        <f t="shared" si="1"/>
        <v>100</v>
      </c>
      <c r="V15" s="1560" t="s">
        <v>8</v>
      </c>
      <c r="W15" s="1561">
        <f t="shared" si="2"/>
        <v>100</v>
      </c>
      <c r="X15" s="1554"/>
      <c r="Y15" s="3528"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529"/>
      <c r="Q16" s="1559"/>
      <c r="R16" s="1560"/>
      <c r="S16" s="1561"/>
      <c r="T16" s="1560"/>
      <c r="U16" s="1561"/>
      <c r="V16" s="1560"/>
      <c r="W16" s="1561"/>
      <c r="X16" s="1554"/>
      <c r="Y16" s="3529"/>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529"/>
      <c r="Q17" s="1559" t="str">
        <f>B17</f>
        <v>交通便捷度</v>
      </c>
      <c r="R17" s="1560" t="s">
        <v>8</v>
      </c>
      <c r="S17" s="1561">
        <f>F17</f>
        <v>100</v>
      </c>
      <c r="T17" s="1560" t="s">
        <v>8</v>
      </c>
      <c r="U17" s="1561">
        <f>H17</f>
        <v>100</v>
      </c>
      <c r="V17" s="1560" t="s">
        <v>8</v>
      </c>
      <c r="W17" s="1561">
        <f>J17</f>
        <v>100</v>
      </c>
      <c r="X17" s="1554"/>
      <c r="Y17" s="352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529"/>
      <c r="Q18" s="1559"/>
      <c r="R18" s="1560"/>
      <c r="S18" s="1561"/>
      <c r="T18" s="1560"/>
      <c r="U18" s="1561"/>
      <c r="V18" s="1560"/>
      <c r="W18" s="1561"/>
      <c r="X18" s="1554"/>
      <c r="Y18" s="3529"/>
      <c r="Z18" s="1562"/>
      <c r="AA18" s="1563">
        <v>1</v>
      </c>
      <c r="AB18" s="1563">
        <v>1</v>
      </c>
      <c r="AC18" s="1563">
        <v>1</v>
      </c>
    </row>
    <row r="19" spans="1:29" ht="42.75">
      <c r="A19" s="532"/>
      <c r="B19" s="2568"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529"/>
      <c r="Q19" s="1559" t="str">
        <f>B19</f>
        <v>公共配套设施</v>
      </c>
      <c r="R19" s="1560" t="s">
        <v>8</v>
      </c>
      <c r="S19" s="1561">
        <f>F19</f>
        <v>100</v>
      </c>
      <c r="T19" s="1560" t="s">
        <v>8</v>
      </c>
      <c r="U19" s="1561">
        <f>H19</f>
        <v>100</v>
      </c>
      <c r="V19" s="1560" t="s">
        <v>8</v>
      </c>
      <c r="W19" s="1561">
        <f>J19</f>
        <v>100</v>
      </c>
      <c r="X19" s="1554"/>
      <c r="Y19" s="352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529"/>
      <c r="Q20" s="1559"/>
      <c r="R20" s="1560"/>
      <c r="S20" s="1561"/>
      <c r="T20" s="1560"/>
      <c r="U20" s="1561"/>
      <c r="V20" s="1560"/>
      <c r="W20" s="1561"/>
      <c r="X20" s="1554"/>
      <c r="Y20" s="3529"/>
      <c r="Z20" s="1562"/>
      <c r="AA20" s="1563">
        <v>1</v>
      </c>
      <c r="AB20" s="1563">
        <v>1</v>
      </c>
      <c r="AC20" s="1563">
        <v>1</v>
      </c>
    </row>
    <row r="21" spans="1:29" ht="28.5">
      <c r="A21" s="532"/>
      <c r="B21" s="2556"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529"/>
      <c r="Q21" s="2544" t="str">
        <f>B21</f>
        <v>基础设施水平</v>
      </c>
      <c r="R21" s="1560" t="s">
        <v>8</v>
      </c>
      <c r="S21" s="1561">
        <f>F21</f>
        <v>100</v>
      </c>
      <c r="T21" s="1560" t="s">
        <v>8</v>
      </c>
      <c r="U21" s="1561">
        <f>H21</f>
        <v>100</v>
      </c>
      <c r="V21" s="1560" t="s">
        <v>8</v>
      </c>
      <c r="W21" s="1561">
        <f>J21</f>
        <v>100</v>
      </c>
      <c r="X21" s="2546"/>
      <c r="Y21" s="3529"/>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529"/>
      <c r="Q22" s="2544"/>
      <c r="R22" s="1560"/>
      <c r="S22" s="1561"/>
      <c r="T22" s="1560"/>
      <c r="U22" s="1561"/>
      <c r="V22" s="1560"/>
      <c r="W22" s="1561"/>
      <c r="X22" s="2546"/>
      <c r="Y22" s="3529"/>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529"/>
      <c r="Q23" s="1559" t="str">
        <f>B23</f>
        <v>环境质量</v>
      </c>
      <c r="R23" s="1560" t="s">
        <v>8</v>
      </c>
      <c r="S23" s="1561">
        <f>F23</f>
        <v>100</v>
      </c>
      <c r="T23" s="1560" t="s">
        <v>8</v>
      </c>
      <c r="U23" s="1561">
        <f>H23</f>
        <v>100</v>
      </c>
      <c r="V23" s="1560" t="s">
        <v>8</v>
      </c>
      <c r="W23" s="1561">
        <f>J23</f>
        <v>100</v>
      </c>
      <c r="X23" s="1554"/>
      <c r="Y23" s="352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529"/>
      <c r="Q24" s="1559"/>
      <c r="R24" s="1560"/>
      <c r="S24" s="1561"/>
      <c r="T24" s="1560"/>
      <c r="U24" s="1561"/>
      <c r="V24" s="1560"/>
      <c r="W24" s="1561"/>
      <c r="X24" s="1554"/>
      <c r="Y24" s="352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529"/>
      <c r="Q25" s="1559">
        <f>B25</f>
        <v>111</v>
      </c>
      <c r="R25" s="1560" t="s">
        <v>8</v>
      </c>
      <c r="S25" s="1561">
        <f>F25</f>
        <v>100</v>
      </c>
      <c r="T25" s="1560" t="s">
        <v>8</v>
      </c>
      <c r="U25" s="1561">
        <f>H25</f>
        <v>100</v>
      </c>
      <c r="V25" s="1560" t="s">
        <v>8</v>
      </c>
      <c r="W25" s="1561">
        <f>J25</f>
        <v>100</v>
      </c>
      <c r="X25" s="1554"/>
      <c r="Y25" s="352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529"/>
      <c r="Q26" s="1559">
        <f t="shared" ref="Q26:Q40" si="11">B26</f>
        <v>111</v>
      </c>
      <c r="R26" s="1560" t="s">
        <v>8</v>
      </c>
      <c r="S26" s="1561">
        <f>F26</f>
        <v>100</v>
      </c>
      <c r="T26" s="1560" t="s">
        <v>8</v>
      </c>
      <c r="U26" s="1561">
        <f>H26</f>
        <v>100</v>
      </c>
      <c r="V26" s="1560" t="s">
        <v>8</v>
      </c>
      <c r="W26" s="1561">
        <f>J26</f>
        <v>100</v>
      </c>
      <c r="X26" s="1554"/>
      <c r="Y26" s="352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529"/>
      <c r="Q27" s="1147">
        <f t="shared" si="11"/>
        <v>111</v>
      </c>
      <c r="R27" s="1555" t="s">
        <v>8</v>
      </c>
      <c r="S27" s="1556">
        <f>F27</f>
        <v>100</v>
      </c>
      <c r="T27" s="1555" t="s">
        <v>8</v>
      </c>
      <c r="U27" s="1556">
        <f>H27</f>
        <v>100</v>
      </c>
      <c r="V27" s="1555" t="s">
        <v>8</v>
      </c>
      <c r="W27" s="1556">
        <f>J27</f>
        <v>100</v>
      </c>
      <c r="X27" s="1557"/>
      <c r="Y27" s="352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529"/>
      <c r="Q28" s="1559">
        <f t="shared" si="11"/>
        <v>111</v>
      </c>
      <c r="R28" s="1560" t="s">
        <v>8</v>
      </c>
      <c r="S28" s="1561">
        <f t="shared" ref="S28:S40" si="12">F28</f>
        <v>100</v>
      </c>
      <c r="T28" s="1560" t="s">
        <v>8</v>
      </c>
      <c r="U28" s="1561">
        <f t="shared" ref="U28:U40" si="13">H28</f>
        <v>100</v>
      </c>
      <c r="V28" s="1560" t="s">
        <v>8</v>
      </c>
      <c r="W28" s="1561">
        <f t="shared" ref="W28:W40" si="14">J28</f>
        <v>100</v>
      </c>
      <c r="X28" s="1554"/>
      <c r="Y28" s="3529"/>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530" t="s">
        <v>550</v>
      </c>
      <c r="Q29" s="1559" t="str">
        <f t="shared" si="11"/>
        <v>建筑类型</v>
      </c>
      <c r="R29" s="1560" t="s">
        <v>8</v>
      </c>
      <c r="S29" s="1561">
        <f t="shared" si="12"/>
        <v>100</v>
      </c>
      <c r="T29" s="1560" t="s">
        <v>8</v>
      </c>
      <c r="U29" s="1561">
        <f t="shared" si="13"/>
        <v>100</v>
      </c>
      <c r="V29" s="1560" t="s">
        <v>8</v>
      </c>
      <c r="W29" s="1561">
        <f t="shared" si="14"/>
        <v>100</v>
      </c>
      <c r="X29" s="1554"/>
      <c r="Y29" s="3531"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531"/>
      <c r="Q30" s="1591" t="str">
        <f t="shared" si="11"/>
        <v>项目建筑规模</v>
      </c>
      <c r="R30" s="1564" t="s">
        <v>8</v>
      </c>
      <c r="S30" s="1565" t="e">
        <f t="shared" si="12"/>
        <v>#N/A</v>
      </c>
      <c r="T30" s="1564" t="s">
        <v>8</v>
      </c>
      <c r="U30" s="1565" t="e">
        <f t="shared" si="13"/>
        <v>#N/A</v>
      </c>
      <c r="V30" s="1564" t="s">
        <v>8</v>
      </c>
      <c r="W30" s="1565" t="e">
        <f t="shared" si="14"/>
        <v>#N/A</v>
      </c>
      <c r="X30" s="1566"/>
      <c r="Y30" s="3531"/>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531"/>
      <c r="Q31" s="1559" t="str">
        <f t="shared" si="11"/>
        <v>建筑结构</v>
      </c>
      <c r="R31" s="1560" t="s">
        <v>8</v>
      </c>
      <c r="S31" s="1561">
        <f t="shared" si="12"/>
        <v>100</v>
      </c>
      <c r="T31" s="1560" t="s">
        <v>8</v>
      </c>
      <c r="U31" s="1561">
        <f t="shared" si="13"/>
        <v>100</v>
      </c>
      <c r="V31" s="1560" t="s">
        <v>8</v>
      </c>
      <c r="W31" s="1561">
        <f t="shared" si="14"/>
        <v>100</v>
      </c>
      <c r="X31" s="1554"/>
      <c r="Y31" s="3531"/>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531"/>
      <c r="Q32" s="1559" t="str">
        <f t="shared" si="11"/>
        <v>公共部分装修</v>
      </c>
      <c r="R32" s="1560" t="s">
        <v>8</v>
      </c>
      <c r="S32" s="1561">
        <f t="shared" si="12"/>
        <v>100</v>
      </c>
      <c r="T32" s="1560" t="s">
        <v>8</v>
      </c>
      <c r="U32" s="1561">
        <f t="shared" si="13"/>
        <v>100</v>
      </c>
      <c r="V32" s="1560" t="s">
        <v>8</v>
      </c>
      <c r="W32" s="1561">
        <f t="shared" si="14"/>
        <v>100</v>
      </c>
      <c r="X32" s="1554"/>
      <c r="Y32" s="3531"/>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531"/>
      <c r="Q33" s="1559" t="str">
        <f t="shared" si="11"/>
        <v>成新度</v>
      </c>
      <c r="R33" s="1560" t="s">
        <v>8</v>
      </c>
      <c r="S33" s="1561" t="e">
        <f t="shared" si="12"/>
        <v>#N/A</v>
      </c>
      <c r="T33" s="1560" t="s">
        <v>8</v>
      </c>
      <c r="U33" s="1561" t="e">
        <f t="shared" si="13"/>
        <v>#N/A</v>
      </c>
      <c r="V33" s="1560" t="s">
        <v>8</v>
      </c>
      <c r="W33" s="1561" t="e">
        <f t="shared" si="14"/>
        <v>#N/A</v>
      </c>
      <c r="X33" s="1554"/>
      <c r="Y33" s="3531"/>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531"/>
      <c r="Q34" s="1147" t="str">
        <f t="shared" si="11"/>
        <v>物业管理</v>
      </c>
      <c r="R34" s="1555" t="s">
        <v>8</v>
      </c>
      <c r="S34" s="1556">
        <f t="shared" si="12"/>
        <v>100</v>
      </c>
      <c r="T34" s="1555" t="s">
        <v>8</v>
      </c>
      <c r="U34" s="1556">
        <f t="shared" si="13"/>
        <v>100</v>
      </c>
      <c r="V34" s="1555" t="s">
        <v>8</v>
      </c>
      <c r="W34" s="1556">
        <f t="shared" si="14"/>
        <v>100</v>
      </c>
      <c r="X34" s="1557"/>
      <c r="Y34" s="3531"/>
      <c r="Z34" s="1146" t="str">
        <f t="shared" si="15"/>
        <v>物业管理</v>
      </c>
      <c r="AA34" s="1558">
        <f t="shared" si="3"/>
        <v>1</v>
      </c>
      <c r="AB34" s="1558">
        <f t="shared" si="4"/>
        <v>1</v>
      </c>
      <c r="AC34" s="1558">
        <f t="shared" si="5"/>
        <v>1</v>
      </c>
    </row>
    <row r="35" spans="1:29" ht="15">
      <c r="A35" s="594"/>
      <c r="B35" s="1881"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531" t="s">
        <v>550</v>
      </c>
      <c r="Q35" s="1559" t="str">
        <f t="shared" si="11"/>
        <v>市政基础设施</v>
      </c>
      <c r="R35" s="1560" t="s">
        <v>8</v>
      </c>
      <c r="S35" s="1561">
        <f t="shared" si="12"/>
        <v>100</v>
      </c>
      <c r="T35" s="1560" t="s">
        <v>8</v>
      </c>
      <c r="U35" s="1561">
        <f t="shared" si="13"/>
        <v>100</v>
      </c>
      <c r="V35" s="1560" t="s">
        <v>8</v>
      </c>
      <c r="W35" s="1561">
        <f t="shared" si="14"/>
        <v>100</v>
      </c>
      <c r="X35" s="1554"/>
      <c r="Y35" s="3531"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531"/>
      <c r="Q36" s="1559" t="str">
        <f t="shared" si="11"/>
        <v>内部装修</v>
      </c>
      <c r="R36" s="1560" t="s">
        <v>8</v>
      </c>
      <c r="S36" s="1561">
        <f t="shared" si="12"/>
        <v>100</v>
      </c>
      <c r="T36" s="1560" t="s">
        <v>8</v>
      </c>
      <c r="U36" s="1561">
        <f t="shared" si="13"/>
        <v>100</v>
      </c>
      <c r="V36" s="1560" t="s">
        <v>8</v>
      </c>
      <c r="W36" s="1561">
        <f t="shared" si="14"/>
        <v>100</v>
      </c>
      <c r="X36" s="1554"/>
      <c r="Y36" s="3531"/>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531"/>
      <c r="Q37" s="1559" t="str">
        <f t="shared" si="11"/>
        <v>内部装修状况</v>
      </c>
      <c r="R37" s="1560" t="s">
        <v>8</v>
      </c>
      <c r="S37" s="1561">
        <f t="shared" si="12"/>
        <v>100</v>
      </c>
      <c r="T37" s="1560" t="s">
        <v>8</v>
      </c>
      <c r="U37" s="1561">
        <f t="shared" si="13"/>
        <v>100</v>
      </c>
      <c r="V37" s="1560" t="s">
        <v>8</v>
      </c>
      <c r="W37" s="1561">
        <f t="shared" si="14"/>
        <v>100</v>
      </c>
      <c r="X37" s="1554"/>
      <c r="Y37" s="3531"/>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531"/>
      <c r="Q38" s="1591">
        <f t="shared" si="11"/>
        <v>111</v>
      </c>
      <c r="R38" s="1564" t="s">
        <v>8</v>
      </c>
      <c r="S38" s="1565">
        <f t="shared" si="12"/>
        <v>100</v>
      </c>
      <c r="T38" s="1564" t="s">
        <v>8</v>
      </c>
      <c r="U38" s="1565">
        <f t="shared" si="13"/>
        <v>100</v>
      </c>
      <c r="V38" s="1564" t="s">
        <v>8</v>
      </c>
      <c r="W38" s="1565">
        <f t="shared" si="14"/>
        <v>100</v>
      </c>
      <c r="X38" s="1566"/>
      <c r="Y38" s="3531"/>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531"/>
      <c r="Q39" s="1559">
        <f t="shared" si="11"/>
        <v>111</v>
      </c>
      <c r="R39" s="1560" t="s">
        <v>8</v>
      </c>
      <c r="S39" s="1561">
        <f t="shared" si="12"/>
        <v>100</v>
      </c>
      <c r="T39" s="1560" t="s">
        <v>8</v>
      </c>
      <c r="U39" s="1561">
        <f t="shared" si="13"/>
        <v>100</v>
      </c>
      <c r="V39" s="1560" t="s">
        <v>8</v>
      </c>
      <c r="W39" s="1561">
        <f t="shared" si="14"/>
        <v>100</v>
      </c>
      <c r="X39" s="1554"/>
      <c r="Y39" s="3531"/>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634"/>
      <c r="Q40" s="1559">
        <f t="shared" si="11"/>
        <v>111</v>
      </c>
      <c r="R40" s="1560" t="s">
        <v>8</v>
      </c>
      <c r="S40" s="1561">
        <f t="shared" si="12"/>
        <v>100</v>
      </c>
      <c r="T40" s="1560" t="s">
        <v>8</v>
      </c>
      <c r="U40" s="1561">
        <f t="shared" si="13"/>
        <v>100</v>
      </c>
      <c r="V40" s="1560" t="s">
        <v>8</v>
      </c>
      <c r="W40" s="1561">
        <f t="shared" si="14"/>
        <v>100</v>
      </c>
      <c r="X40" s="1554"/>
      <c r="Y40" s="3634"/>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94" t="str">
        <f>A41</f>
        <v>成交单价（元/平方米）</v>
      </c>
      <c r="Q41" s="3494"/>
      <c r="R41" s="3633">
        <f>E41</f>
        <v>0</v>
      </c>
      <c r="S41" s="3633"/>
      <c r="T41" s="3633">
        <f>G41</f>
        <v>0</v>
      </c>
      <c r="U41" s="3633"/>
      <c r="V41" s="3633">
        <f>I41</f>
        <v>0</v>
      </c>
      <c r="W41" s="3633"/>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494" t="str">
        <f>A42</f>
        <v>比较价格（元/平方米）</v>
      </c>
      <c r="Q42" s="3494"/>
      <c r="R42" s="3633" t="e">
        <f>IF(F1="售价",ROUND(PRODUCT(R41,AA7:AA40),0),ROUND(PRODUCT(R41,AA7:AA40),1))</f>
        <v>#DIV/0!</v>
      </c>
      <c r="S42" s="3633"/>
      <c r="T42" s="3633" t="e">
        <f>IF(F1="售价",ROUND(PRODUCT(T41,AB7:AB40),0),ROUND(PRODUCT(T41,AB7:AB40),1))</f>
        <v>#DIV/0!</v>
      </c>
      <c r="U42" s="3633"/>
      <c r="V42" s="3633" t="e">
        <f>IF(F1="售价",ROUND(PRODUCT(V41,AC7:AC40),0),ROUND(PRODUCT(V41,AC7:AC40),1))</f>
        <v>#DIV/0!</v>
      </c>
      <c r="W42" s="3633"/>
      <c r="X42" s="1546"/>
      <c r="Y42" s="1546"/>
      <c r="Z42" s="1546"/>
      <c r="AA42" s="1546"/>
      <c r="AB42" s="1546"/>
      <c r="AC42" s="1546"/>
    </row>
    <row r="43" spans="1:29" ht="15.75" thickBot="1">
      <c r="A43" s="621" t="s">
        <v>2931</v>
      </c>
      <c r="B43" s="622"/>
      <c r="C43" s="2601" t="e">
        <f>R43</f>
        <v>#DIV/0!</v>
      </c>
      <c r="D43" s="2601"/>
      <c r="E43" s="2601"/>
      <c r="F43" s="2601"/>
      <c r="G43" s="2601"/>
      <c r="H43" s="2601"/>
      <c r="I43" s="2601"/>
      <c r="J43" s="2601"/>
      <c r="K43" s="1599"/>
      <c r="L43" s="2130"/>
      <c r="M43" s="2131"/>
      <c r="N43" s="2131"/>
      <c r="O43" s="2131"/>
      <c r="P43" s="3491" t="str">
        <f>A43</f>
        <v>估价对象XX用房的比较价格（楼面单价，元/平方米）</v>
      </c>
      <c r="Q43" s="3492"/>
      <c r="R43" s="3632" t="e">
        <f>IF(F1="售价",ROUND(AVERAGE(R42:V42),0),ROUND(AVERAGE(R42:V42),1))</f>
        <v>#DIV/0!</v>
      </c>
      <c r="S43" s="3632"/>
      <c r="T43" s="3632"/>
      <c r="U43" s="3632"/>
      <c r="V43" s="3632"/>
      <c r="W43" s="3632"/>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2020-5</v>
      </c>
      <c r="D52" s="2760">
        <f>EDATE(C52,-1)</f>
        <v>43922</v>
      </c>
      <c r="E52" s="2760">
        <f t="shared" ref="E52:O52" si="16">EDATE(D52,-1)</f>
        <v>43891</v>
      </c>
      <c r="F52" s="2760">
        <f t="shared" si="16"/>
        <v>43862</v>
      </c>
      <c r="G52" s="2760">
        <f t="shared" si="16"/>
        <v>43831</v>
      </c>
      <c r="H52" s="2760">
        <f t="shared" si="16"/>
        <v>43800</v>
      </c>
      <c r="I52" s="2760">
        <f t="shared" si="16"/>
        <v>43770</v>
      </c>
      <c r="J52" s="2760">
        <f t="shared" si="16"/>
        <v>43739</v>
      </c>
      <c r="K52" s="2760">
        <f t="shared" si="16"/>
        <v>43709</v>
      </c>
      <c r="L52" s="2760">
        <f t="shared" si="16"/>
        <v>43678</v>
      </c>
      <c r="M52" s="2760">
        <f t="shared" si="16"/>
        <v>43647</v>
      </c>
      <c r="N52" s="2760">
        <f t="shared" si="16"/>
        <v>43617</v>
      </c>
      <c r="O52" s="2760">
        <f t="shared" si="16"/>
        <v>43586</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2554</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2555</v>
      </c>
      <c r="C76" s="2563" t="s">
        <v>2556</v>
      </c>
      <c r="D76" s="2563" t="s">
        <v>2557</v>
      </c>
      <c r="E76" s="2563" t="s">
        <v>2558</v>
      </c>
      <c r="F76" s="2563" t="s">
        <v>2559</v>
      </c>
      <c r="G76" s="2563" t="s">
        <v>2560</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2553</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500" t="s">
        <v>798</v>
      </c>
      <c r="D4" s="3501"/>
      <c r="E4" s="3500" t="s">
        <v>799</v>
      </c>
      <c r="F4" s="3501"/>
      <c r="G4" s="3500" t="s">
        <v>800</v>
      </c>
      <c r="H4" s="3501"/>
      <c r="I4" s="3500" t="s">
        <v>801</v>
      </c>
      <c r="J4" s="3501"/>
      <c r="K4" s="514" t="s">
        <v>802</v>
      </c>
      <c r="L4" s="2119"/>
      <c r="M4" s="2120"/>
      <c r="N4" s="2120"/>
      <c r="O4" s="2120"/>
      <c r="P4" s="3502" t="s">
        <v>803</v>
      </c>
      <c r="Q4" s="3503"/>
      <c r="R4" s="3508" t="s">
        <v>799</v>
      </c>
      <c r="S4" s="3509"/>
      <c r="T4" s="3508" t="s">
        <v>800</v>
      </c>
      <c r="U4" s="3509"/>
      <c r="V4" s="3495" t="s">
        <v>801</v>
      </c>
      <c r="W4" s="3495"/>
      <c r="X4" s="1554"/>
      <c r="Y4" s="3508" t="s">
        <v>803</v>
      </c>
      <c r="Z4" s="3509"/>
      <c r="AA4" s="3497" t="s">
        <v>799</v>
      </c>
      <c r="AB4" s="3498" t="s">
        <v>800</v>
      </c>
      <c r="AC4" s="3497" t="s">
        <v>801</v>
      </c>
    </row>
    <row r="5" spans="1:29" ht="15">
      <c r="A5" s="515"/>
      <c r="B5" s="516"/>
      <c r="C5" s="3516" t="s">
        <v>2925</v>
      </c>
      <c r="D5" s="3517"/>
      <c r="E5" s="3516" t="s">
        <v>2926</v>
      </c>
      <c r="F5" s="3517"/>
      <c r="G5" s="3516" t="s">
        <v>2927</v>
      </c>
      <c r="H5" s="3517"/>
      <c r="I5" s="3516" t="s">
        <v>2928</v>
      </c>
      <c r="J5" s="3517"/>
      <c r="K5" s="514"/>
      <c r="L5" s="2119"/>
      <c r="M5" s="2120"/>
      <c r="N5" s="2120"/>
      <c r="O5" s="2120"/>
      <c r="P5" s="3504"/>
      <c r="Q5" s="3505"/>
      <c r="R5" s="3510"/>
      <c r="S5" s="3511"/>
      <c r="T5" s="3510"/>
      <c r="U5" s="3511"/>
      <c r="V5" s="3495"/>
      <c r="W5" s="3495"/>
      <c r="X5" s="1554"/>
      <c r="Y5" s="3510"/>
      <c r="Z5" s="3511"/>
      <c r="AA5" s="3498"/>
      <c r="AB5" s="3498"/>
      <c r="AC5" s="3498"/>
    </row>
    <row r="6" spans="1:29" ht="15.75" thickBot="1">
      <c r="A6" s="517"/>
      <c r="B6" s="518"/>
      <c r="C6" s="3514" t="s">
        <v>2929</v>
      </c>
      <c r="D6" s="3515"/>
      <c r="E6" s="3518" t="s">
        <v>2929</v>
      </c>
      <c r="F6" s="3519"/>
      <c r="G6" s="3514" t="s">
        <v>2929</v>
      </c>
      <c r="H6" s="3515"/>
      <c r="I6" s="3514" t="s">
        <v>2929</v>
      </c>
      <c r="J6" s="3515"/>
      <c r="K6" s="514" t="s">
        <v>528</v>
      </c>
      <c r="L6" s="2119"/>
      <c r="M6" s="2120"/>
      <c r="N6" s="2120"/>
      <c r="O6" s="2120"/>
      <c r="P6" s="3506"/>
      <c r="Q6" s="3507"/>
      <c r="R6" s="3510"/>
      <c r="S6" s="3511"/>
      <c r="T6" s="3512"/>
      <c r="U6" s="3513"/>
      <c r="V6" s="3495"/>
      <c r="W6" s="3495"/>
      <c r="X6" s="1554"/>
      <c r="Y6" s="3512"/>
      <c r="Z6" s="3513"/>
      <c r="AA6" s="3499"/>
      <c r="AB6" s="3499"/>
      <c r="AC6" s="3499"/>
    </row>
    <row r="7" spans="1:29" s="1216" customFormat="1" ht="15.75" thickBot="1">
      <c r="A7" s="2868"/>
      <c r="B7" s="2875" t="s">
        <v>529</v>
      </c>
      <c r="C7" s="519">
        <f>'数据-取费表'!B2</f>
        <v>43959</v>
      </c>
      <c r="D7" s="520">
        <v>100</v>
      </c>
      <c r="E7" s="521"/>
      <c r="F7" s="522">
        <f>SUMIF(48:48,YEAR(E7)&amp;"-"&amp;MONTH(E7),49:49)</f>
        <v>0</v>
      </c>
      <c r="G7" s="523"/>
      <c r="H7" s="520">
        <f>SUMIF(48:48,YEAR(G7)&amp;"-"&amp;MONTH(G7),49:49)</f>
        <v>0</v>
      </c>
      <c r="I7" s="523"/>
      <c r="J7" s="520">
        <f>SUMIF(48:48,YEAR(I7)&amp;"-"&amp;MONTH(I7),49:49)</f>
        <v>0</v>
      </c>
      <c r="K7" s="524"/>
      <c r="L7" s="2121"/>
      <c r="M7" s="2122"/>
      <c r="N7" s="2122"/>
      <c r="O7" s="2122"/>
      <c r="P7" s="3525" t="s">
        <v>530</v>
      </c>
      <c r="Q7" s="3527"/>
      <c r="R7" s="1555" t="s">
        <v>8</v>
      </c>
      <c r="S7" s="1556">
        <f t="shared" ref="S7:S14" si="0">F7</f>
        <v>0</v>
      </c>
      <c r="T7" s="1555" t="s">
        <v>8</v>
      </c>
      <c r="U7" s="1556">
        <f t="shared" ref="U7:U14" si="1">H7</f>
        <v>0</v>
      </c>
      <c r="V7" s="1555" t="s">
        <v>8</v>
      </c>
      <c r="W7" s="1556">
        <f t="shared" ref="W7:W14" si="2">J7</f>
        <v>0</v>
      </c>
      <c r="X7" s="1557"/>
      <c r="Y7" s="3525" t="s">
        <v>530</v>
      </c>
      <c r="Z7" s="3526"/>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525" t="s">
        <v>533</v>
      </c>
      <c r="Q8" s="3526"/>
      <c r="R8" s="1555" t="s">
        <v>8</v>
      </c>
      <c r="S8" s="1556">
        <f t="shared" si="0"/>
        <v>0</v>
      </c>
      <c r="T8" s="1555" t="s">
        <v>8</v>
      </c>
      <c r="U8" s="1556">
        <f t="shared" si="1"/>
        <v>0</v>
      </c>
      <c r="V8" s="1555" t="s">
        <v>8</v>
      </c>
      <c r="W8" s="1556">
        <f t="shared" si="2"/>
        <v>0</v>
      </c>
      <c r="X8" s="1557"/>
      <c r="Y8" s="3525" t="s">
        <v>533</v>
      </c>
      <c r="Z8" s="3526"/>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94" t="s">
        <v>535</v>
      </c>
      <c r="Q9" s="1147" t="str">
        <f t="shared" ref="Q9:Q14" si="6">B9</f>
        <v>用途</v>
      </c>
      <c r="R9" s="1555" t="s">
        <v>8</v>
      </c>
      <c r="S9" s="1556">
        <f t="shared" si="0"/>
        <v>100</v>
      </c>
      <c r="T9" s="1555" t="s">
        <v>8</v>
      </c>
      <c r="U9" s="1556">
        <f t="shared" si="1"/>
        <v>100</v>
      </c>
      <c r="V9" s="1555" t="s">
        <v>8</v>
      </c>
      <c r="W9" s="1556">
        <f t="shared" si="2"/>
        <v>100</v>
      </c>
      <c r="X9" s="1557"/>
      <c r="Y9" s="3440"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94"/>
      <c r="Q10" s="1147" t="str">
        <f t="shared" si="6"/>
        <v>土地使用年限（年）</v>
      </c>
      <c r="R10" s="1555" t="s">
        <v>8</v>
      </c>
      <c r="S10" s="1556">
        <f t="shared" si="0"/>
        <v>100</v>
      </c>
      <c r="T10" s="1555" t="s">
        <v>8</v>
      </c>
      <c r="U10" s="1556">
        <f t="shared" si="1"/>
        <v>100</v>
      </c>
      <c r="V10" s="1555" t="s">
        <v>8</v>
      </c>
      <c r="W10" s="1556">
        <f t="shared" si="2"/>
        <v>100</v>
      </c>
      <c r="X10" s="1557"/>
      <c r="Y10" s="3440"/>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94"/>
      <c r="Q11" s="1147">
        <f t="shared" si="6"/>
        <v>111</v>
      </c>
      <c r="R11" s="1555" t="s">
        <v>8</v>
      </c>
      <c r="S11" s="1556">
        <f t="shared" si="0"/>
        <v>100</v>
      </c>
      <c r="T11" s="1555" t="s">
        <v>8</v>
      </c>
      <c r="U11" s="1556">
        <f t="shared" si="1"/>
        <v>100</v>
      </c>
      <c r="V11" s="1555" t="s">
        <v>8</v>
      </c>
      <c r="W11" s="1556">
        <f t="shared" si="2"/>
        <v>100</v>
      </c>
      <c r="X11" s="1557"/>
      <c r="Y11" s="3440"/>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94"/>
      <c r="Q12" s="1147">
        <f t="shared" si="6"/>
        <v>111</v>
      </c>
      <c r="R12" s="1555" t="s">
        <v>8</v>
      </c>
      <c r="S12" s="1556">
        <f t="shared" si="0"/>
        <v>100</v>
      </c>
      <c r="T12" s="1555" t="s">
        <v>8</v>
      </c>
      <c r="U12" s="1556">
        <f t="shared" si="1"/>
        <v>100</v>
      </c>
      <c r="V12" s="1555" t="s">
        <v>8</v>
      </c>
      <c r="W12" s="1556">
        <f t="shared" si="2"/>
        <v>100</v>
      </c>
      <c r="X12" s="1557"/>
      <c r="Y12" s="3440"/>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94"/>
      <c r="Q13" s="1147">
        <f t="shared" si="6"/>
        <v>111</v>
      </c>
      <c r="R13" s="1555" t="s">
        <v>8</v>
      </c>
      <c r="S13" s="1556">
        <f t="shared" si="0"/>
        <v>100</v>
      </c>
      <c r="T13" s="1555" t="s">
        <v>8</v>
      </c>
      <c r="U13" s="1556">
        <f t="shared" si="1"/>
        <v>100</v>
      </c>
      <c r="V13" s="1555" t="s">
        <v>8</v>
      </c>
      <c r="W13" s="1556">
        <f t="shared" si="2"/>
        <v>100</v>
      </c>
      <c r="X13" s="1557"/>
      <c r="Y13" s="3440"/>
      <c r="Z13" s="1146">
        <f t="shared" si="7"/>
        <v>111</v>
      </c>
      <c r="AA13" s="1558">
        <f t="shared" si="3"/>
        <v>1</v>
      </c>
      <c r="AB13" s="1558">
        <f t="shared" si="4"/>
        <v>1</v>
      </c>
      <c r="AC13" s="1558">
        <f t="shared" si="5"/>
        <v>1</v>
      </c>
    </row>
    <row r="14" spans="1:29" ht="85.5">
      <c r="A14" s="2866"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528" t="s">
        <v>540</v>
      </c>
      <c r="Q14" s="1559" t="str">
        <f t="shared" si="6"/>
        <v>交通便捷度</v>
      </c>
      <c r="R14" s="1560" t="s">
        <v>8</v>
      </c>
      <c r="S14" s="1561">
        <f t="shared" si="0"/>
        <v>100</v>
      </c>
      <c r="T14" s="1560" t="s">
        <v>8</v>
      </c>
      <c r="U14" s="1561">
        <f t="shared" si="1"/>
        <v>100</v>
      </c>
      <c r="V14" s="1560" t="s">
        <v>8</v>
      </c>
      <c r="W14" s="1561">
        <f t="shared" si="2"/>
        <v>100</v>
      </c>
      <c r="X14" s="1554"/>
      <c r="Y14" s="3528"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529"/>
      <c r="Q15" s="1559"/>
      <c r="R15" s="1560"/>
      <c r="S15" s="1561"/>
      <c r="T15" s="1560"/>
      <c r="U15" s="1561"/>
      <c r="V15" s="1560"/>
      <c r="W15" s="1561"/>
      <c r="X15" s="1554"/>
      <c r="Y15" s="3529"/>
      <c r="Z15" s="1562"/>
      <c r="AA15" s="1563">
        <v>1</v>
      </c>
      <c r="AB15" s="1563">
        <v>1</v>
      </c>
      <c r="AC15" s="1563">
        <v>1</v>
      </c>
    </row>
    <row r="16" spans="1:29" ht="42.75">
      <c r="A16" s="515"/>
      <c r="B16" s="2568"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529"/>
      <c r="Q16" s="1559" t="str">
        <f>B16</f>
        <v>公共配套设施</v>
      </c>
      <c r="R16" s="1560" t="s">
        <v>8</v>
      </c>
      <c r="S16" s="1561">
        <f>F16</f>
        <v>100</v>
      </c>
      <c r="T16" s="1560" t="s">
        <v>8</v>
      </c>
      <c r="U16" s="1561">
        <f>H16</f>
        <v>100</v>
      </c>
      <c r="V16" s="1560" t="s">
        <v>8</v>
      </c>
      <c r="W16" s="1561">
        <f>J16</f>
        <v>100</v>
      </c>
      <c r="X16" s="1554"/>
      <c r="Y16" s="352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529"/>
      <c r="Q17" s="1559"/>
      <c r="R17" s="1560"/>
      <c r="S17" s="1561"/>
      <c r="T17" s="1560"/>
      <c r="U17" s="1561"/>
      <c r="V17" s="1560"/>
      <c r="W17" s="1561"/>
      <c r="X17" s="1554"/>
      <c r="Y17" s="3529"/>
      <c r="Z17" s="1562"/>
      <c r="AA17" s="1563">
        <v>1</v>
      </c>
      <c r="AB17" s="1563">
        <v>1</v>
      </c>
      <c r="AC17" s="1563">
        <v>1</v>
      </c>
    </row>
    <row r="18" spans="1:29" ht="28.5">
      <c r="A18" s="515"/>
      <c r="B18" s="2556"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529"/>
      <c r="Q18" s="2544" t="str">
        <f>B18</f>
        <v>基础设施水平</v>
      </c>
      <c r="R18" s="1560" t="s">
        <v>8</v>
      </c>
      <c r="S18" s="1561">
        <f>F18</f>
        <v>100</v>
      </c>
      <c r="T18" s="1560" t="s">
        <v>8</v>
      </c>
      <c r="U18" s="1561">
        <f>H18</f>
        <v>100</v>
      </c>
      <c r="V18" s="1560" t="s">
        <v>8</v>
      </c>
      <c r="W18" s="1561">
        <f>J18</f>
        <v>100</v>
      </c>
      <c r="X18" s="2546"/>
      <c r="Y18" s="3529"/>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529"/>
      <c r="Q19" s="2544"/>
      <c r="R19" s="1560"/>
      <c r="S19" s="1561"/>
      <c r="T19" s="1560"/>
      <c r="U19" s="1561"/>
      <c r="V19" s="1560"/>
      <c r="W19" s="1561"/>
      <c r="X19" s="2546"/>
      <c r="Y19" s="3529"/>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529"/>
      <c r="Q20" s="1559" t="str">
        <f>B20</f>
        <v>自然及人文环境</v>
      </c>
      <c r="R20" s="1560" t="s">
        <v>8</v>
      </c>
      <c r="S20" s="1561">
        <f>F20</f>
        <v>100</v>
      </c>
      <c r="T20" s="1560" t="s">
        <v>8</v>
      </c>
      <c r="U20" s="1561">
        <f>H20</f>
        <v>100</v>
      </c>
      <c r="V20" s="1560" t="s">
        <v>8</v>
      </c>
      <c r="W20" s="1561">
        <f>J20</f>
        <v>100</v>
      </c>
      <c r="X20" s="1554"/>
      <c r="Y20" s="352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529"/>
      <c r="Q21" s="1559"/>
      <c r="R21" s="1560"/>
      <c r="S21" s="1561"/>
      <c r="T21" s="1560"/>
      <c r="U21" s="1561"/>
      <c r="V21" s="1560"/>
      <c r="W21" s="1561"/>
      <c r="X21" s="1554"/>
      <c r="Y21" s="3529"/>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529"/>
      <c r="Q22" s="1559" t="str">
        <f>B22</f>
        <v>楼层</v>
      </c>
      <c r="R22" s="1560" t="s">
        <v>8</v>
      </c>
      <c r="S22" s="1561">
        <f>F22</f>
        <v>100</v>
      </c>
      <c r="T22" s="1560" t="s">
        <v>8</v>
      </c>
      <c r="U22" s="1561">
        <f>H22</f>
        <v>100</v>
      </c>
      <c r="V22" s="1560" t="s">
        <v>8</v>
      </c>
      <c r="W22" s="1561">
        <f>J22</f>
        <v>100</v>
      </c>
      <c r="X22" s="1554"/>
      <c r="Y22" s="352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529"/>
      <c r="Q23" s="1559">
        <f>B23</f>
        <v>111</v>
      </c>
      <c r="R23" s="1560" t="s">
        <v>8</v>
      </c>
      <c r="S23" s="1561">
        <f>F23</f>
        <v>100</v>
      </c>
      <c r="T23" s="1560" t="s">
        <v>8</v>
      </c>
      <c r="U23" s="1561">
        <f>H23</f>
        <v>100</v>
      </c>
      <c r="V23" s="1560" t="s">
        <v>8</v>
      </c>
      <c r="W23" s="1561">
        <f>J23</f>
        <v>100</v>
      </c>
      <c r="X23" s="1554"/>
      <c r="Y23" s="352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529"/>
      <c r="Q24" s="1559">
        <f t="shared" ref="Q24:Q36" si="11">B24</f>
        <v>111</v>
      </c>
      <c r="R24" s="1560" t="s">
        <v>8</v>
      </c>
      <c r="S24" s="1561">
        <f>F24</f>
        <v>100</v>
      </c>
      <c r="T24" s="1560" t="s">
        <v>8</v>
      </c>
      <c r="U24" s="1561">
        <f>H24</f>
        <v>100</v>
      </c>
      <c r="V24" s="1560" t="s">
        <v>8</v>
      </c>
      <c r="W24" s="1561">
        <f>J24</f>
        <v>100</v>
      </c>
      <c r="X24" s="1554"/>
      <c r="Y24" s="352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529"/>
      <c r="Q25" s="1147">
        <f t="shared" si="11"/>
        <v>111</v>
      </c>
      <c r="R25" s="1555" t="s">
        <v>8</v>
      </c>
      <c r="S25" s="1556">
        <f>F25</f>
        <v>100</v>
      </c>
      <c r="T25" s="1555" t="s">
        <v>8</v>
      </c>
      <c r="U25" s="1556">
        <f>H25</f>
        <v>100</v>
      </c>
      <c r="V25" s="1555" t="s">
        <v>8</v>
      </c>
      <c r="W25" s="1556">
        <f>J25</f>
        <v>100</v>
      </c>
      <c r="X25" s="1557"/>
      <c r="Y25" s="3529"/>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530"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531"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531"/>
      <c r="Q27" s="1591" t="str">
        <f t="shared" si="11"/>
        <v>项目停车位配比</v>
      </c>
      <c r="R27" s="1564" t="s">
        <v>8</v>
      </c>
      <c r="S27" s="1565">
        <f t="shared" si="12"/>
        <v>100</v>
      </c>
      <c r="T27" s="1564" t="s">
        <v>8</v>
      </c>
      <c r="U27" s="1565">
        <f t="shared" si="13"/>
        <v>100</v>
      </c>
      <c r="V27" s="1564" t="s">
        <v>8</v>
      </c>
      <c r="W27" s="1565">
        <f t="shared" si="14"/>
        <v>100</v>
      </c>
      <c r="X27" s="1566"/>
      <c r="Y27" s="3531"/>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531"/>
      <c r="Q28" s="1559" t="str">
        <f t="shared" si="11"/>
        <v>公共部分装修</v>
      </c>
      <c r="R28" s="1560" t="s">
        <v>8</v>
      </c>
      <c r="S28" s="1561">
        <f t="shared" si="12"/>
        <v>100</v>
      </c>
      <c r="T28" s="1560" t="s">
        <v>8</v>
      </c>
      <c r="U28" s="1561">
        <f t="shared" si="13"/>
        <v>100</v>
      </c>
      <c r="V28" s="1560" t="s">
        <v>8</v>
      </c>
      <c r="W28" s="1561">
        <f t="shared" si="14"/>
        <v>100</v>
      </c>
      <c r="X28" s="1554"/>
      <c r="Y28" s="3531"/>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531"/>
      <c r="Q29" s="1559" t="str">
        <f t="shared" si="11"/>
        <v>成新率</v>
      </c>
      <c r="R29" s="1560" t="s">
        <v>8</v>
      </c>
      <c r="S29" s="1561" t="e">
        <f t="shared" si="12"/>
        <v>#N/A</v>
      </c>
      <c r="T29" s="1560" t="s">
        <v>8</v>
      </c>
      <c r="U29" s="1561" t="e">
        <f t="shared" si="13"/>
        <v>#N/A</v>
      </c>
      <c r="V29" s="1560" t="s">
        <v>8</v>
      </c>
      <c r="W29" s="1561" t="e">
        <f t="shared" si="14"/>
        <v>#N/A</v>
      </c>
      <c r="X29" s="1554"/>
      <c r="Y29" s="3531"/>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531"/>
      <c r="Q30" s="1559" t="str">
        <f t="shared" si="11"/>
        <v>物业等级</v>
      </c>
      <c r="R30" s="1560" t="s">
        <v>8</v>
      </c>
      <c r="S30" s="1561">
        <f t="shared" si="12"/>
        <v>100</v>
      </c>
      <c r="T30" s="1560" t="s">
        <v>8</v>
      </c>
      <c r="U30" s="1561">
        <f t="shared" si="13"/>
        <v>100</v>
      </c>
      <c r="V30" s="1560" t="s">
        <v>8</v>
      </c>
      <c r="W30" s="1561">
        <f t="shared" si="14"/>
        <v>100</v>
      </c>
      <c r="X30" s="1554"/>
      <c r="Y30" s="3531"/>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531"/>
      <c r="Q31" s="1147" t="str">
        <f t="shared" si="11"/>
        <v>停车位面积</v>
      </c>
      <c r="R31" s="1555" t="s">
        <v>8</v>
      </c>
      <c r="S31" s="1556" t="e">
        <f t="shared" si="12"/>
        <v>#N/A</v>
      </c>
      <c r="T31" s="1555" t="s">
        <v>8</v>
      </c>
      <c r="U31" s="1556" t="e">
        <f t="shared" si="13"/>
        <v>#N/A</v>
      </c>
      <c r="V31" s="1555" t="s">
        <v>8</v>
      </c>
      <c r="W31" s="1556" t="e">
        <f t="shared" si="14"/>
        <v>#N/A</v>
      </c>
      <c r="X31" s="1557"/>
      <c r="Y31" s="3531"/>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531" t="s">
        <v>550</v>
      </c>
      <c r="Q32" s="1559" t="str">
        <f t="shared" si="11"/>
        <v>车位类型</v>
      </c>
      <c r="R32" s="1560" t="s">
        <v>8</v>
      </c>
      <c r="S32" s="1561">
        <f t="shared" si="12"/>
        <v>100</v>
      </c>
      <c r="T32" s="1560" t="s">
        <v>8</v>
      </c>
      <c r="U32" s="1561">
        <f t="shared" si="13"/>
        <v>100</v>
      </c>
      <c r="V32" s="1560" t="s">
        <v>8</v>
      </c>
      <c r="W32" s="1561">
        <f t="shared" si="14"/>
        <v>100</v>
      </c>
      <c r="X32" s="1554"/>
      <c r="Y32" s="3531"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531"/>
      <c r="Q33" s="1559" t="str">
        <f t="shared" si="11"/>
        <v>是否直接入户</v>
      </c>
      <c r="R33" s="1560" t="s">
        <v>8</v>
      </c>
      <c r="S33" s="1561">
        <f t="shared" si="12"/>
        <v>100</v>
      </c>
      <c r="T33" s="1560" t="s">
        <v>8</v>
      </c>
      <c r="U33" s="1561">
        <f t="shared" si="13"/>
        <v>100</v>
      </c>
      <c r="V33" s="1560" t="s">
        <v>8</v>
      </c>
      <c r="W33" s="1561">
        <f t="shared" si="14"/>
        <v>100</v>
      </c>
      <c r="X33" s="1554"/>
      <c r="Y33" s="3531"/>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531"/>
      <c r="Q34" s="1559">
        <f t="shared" si="11"/>
        <v>111</v>
      </c>
      <c r="R34" s="1560" t="s">
        <v>8</v>
      </c>
      <c r="S34" s="1561">
        <f t="shared" si="12"/>
        <v>100</v>
      </c>
      <c r="T34" s="1560" t="s">
        <v>8</v>
      </c>
      <c r="U34" s="1561">
        <f t="shared" si="13"/>
        <v>100</v>
      </c>
      <c r="V34" s="1560" t="s">
        <v>8</v>
      </c>
      <c r="W34" s="1561">
        <f t="shared" si="14"/>
        <v>100</v>
      </c>
      <c r="X34" s="1554"/>
      <c r="Y34" s="3531"/>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531"/>
      <c r="Q35" s="1591">
        <f t="shared" si="11"/>
        <v>111</v>
      </c>
      <c r="R35" s="1564" t="s">
        <v>8</v>
      </c>
      <c r="S35" s="1565">
        <f t="shared" si="12"/>
        <v>100</v>
      </c>
      <c r="T35" s="1564" t="s">
        <v>8</v>
      </c>
      <c r="U35" s="1565">
        <f t="shared" si="13"/>
        <v>100</v>
      </c>
      <c r="V35" s="1564" t="s">
        <v>8</v>
      </c>
      <c r="W35" s="1565">
        <f t="shared" si="14"/>
        <v>100</v>
      </c>
      <c r="X35" s="1566"/>
      <c r="Y35" s="3531"/>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531"/>
      <c r="Q36" s="1559">
        <f t="shared" si="11"/>
        <v>111</v>
      </c>
      <c r="R36" s="1560" t="s">
        <v>8</v>
      </c>
      <c r="S36" s="1561">
        <f t="shared" si="12"/>
        <v>100</v>
      </c>
      <c r="T36" s="1560" t="s">
        <v>8</v>
      </c>
      <c r="U36" s="1561">
        <f t="shared" si="13"/>
        <v>100</v>
      </c>
      <c r="V36" s="1560" t="s">
        <v>8</v>
      </c>
      <c r="W36" s="1561">
        <f t="shared" si="14"/>
        <v>100</v>
      </c>
      <c r="X36" s="1554"/>
      <c r="Y36" s="3531"/>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494" t="str">
        <f>A37</f>
        <v>成交单价</v>
      </c>
      <c r="Q37" s="3494"/>
      <c r="R37" s="3633">
        <f>E37</f>
        <v>0</v>
      </c>
      <c r="S37" s="3633"/>
      <c r="T37" s="3633">
        <f>G37</f>
        <v>0</v>
      </c>
      <c r="U37" s="3633"/>
      <c r="V37" s="3633">
        <f>I37</f>
        <v>0</v>
      </c>
      <c r="W37" s="3633"/>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494" t="str">
        <f>A38</f>
        <v>比较价格（元/平方米）</v>
      </c>
      <c r="Q38" s="3494"/>
      <c r="R38" s="3633" t="e">
        <f>IF(F1="售价",ROUND(PRODUCT(R37,AA7:AA36),0),ROUND(PRODUCT(R37,AA7:AA36),1))</f>
        <v>#DIV/0!</v>
      </c>
      <c r="S38" s="3633"/>
      <c r="T38" s="3633" t="e">
        <f>IF(F1="售价",ROUND(PRODUCT(T37,AB7:AB36),0),ROUND(PRODUCT(T37,AB7:AB36),1))</f>
        <v>#DIV/0!</v>
      </c>
      <c r="U38" s="3633"/>
      <c r="V38" s="3633" t="e">
        <f>IF(F1="售价",ROUND(PRODUCT(V37,AC7:AC36),0),ROUND(PRODUCT(V37,AC7:AC36),1))</f>
        <v>#DIV/0!</v>
      </c>
      <c r="W38" s="3633"/>
      <c r="X38" s="1546"/>
      <c r="Y38" s="1546"/>
      <c r="Z38" s="1546"/>
      <c r="AA38" s="1546"/>
      <c r="AB38" s="1546"/>
      <c r="AC38" s="1546"/>
    </row>
    <row r="39" spans="1:29" ht="15.75" thickBot="1">
      <c r="A39" s="621" t="s">
        <v>2931</v>
      </c>
      <c r="B39" s="622"/>
      <c r="C39" s="2601" t="e">
        <f>R39</f>
        <v>#DIV/0!</v>
      </c>
      <c r="D39" s="2601"/>
      <c r="E39" s="2601"/>
      <c r="F39" s="2601"/>
      <c r="G39" s="2601"/>
      <c r="H39" s="2601"/>
      <c r="I39" s="2601"/>
      <c r="J39" s="2601"/>
      <c r="K39" s="1599"/>
      <c r="L39" s="2130"/>
      <c r="M39" s="2131"/>
      <c r="N39" s="2131"/>
      <c r="O39" s="2131"/>
      <c r="P39" s="3491" t="str">
        <f>A39</f>
        <v>估价对象XX用房的比较价格（楼面单价，元/平方米）</v>
      </c>
      <c r="Q39" s="3492"/>
      <c r="R39" s="3632" t="e">
        <f>IF(F1="售价",ROUND(AVERAGE(R38:V38),0),ROUND(AVERAGE(R38:V38),1))</f>
        <v>#DIV/0!</v>
      </c>
      <c r="S39" s="3632"/>
      <c r="T39" s="3632"/>
      <c r="U39" s="3632"/>
      <c r="V39" s="3632"/>
      <c r="W39" s="3632"/>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2020-5</v>
      </c>
      <c r="D48" s="2760">
        <f>EDATE(C48,-1)</f>
        <v>43922</v>
      </c>
      <c r="E48" s="2760">
        <f t="shared" ref="E48:O48" si="16">EDATE(D48,-1)</f>
        <v>43891</v>
      </c>
      <c r="F48" s="2760">
        <f t="shared" si="16"/>
        <v>43862</v>
      </c>
      <c r="G48" s="2760">
        <f t="shared" si="16"/>
        <v>43831</v>
      </c>
      <c r="H48" s="2760">
        <f t="shared" si="16"/>
        <v>43800</v>
      </c>
      <c r="I48" s="2760">
        <f t="shared" si="16"/>
        <v>43770</v>
      </c>
      <c r="J48" s="2760">
        <f t="shared" si="16"/>
        <v>43739</v>
      </c>
      <c r="K48" s="2760">
        <f t="shared" si="16"/>
        <v>43709</v>
      </c>
      <c r="L48" s="2760">
        <f t="shared" si="16"/>
        <v>43678</v>
      </c>
      <c r="M48" s="2760">
        <f t="shared" si="16"/>
        <v>43647</v>
      </c>
      <c r="N48" s="2760">
        <f t="shared" si="16"/>
        <v>43617</v>
      </c>
      <c r="O48" s="2760">
        <f t="shared" si="16"/>
        <v>43586</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2554</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2555</v>
      </c>
      <c r="C67" s="2563" t="s">
        <v>2556</v>
      </c>
      <c r="D67" s="2563" t="s">
        <v>2557</v>
      </c>
      <c r="E67" s="2563" t="s">
        <v>2558</v>
      </c>
      <c r="F67" s="2563" t="s">
        <v>2559</v>
      </c>
      <c r="G67" s="2563" t="s">
        <v>2560</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500" t="s">
        <v>798</v>
      </c>
      <c r="D4" s="3501"/>
      <c r="E4" s="3534" t="s">
        <v>799</v>
      </c>
      <c r="F4" s="3535"/>
      <c r="G4" s="3500" t="s">
        <v>800</v>
      </c>
      <c r="H4" s="3501"/>
      <c r="I4" s="3500" t="s">
        <v>801</v>
      </c>
      <c r="J4" s="3501"/>
      <c r="K4" s="514" t="s">
        <v>802</v>
      </c>
      <c r="L4" s="2119"/>
      <c r="M4" s="2120"/>
      <c r="N4" s="2120"/>
      <c r="O4" s="2120"/>
      <c r="P4" s="3502" t="s">
        <v>803</v>
      </c>
      <c r="Q4" s="3503"/>
      <c r="R4" s="3508" t="s">
        <v>799</v>
      </c>
      <c r="S4" s="3509"/>
      <c r="T4" s="3508" t="s">
        <v>800</v>
      </c>
      <c r="U4" s="3509"/>
      <c r="V4" s="3495" t="s">
        <v>801</v>
      </c>
      <c r="W4" s="3495"/>
      <c r="X4" s="1554"/>
      <c r="Y4" s="3508" t="s">
        <v>803</v>
      </c>
      <c r="Z4" s="3509"/>
      <c r="AA4" s="3497" t="s">
        <v>799</v>
      </c>
      <c r="AB4" s="3498" t="s">
        <v>800</v>
      </c>
      <c r="AC4" s="3497" t="s">
        <v>801</v>
      </c>
    </row>
    <row r="5" spans="1:29" ht="15">
      <c r="A5" s="515"/>
      <c r="B5" s="516"/>
      <c r="C5" s="3516" t="s">
        <v>2925</v>
      </c>
      <c r="D5" s="3517"/>
      <c r="E5" s="3536" t="s">
        <v>2926</v>
      </c>
      <c r="F5" s="3537"/>
      <c r="G5" s="3516" t="s">
        <v>2927</v>
      </c>
      <c r="H5" s="3517"/>
      <c r="I5" s="3516" t="s">
        <v>2928</v>
      </c>
      <c r="J5" s="3517"/>
      <c r="K5" s="514"/>
      <c r="L5" s="2119"/>
      <c r="M5" s="2120"/>
      <c r="N5" s="2120"/>
      <c r="O5" s="2120"/>
      <c r="P5" s="3504"/>
      <c r="Q5" s="3505"/>
      <c r="R5" s="3510"/>
      <c r="S5" s="3511"/>
      <c r="T5" s="3510"/>
      <c r="U5" s="3511"/>
      <c r="V5" s="3495"/>
      <c r="W5" s="3495"/>
      <c r="X5" s="1554"/>
      <c r="Y5" s="3510"/>
      <c r="Z5" s="3511"/>
      <c r="AA5" s="3498"/>
      <c r="AB5" s="3498"/>
      <c r="AC5" s="3498"/>
    </row>
    <row r="6" spans="1:29" ht="15.75" thickBot="1">
      <c r="A6" s="517"/>
      <c r="B6" s="518"/>
      <c r="C6" s="3514" t="s">
        <v>2929</v>
      </c>
      <c r="D6" s="3515"/>
      <c r="E6" s="3532" t="s">
        <v>2929</v>
      </c>
      <c r="F6" s="3533"/>
      <c r="G6" s="3514" t="s">
        <v>2929</v>
      </c>
      <c r="H6" s="3515"/>
      <c r="I6" s="3514" t="s">
        <v>2929</v>
      </c>
      <c r="J6" s="3515"/>
      <c r="K6" s="514" t="s">
        <v>528</v>
      </c>
      <c r="L6" s="2119"/>
      <c r="M6" s="2120"/>
      <c r="N6" s="2120"/>
      <c r="O6" s="2120"/>
      <c r="P6" s="3506"/>
      <c r="Q6" s="3507"/>
      <c r="R6" s="3510"/>
      <c r="S6" s="3511"/>
      <c r="T6" s="3512"/>
      <c r="U6" s="3513"/>
      <c r="V6" s="3495"/>
      <c r="W6" s="3495"/>
      <c r="X6" s="1554"/>
      <c r="Y6" s="3512"/>
      <c r="Z6" s="3513"/>
      <c r="AA6" s="3499"/>
      <c r="AB6" s="3499"/>
      <c r="AC6" s="3499"/>
    </row>
    <row r="7" spans="1:29" s="1216" customFormat="1" ht="15.75" thickBot="1">
      <c r="A7" s="2868"/>
      <c r="B7" s="2875" t="s">
        <v>529</v>
      </c>
      <c r="C7" s="519">
        <f>'数据-取费表'!B2</f>
        <v>43959</v>
      </c>
      <c r="D7" s="520">
        <v>100</v>
      </c>
      <c r="E7" s="521"/>
      <c r="F7" s="522">
        <f>SUMIF(46:46,YEAR(E7)&amp;"-"&amp;MONTH(E7),47:47)</f>
        <v>0</v>
      </c>
      <c r="G7" s="523"/>
      <c r="H7" s="520">
        <f>SUMIF(46:46,YEAR(G7)&amp;"-"&amp;MONTH(G7),47:47)</f>
        <v>0</v>
      </c>
      <c r="I7" s="523"/>
      <c r="J7" s="520">
        <f>SUMIF(46:46,YEAR(I7)&amp;"-"&amp;MONTH(I7),47:47)</f>
        <v>0</v>
      </c>
      <c r="K7" s="524"/>
      <c r="L7" s="2121"/>
      <c r="M7" s="2122"/>
      <c r="N7" s="2122"/>
      <c r="O7" s="2122"/>
      <c r="P7" s="3525" t="s">
        <v>530</v>
      </c>
      <c r="Q7" s="3527"/>
      <c r="R7" s="1555" t="s">
        <v>8</v>
      </c>
      <c r="S7" s="1556">
        <f t="shared" ref="S7:S14" si="0">F7</f>
        <v>0</v>
      </c>
      <c r="T7" s="1555" t="s">
        <v>8</v>
      </c>
      <c r="U7" s="1556">
        <f t="shared" ref="U7:U14" si="1">H7</f>
        <v>0</v>
      </c>
      <c r="V7" s="1555" t="s">
        <v>8</v>
      </c>
      <c r="W7" s="1556">
        <f t="shared" ref="W7:W14" si="2">J7</f>
        <v>0</v>
      </c>
      <c r="X7" s="1557"/>
      <c r="Y7" s="3525" t="s">
        <v>530</v>
      </c>
      <c r="Z7" s="3526"/>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525" t="s">
        <v>533</v>
      </c>
      <c r="Q8" s="3526"/>
      <c r="R8" s="1555" t="s">
        <v>8</v>
      </c>
      <c r="S8" s="1556">
        <f t="shared" si="0"/>
        <v>0</v>
      </c>
      <c r="T8" s="1555" t="s">
        <v>8</v>
      </c>
      <c r="U8" s="1556">
        <f t="shared" si="1"/>
        <v>0</v>
      </c>
      <c r="V8" s="1555" t="s">
        <v>8</v>
      </c>
      <c r="W8" s="1556">
        <f t="shared" si="2"/>
        <v>0</v>
      </c>
      <c r="X8" s="1557"/>
      <c r="Y8" s="3525" t="s">
        <v>533</v>
      </c>
      <c r="Z8" s="3526"/>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94" t="s">
        <v>535</v>
      </c>
      <c r="Q9" s="1147" t="str">
        <f t="shared" ref="Q9:Q14" si="6">B9</f>
        <v>用途</v>
      </c>
      <c r="R9" s="1555" t="s">
        <v>8</v>
      </c>
      <c r="S9" s="1556">
        <f t="shared" si="0"/>
        <v>100</v>
      </c>
      <c r="T9" s="1555" t="s">
        <v>8</v>
      </c>
      <c r="U9" s="1556">
        <f t="shared" si="1"/>
        <v>100</v>
      </c>
      <c r="V9" s="1555" t="s">
        <v>8</v>
      </c>
      <c r="W9" s="1556">
        <f t="shared" si="2"/>
        <v>100</v>
      </c>
      <c r="X9" s="1557"/>
      <c r="Y9" s="3440"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94"/>
      <c r="Q10" s="1147" t="str">
        <f t="shared" si="6"/>
        <v>土地使用年限（年）</v>
      </c>
      <c r="R10" s="1555" t="s">
        <v>8</v>
      </c>
      <c r="S10" s="1556">
        <f t="shared" si="0"/>
        <v>100</v>
      </c>
      <c r="T10" s="1555" t="s">
        <v>8</v>
      </c>
      <c r="U10" s="1556">
        <f t="shared" si="1"/>
        <v>100</v>
      </c>
      <c r="V10" s="1555" t="s">
        <v>8</v>
      </c>
      <c r="W10" s="1556">
        <f t="shared" si="2"/>
        <v>100</v>
      </c>
      <c r="X10" s="1557"/>
      <c r="Y10" s="3440"/>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94"/>
      <c r="Q11" s="1147">
        <f t="shared" si="6"/>
        <v>111</v>
      </c>
      <c r="R11" s="1555" t="s">
        <v>8</v>
      </c>
      <c r="S11" s="1556">
        <f t="shared" si="0"/>
        <v>100</v>
      </c>
      <c r="T11" s="1555" t="s">
        <v>8</v>
      </c>
      <c r="U11" s="1556">
        <f t="shared" si="1"/>
        <v>100</v>
      </c>
      <c r="V11" s="1555" t="s">
        <v>8</v>
      </c>
      <c r="W11" s="1556">
        <f t="shared" si="2"/>
        <v>100</v>
      </c>
      <c r="X11" s="1557"/>
      <c r="Y11" s="3440"/>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94"/>
      <c r="Q12" s="1147">
        <f t="shared" si="6"/>
        <v>111</v>
      </c>
      <c r="R12" s="1555" t="s">
        <v>8</v>
      </c>
      <c r="S12" s="1556">
        <f t="shared" si="0"/>
        <v>100</v>
      </c>
      <c r="T12" s="1555" t="s">
        <v>8</v>
      </c>
      <c r="U12" s="1556">
        <f t="shared" si="1"/>
        <v>100</v>
      </c>
      <c r="V12" s="1555" t="s">
        <v>8</v>
      </c>
      <c r="W12" s="1556">
        <f t="shared" si="2"/>
        <v>100</v>
      </c>
      <c r="X12" s="1557"/>
      <c r="Y12" s="3440"/>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94"/>
      <c r="Q13" s="1147">
        <f t="shared" si="6"/>
        <v>111</v>
      </c>
      <c r="R13" s="1555" t="s">
        <v>8</v>
      </c>
      <c r="S13" s="1556">
        <f t="shared" si="0"/>
        <v>100</v>
      </c>
      <c r="T13" s="1555" t="s">
        <v>8</v>
      </c>
      <c r="U13" s="1556">
        <f t="shared" si="1"/>
        <v>100</v>
      </c>
      <c r="V13" s="1555" t="s">
        <v>8</v>
      </c>
      <c r="W13" s="1556">
        <f t="shared" si="2"/>
        <v>100</v>
      </c>
      <c r="X13" s="1557"/>
      <c r="Y13" s="3440"/>
      <c r="Z13" s="1146">
        <f t="shared" si="7"/>
        <v>111</v>
      </c>
      <c r="AA13" s="1558">
        <f t="shared" si="3"/>
        <v>1</v>
      </c>
      <c r="AB13" s="1558">
        <f t="shared" si="4"/>
        <v>1</v>
      </c>
      <c r="AC13" s="1558">
        <f t="shared" si="5"/>
        <v>1</v>
      </c>
    </row>
    <row r="14" spans="1:29" ht="85.5">
      <c r="A14" s="2866"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528" t="s">
        <v>540</v>
      </c>
      <c r="Q14" s="1559" t="str">
        <f t="shared" si="6"/>
        <v>交通便捷度</v>
      </c>
      <c r="R14" s="1560" t="s">
        <v>8</v>
      </c>
      <c r="S14" s="1561">
        <f t="shared" si="0"/>
        <v>100</v>
      </c>
      <c r="T14" s="1560" t="s">
        <v>8</v>
      </c>
      <c r="U14" s="1561">
        <f t="shared" si="1"/>
        <v>100</v>
      </c>
      <c r="V14" s="1560" t="s">
        <v>8</v>
      </c>
      <c r="W14" s="1561">
        <f t="shared" si="2"/>
        <v>100</v>
      </c>
      <c r="X14" s="1554"/>
      <c r="Y14" s="3528"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529"/>
      <c r="Q15" s="1559"/>
      <c r="R15" s="1560"/>
      <c r="S15" s="1561"/>
      <c r="T15" s="1560"/>
      <c r="U15" s="1561"/>
      <c r="V15" s="1560"/>
      <c r="W15" s="1561"/>
      <c r="X15" s="1554"/>
      <c r="Y15" s="3529"/>
      <c r="Z15" s="1562"/>
      <c r="AA15" s="1563">
        <v>1</v>
      </c>
      <c r="AB15" s="1563">
        <v>1</v>
      </c>
      <c r="AC15" s="1563">
        <v>1</v>
      </c>
    </row>
    <row r="16" spans="1:29" ht="42.75">
      <c r="A16" s="532"/>
      <c r="B16" s="2568"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529"/>
      <c r="Q16" s="1559" t="str">
        <f>B16</f>
        <v>公共配套设施</v>
      </c>
      <c r="R16" s="1560" t="s">
        <v>8</v>
      </c>
      <c r="S16" s="1561">
        <f>F16</f>
        <v>100</v>
      </c>
      <c r="T16" s="1560" t="s">
        <v>8</v>
      </c>
      <c r="U16" s="1561">
        <f>H16</f>
        <v>100</v>
      </c>
      <c r="V16" s="1560" t="s">
        <v>8</v>
      </c>
      <c r="W16" s="1561">
        <f>J16</f>
        <v>100</v>
      </c>
      <c r="X16" s="1554"/>
      <c r="Y16" s="352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529"/>
      <c r="Q17" s="1559"/>
      <c r="R17" s="1560"/>
      <c r="S17" s="1561"/>
      <c r="T17" s="1560"/>
      <c r="U17" s="1561"/>
      <c r="V17" s="1560"/>
      <c r="W17" s="1561"/>
      <c r="X17" s="1554"/>
      <c r="Y17" s="3529"/>
      <c r="Z17" s="1562"/>
      <c r="AA17" s="1563">
        <v>1</v>
      </c>
      <c r="AB17" s="1563">
        <v>1</v>
      </c>
      <c r="AC17" s="1563">
        <v>1</v>
      </c>
    </row>
    <row r="18" spans="1:29" ht="28.5">
      <c r="A18" s="532"/>
      <c r="B18" s="2556"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529"/>
      <c r="Q18" s="2544" t="str">
        <f>B18</f>
        <v>基础设施水平</v>
      </c>
      <c r="R18" s="1560" t="s">
        <v>8</v>
      </c>
      <c r="S18" s="1561">
        <f>F18</f>
        <v>100</v>
      </c>
      <c r="T18" s="1560" t="s">
        <v>8</v>
      </c>
      <c r="U18" s="1561">
        <f>H18</f>
        <v>100</v>
      </c>
      <c r="V18" s="1560" t="s">
        <v>8</v>
      </c>
      <c r="W18" s="1561">
        <f>J18</f>
        <v>100</v>
      </c>
      <c r="X18" s="2546"/>
      <c r="Y18" s="3529"/>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529"/>
      <c r="Q19" s="2544"/>
      <c r="R19" s="1560"/>
      <c r="S19" s="1561"/>
      <c r="T19" s="1560"/>
      <c r="U19" s="1561"/>
      <c r="V19" s="1560"/>
      <c r="W19" s="1561"/>
      <c r="X19" s="2546"/>
      <c r="Y19" s="3529"/>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529"/>
      <c r="Q20" s="1559" t="str">
        <f>B20</f>
        <v>自然及人文环境</v>
      </c>
      <c r="R20" s="1560" t="s">
        <v>8</v>
      </c>
      <c r="S20" s="1561">
        <f>F20</f>
        <v>100</v>
      </c>
      <c r="T20" s="1560" t="s">
        <v>8</v>
      </c>
      <c r="U20" s="1561">
        <f>H20</f>
        <v>100</v>
      </c>
      <c r="V20" s="1560" t="s">
        <v>8</v>
      </c>
      <c r="W20" s="1561">
        <f>J20</f>
        <v>100</v>
      </c>
      <c r="X20" s="1554"/>
      <c r="Y20" s="352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529"/>
      <c r="Q21" s="1559"/>
      <c r="R21" s="1560"/>
      <c r="S21" s="1561"/>
      <c r="T21" s="1560"/>
      <c r="U21" s="1561"/>
      <c r="V21" s="1560"/>
      <c r="W21" s="1561"/>
      <c r="X21" s="1554"/>
      <c r="Y21" s="3529"/>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529"/>
      <c r="Q22" s="1559" t="str">
        <f>B22</f>
        <v>楼层</v>
      </c>
      <c r="R22" s="1560" t="s">
        <v>8</v>
      </c>
      <c r="S22" s="1561">
        <f>F22</f>
        <v>100</v>
      </c>
      <c r="T22" s="1560" t="s">
        <v>8</v>
      </c>
      <c r="U22" s="1561">
        <f>H22</f>
        <v>100</v>
      </c>
      <c r="V22" s="1560" t="s">
        <v>8</v>
      </c>
      <c r="W22" s="1561">
        <f>J22</f>
        <v>100</v>
      </c>
      <c r="X22" s="1554"/>
      <c r="Y22" s="352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529"/>
      <c r="Q23" s="1559">
        <f>B23</f>
        <v>111</v>
      </c>
      <c r="R23" s="1560" t="s">
        <v>8</v>
      </c>
      <c r="S23" s="1561">
        <f>F23</f>
        <v>100</v>
      </c>
      <c r="T23" s="1560" t="s">
        <v>8</v>
      </c>
      <c r="U23" s="1561">
        <f>H23</f>
        <v>100</v>
      </c>
      <c r="V23" s="1560" t="s">
        <v>8</v>
      </c>
      <c r="W23" s="1561">
        <f>J23</f>
        <v>100</v>
      </c>
      <c r="X23" s="1554"/>
      <c r="Y23" s="352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529"/>
      <c r="Q24" s="1559">
        <f t="shared" ref="Q24:Q34" si="11">B24</f>
        <v>111</v>
      </c>
      <c r="R24" s="1560" t="s">
        <v>8</v>
      </c>
      <c r="S24" s="1561">
        <f>F24</f>
        <v>100</v>
      </c>
      <c r="T24" s="1560" t="s">
        <v>8</v>
      </c>
      <c r="U24" s="1561">
        <f>H24</f>
        <v>100</v>
      </c>
      <c r="V24" s="1560" t="s">
        <v>8</v>
      </c>
      <c r="W24" s="1561">
        <f>J24</f>
        <v>100</v>
      </c>
      <c r="X24" s="1554"/>
      <c r="Y24" s="352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529"/>
      <c r="Q25" s="1147">
        <f t="shared" si="11"/>
        <v>111</v>
      </c>
      <c r="R25" s="1555" t="s">
        <v>8</v>
      </c>
      <c r="S25" s="1556">
        <f>F25</f>
        <v>100</v>
      </c>
      <c r="T25" s="1555" t="s">
        <v>8</v>
      </c>
      <c r="U25" s="1556">
        <f>H25</f>
        <v>100</v>
      </c>
      <c r="V25" s="1555" t="s">
        <v>8</v>
      </c>
      <c r="W25" s="1556">
        <f>J25</f>
        <v>100</v>
      </c>
      <c r="X25" s="1557"/>
      <c r="Y25" s="3529"/>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530"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531"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531"/>
      <c r="Q27" s="1591" t="str">
        <f t="shared" si="11"/>
        <v>成新率</v>
      </c>
      <c r="R27" s="1564" t="s">
        <v>8</v>
      </c>
      <c r="S27" s="1565" t="e">
        <f t="shared" si="12"/>
        <v>#N/A</v>
      </c>
      <c r="T27" s="1564" t="s">
        <v>8</v>
      </c>
      <c r="U27" s="1565" t="e">
        <f t="shared" si="13"/>
        <v>#N/A</v>
      </c>
      <c r="V27" s="1564" t="s">
        <v>8</v>
      </c>
      <c r="W27" s="1565" t="e">
        <f t="shared" si="14"/>
        <v>#N/A</v>
      </c>
      <c r="X27" s="1566"/>
      <c r="Y27" s="3531"/>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531"/>
      <c r="Q28" s="1559" t="str">
        <f t="shared" si="11"/>
        <v>物业等级</v>
      </c>
      <c r="R28" s="1560" t="s">
        <v>8</v>
      </c>
      <c r="S28" s="1561">
        <f t="shared" si="12"/>
        <v>100</v>
      </c>
      <c r="T28" s="1560" t="s">
        <v>8</v>
      </c>
      <c r="U28" s="1561">
        <f t="shared" si="13"/>
        <v>100</v>
      </c>
      <c r="V28" s="1560" t="s">
        <v>8</v>
      </c>
      <c r="W28" s="1561">
        <f t="shared" si="14"/>
        <v>100</v>
      </c>
      <c r="X28" s="1554"/>
      <c r="Y28" s="3531"/>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531"/>
      <c r="Q29" s="1559" t="str">
        <f t="shared" si="11"/>
        <v>有无电梯</v>
      </c>
      <c r="R29" s="1560" t="s">
        <v>8</v>
      </c>
      <c r="S29" s="1561">
        <f t="shared" si="12"/>
        <v>100</v>
      </c>
      <c r="T29" s="1560" t="s">
        <v>8</v>
      </c>
      <c r="U29" s="1561">
        <f t="shared" si="13"/>
        <v>100</v>
      </c>
      <c r="V29" s="1560" t="s">
        <v>8</v>
      </c>
      <c r="W29" s="1561">
        <f t="shared" si="14"/>
        <v>100</v>
      </c>
      <c r="X29" s="1554"/>
      <c r="Y29" s="3531"/>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531"/>
      <c r="Q30" s="1559" t="str">
        <f t="shared" si="11"/>
        <v>建筑面积</v>
      </c>
      <c r="R30" s="1560" t="s">
        <v>8</v>
      </c>
      <c r="S30" s="1561" t="e">
        <f t="shared" si="12"/>
        <v>#N/A</v>
      </c>
      <c r="T30" s="1560" t="s">
        <v>8</v>
      </c>
      <c r="U30" s="1561" t="e">
        <f t="shared" si="13"/>
        <v>#N/A</v>
      </c>
      <c r="V30" s="1560" t="s">
        <v>8</v>
      </c>
      <c r="W30" s="1561" t="e">
        <f t="shared" si="14"/>
        <v>#N/A</v>
      </c>
      <c r="X30" s="1554"/>
      <c r="Y30" s="3531"/>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531"/>
      <c r="Q31" s="1147" t="str">
        <f t="shared" si="11"/>
        <v>是否封闭</v>
      </c>
      <c r="R31" s="1555" t="s">
        <v>8</v>
      </c>
      <c r="S31" s="1556">
        <f t="shared" si="12"/>
        <v>100</v>
      </c>
      <c r="T31" s="1555" t="s">
        <v>8</v>
      </c>
      <c r="U31" s="1556">
        <f t="shared" si="13"/>
        <v>100</v>
      </c>
      <c r="V31" s="1555" t="s">
        <v>8</v>
      </c>
      <c r="W31" s="1556">
        <f t="shared" si="14"/>
        <v>100</v>
      </c>
      <c r="X31" s="1557"/>
      <c r="Y31" s="3531"/>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531" t="s">
        <v>550</v>
      </c>
      <c r="Q32" s="1559">
        <f t="shared" si="11"/>
        <v>111</v>
      </c>
      <c r="R32" s="1560" t="s">
        <v>8</v>
      </c>
      <c r="S32" s="1561">
        <f t="shared" si="12"/>
        <v>100</v>
      </c>
      <c r="T32" s="1560" t="s">
        <v>8</v>
      </c>
      <c r="U32" s="1561">
        <f t="shared" si="13"/>
        <v>100</v>
      </c>
      <c r="V32" s="1560" t="s">
        <v>8</v>
      </c>
      <c r="W32" s="1561">
        <f t="shared" si="14"/>
        <v>100</v>
      </c>
      <c r="X32" s="1554"/>
      <c r="Y32" s="3531"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531"/>
      <c r="Q33" s="1559">
        <f t="shared" si="11"/>
        <v>111</v>
      </c>
      <c r="R33" s="1560" t="s">
        <v>8</v>
      </c>
      <c r="S33" s="1561">
        <f t="shared" si="12"/>
        <v>100</v>
      </c>
      <c r="T33" s="1560" t="s">
        <v>8</v>
      </c>
      <c r="U33" s="1561">
        <f t="shared" si="13"/>
        <v>100</v>
      </c>
      <c r="V33" s="1560" t="s">
        <v>8</v>
      </c>
      <c r="W33" s="1561">
        <f t="shared" si="14"/>
        <v>100</v>
      </c>
      <c r="X33" s="1554"/>
      <c r="Y33" s="3531"/>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531"/>
      <c r="Q34" s="1559">
        <f t="shared" si="11"/>
        <v>111</v>
      </c>
      <c r="R34" s="1560" t="s">
        <v>8</v>
      </c>
      <c r="S34" s="1561">
        <f t="shared" si="12"/>
        <v>100</v>
      </c>
      <c r="T34" s="1560" t="s">
        <v>8</v>
      </c>
      <c r="U34" s="1561">
        <f t="shared" si="13"/>
        <v>100</v>
      </c>
      <c r="V34" s="1560" t="s">
        <v>8</v>
      </c>
      <c r="W34" s="1561">
        <f t="shared" si="14"/>
        <v>100</v>
      </c>
      <c r="X34" s="1554"/>
      <c r="Y34" s="3531"/>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94" t="str">
        <f>A35</f>
        <v>成交单价（元/平方米）</v>
      </c>
      <c r="Q35" s="3494"/>
      <c r="R35" s="3633">
        <f>E35</f>
        <v>0</v>
      </c>
      <c r="S35" s="3633"/>
      <c r="T35" s="3633">
        <f>G35</f>
        <v>0</v>
      </c>
      <c r="U35" s="3633"/>
      <c r="V35" s="3633">
        <f>I35</f>
        <v>0</v>
      </c>
      <c r="W35" s="3633"/>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494" t="str">
        <f>A36</f>
        <v>比较价格（元/平方米）</v>
      </c>
      <c r="Q36" s="3494"/>
      <c r="R36" s="3633" t="e">
        <f>IF(F1="售价",ROUND(PRODUCT(R35,AA7:AA34),0),ROUND(PRODUCT(R35,AA7:AA34),1))</f>
        <v>#DIV/0!</v>
      </c>
      <c r="S36" s="3633"/>
      <c r="T36" s="3633" t="e">
        <f>IF(F1="售价",ROUND(PRODUCT(T35,AB7:AB34),0),ROUND(PRODUCT(T35,AB7:AB34),1))</f>
        <v>#DIV/0!</v>
      </c>
      <c r="U36" s="3633"/>
      <c r="V36" s="3633" t="e">
        <f>IF(F1="售价",ROUND(PRODUCT(V35,AC7:AC34),0),ROUND(PRODUCT(V35,AC7:AC34),1))</f>
        <v>#DIV/0!</v>
      </c>
      <c r="W36" s="3633"/>
      <c r="X36" s="1546"/>
      <c r="Y36" s="1546"/>
      <c r="Z36" s="1546"/>
      <c r="AA36" s="1546"/>
      <c r="AB36" s="1546"/>
      <c r="AC36" s="1546"/>
    </row>
    <row r="37" spans="1:29" ht="15.75" thickBot="1">
      <c r="A37" s="621" t="s">
        <v>2931</v>
      </c>
      <c r="B37" s="622"/>
      <c r="C37" s="2601" t="e">
        <f>R37</f>
        <v>#DIV/0!</v>
      </c>
      <c r="D37" s="2601"/>
      <c r="E37" s="2601"/>
      <c r="F37" s="2601"/>
      <c r="G37" s="2601"/>
      <c r="H37" s="2601"/>
      <c r="I37" s="2601"/>
      <c r="J37" s="2601"/>
      <c r="K37" s="1599"/>
      <c r="L37" s="2130"/>
      <c r="M37" s="2131"/>
      <c r="N37" s="2131"/>
      <c r="O37" s="2131"/>
      <c r="P37" s="3491" t="str">
        <f>A37</f>
        <v>估价对象XX用房的比较价格（楼面单价，元/平方米）</v>
      </c>
      <c r="Q37" s="3492"/>
      <c r="R37" s="3632" t="e">
        <f>IF(F1="售价",ROUND(AVERAGE(R36:V36),0),ROUND(AVERAGE(R36:V36),1))</f>
        <v>#DIV/0!</v>
      </c>
      <c r="S37" s="3632"/>
      <c r="T37" s="3632"/>
      <c r="U37" s="3632"/>
      <c r="V37" s="3632"/>
      <c r="W37" s="3632"/>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2020-5</v>
      </c>
      <c r="D46" s="2760">
        <f>EDATE(C46,-1)</f>
        <v>43922</v>
      </c>
      <c r="E46" s="2760">
        <f t="shared" ref="E46:O46" si="16">EDATE(D46,-1)</f>
        <v>43891</v>
      </c>
      <c r="F46" s="2760">
        <f t="shared" si="16"/>
        <v>43862</v>
      </c>
      <c r="G46" s="2760">
        <f t="shared" si="16"/>
        <v>43831</v>
      </c>
      <c r="H46" s="2760">
        <f t="shared" si="16"/>
        <v>43800</v>
      </c>
      <c r="I46" s="2760">
        <f t="shared" si="16"/>
        <v>43770</v>
      </c>
      <c r="J46" s="2760">
        <f t="shared" si="16"/>
        <v>43739</v>
      </c>
      <c r="K46" s="2760">
        <f t="shared" si="16"/>
        <v>43709</v>
      </c>
      <c r="L46" s="2760">
        <f t="shared" si="16"/>
        <v>43678</v>
      </c>
      <c r="M46" s="2760">
        <f t="shared" si="16"/>
        <v>43647</v>
      </c>
      <c r="N46" s="2760">
        <f t="shared" si="16"/>
        <v>43617</v>
      </c>
      <c r="O46" s="2760">
        <f t="shared" si="16"/>
        <v>43586</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2554</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2555</v>
      </c>
      <c r="C65" s="2563" t="s">
        <v>2556</v>
      </c>
      <c r="D65" s="2563" t="s">
        <v>2557</v>
      </c>
      <c r="E65" s="2563" t="s">
        <v>2558</v>
      </c>
      <c r="F65" s="2563" t="s">
        <v>2559</v>
      </c>
      <c r="G65" s="2563" t="s">
        <v>2560</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97" sqref="C97:F102"/>
      <selection pane="bottomLeft" activeCell="C97" sqref="C97:F102"/>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2300</v>
      </c>
      <c r="C1" s="3642" t="s">
        <v>2301</v>
      </c>
      <c r="D1" s="3643"/>
      <c r="E1" s="3643"/>
      <c r="F1" s="3643"/>
      <c r="G1" s="3643"/>
      <c r="H1" s="3643"/>
      <c r="I1" s="3643"/>
      <c r="J1" s="3643"/>
      <c r="K1" s="3643"/>
      <c r="L1" s="3643"/>
      <c r="M1" s="3643"/>
      <c r="N1" s="3643"/>
      <c r="O1" s="3643"/>
      <c r="P1" s="3643"/>
      <c r="Q1" s="3643"/>
      <c r="R1" s="3643"/>
      <c r="S1" s="3644"/>
      <c r="T1" s="2220" t="s">
        <v>2302</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2924</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2923</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2922</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2935</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2921</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2920</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2304</v>
      </c>
      <c r="B17" s="2264" t="s">
        <v>2305</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639" t="s">
        <v>20</v>
      </c>
      <c r="D22" s="3640"/>
      <c r="E22" s="3640"/>
      <c r="F22" s="3640"/>
      <c r="G22" s="3640"/>
      <c r="H22" s="3640"/>
      <c r="I22" s="3640"/>
      <c r="J22" s="3640"/>
      <c r="K22" s="3640"/>
      <c r="L22" s="3640"/>
      <c r="M22" s="3640"/>
      <c r="N22" s="3640"/>
      <c r="O22" s="3640"/>
      <c r="P22" s="3640"/>
      <c r="Q22" s="3641"/>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2783</v>
      </c>
      <c r="C1" s="2960">
        <f>项目基本情况!D3</f>
        <v>43959</v>
      </c>
      <c r="H1" s="2894">
        <f>IF(C1&gt;C13,0,MATCH(C1,C$13:C$100,-1))+IF(SUMIF(C13:C100,C1,D13:D100)=0,13,12)</f>
        <v>13</v>
      </c>
      <c r="I1" s="2894">
        <f ca="1">MATCH(C2,H3:H7,1)+IF(SUMIF(H3:H7,C2,I3:I7)=0,2,1)</f>
        <v>4</v>
      </c>
      <c r="J1" s="2953">
        <f ca="1">MATCH(C3,H3:H7,1)+IF(SUMIF(H3:H7,C3,J3:J7)=0,2,1)</f>
        <v>4</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2814</v>
      </c>
      <c r="C2" s="2961">
        <f>'数据-取费表'!B22</f>
        <v>1</v>
      </c>
      <c r="D2" s="2956" t="s">
        <v>2784</v>
      </c>
      <c r="E2" s="2959">
        <f ca="1">INDIRECT("I"&amp;$I$1)/100</f>
        <v>4.3499999999999997E-2</v>
      </c>
      <c r="G2" s="2896"/>
      <c r="H2" s="2896"/>
      <c r="I2" s="2896" t="s">
        <v>2785</v>
      </c>
      <c r="K2" s="2896"/>
      <c r="L2" s="2896"/>
      <c r="M2" s="2896"/>
      <c r="N2" s="2896" t="s">
        <v>2786</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2816</v>
      </c>
      <c r="C3" s="2958">
        <f>'数据-取费表'!B19</f>
        <v>1</v>
      </c>
      <c r="D3" s="2956" t="s">
        <v>2784</v>
      </c>
      <c r="E3" s="2959">
        <f ca="1">INDIRECT("J"&amp;$J$1)/100</f>
        <v>4.3499999999999997E-2</v>
      </c>
      <c r="G3" s="2898" t="s">
        <v>2787</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2815</v>
      </c>
      <c r="C4" s="2959">
        <f ca="1">N4/100</f>
        <v>1.4999999999999999E-2</v>
      </c>
      <c r="G4" s="2904" t="s">
        <v>2788</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2789</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2790</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2791</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2792</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2793</v>
      </c>
      <c r="C10" s="2923"/>
      <c r="D10" s="2923"/>
      <c r="E10" s="2923"/>
      <c r="F10" s="2923"/>
      <c r="G10" s="2923"/>
      <c r="H10" s="2923"/>
      <c r="I10" s="2897"/>
      <c r="J10" s="2897"/>
      <c r="K10" s="2923"/>
      <c r="L10" s="2924" t="s">
        <v>2794</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2795</v>
      </c>
      <c r="C11" s="2928" t="s">
        <v>2796</v>
      </c>
      <c r="D11" s="2929" t="s">
        <v>2797</v>
      </c>
      <c r="E11" s="2930"/>
      <c r="F11" s="2929" t="s">
        <v>2798</v>
      </c>
      <c r="G11" s="2931"/>
      <c r="H11" s="2930"/>
      <c r="I11" s="2929" t="s">
        <v>2799</v>
      </c>
      <c r="J11" s="2930"/>
      <c r="K11" s="2926"/>
      <c r="L11" s="2927" t="s">
        <v>2795</v>
      </c>
      <c r="M11" s="2928" t="s">
        <v>2796</v>
      </c>
      <c r="N11" s="2927" t="s">
        <v>2800</v>
      </c>
      <c r="O11" s="2929" t="s">
        <v>2801</v>
      </c>
      <c r="P11" s="2931"/>
      <c r="Q11" s="2931"/>
      <c r="R11" s="2931"/>
      <c r="S11" s="2931"/>
      <c r="T11" s="2930"/>
      <c r="U11" s="2929" t="s">
        <v>2802</v>
      </c>
      <c r="V11" s="2931"/>
      <c r="W11" s="2930"/>
      <c r="X11" s="2927" t="s">
        <v>2803</v>
      </c>
      <c r="Y11" s="2927" t="s">
        <v>2804</v>
      </c>
      <c r="Z11" s="2927" t="s">
        <v>2805</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2806</v>
      </c>
      <c r="E12" s="2936" t="s">
        <v>2807</v>
      </c>
      <c r="F12" s="2936" t="s">
        <v>2808</v>
      </c>
      <c r="G12" s="2936" t="s">
        <v>2809</v>
      </c>
      <c r="H12" s="2936" t="s">
        <v>2791</v>
      </c>
      <c r="I12" s="2937" t="s">
        <v>2810</v>
      </c>
      <c r="J12" s="2937" t="s">
        <v>2810</v>
      </c>
      <c r="K12" s="2933"/>
      <c r="L12" s="2934"/>
      <c r="M12" s="2935"/>
      <c r="N12" s="2934"/>
      <c r="O12" s="2937" t="s">
        <v>2811</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2812</v>
      </c>
      <c r="C13" s="2941">
        <v>42301</v>
      </c>
      <c r="D13" s="2942">
        <v>4.3499999999999996</v>
      </c>
      <c r="E13" s="2942">
        <v>4.3499999999999996</v>
      </c>
      <c r="F13" s="2942">
        <v>4.75</v>
      </c>
      <c r="G13" s="2942">
        <v>4.75</v>
      </c>
      <c r="H13" s="2942">
        <v>4.9000000000000004</v>
      </c>
      <c r="I13" s="2942">
        <v>2.75</v>
      </c>
      <c r="J13" s="2942">
        <v>3.25</v>
      </c>
      <c r="K13" s="2939"/>
      <c r="L13" s="2940" t="s">
        <v>2812</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2813</v>
      </c>
      <c r="Y42" s="2946" t="s">
        <v>2813</v>
      </c>
      <c r="Z42" s="2946" t="s">
        <v>2813</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2813</v>
      </c>
      <c r="Y43" s="2946" t="s">
        <v>2813</v>
      </c>
      <c r="Z43" s="2946" t="s">
        <v>2813</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2813</v>
      </c>
      <c r="Y44" s="2946" t="s">
        <v>2813</v>
      </c>
      <c r="Z44" s="2946" t="s">
        <v>2813</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2813</v>
      </c>
      <c r="Y45" s="2946" t="s">
        <v>2813</v>
      </c>
      <c r="Z45" s="2946" t="s">
        <v>2813</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2813</v>
      </c>
      <c r="Y46" s="2946" t="s">
        <v>2813</v>
      </c>
      <c r="Z46" s="2946" t="s">
        <v>2813</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2813</v>
      </c>
      <c r="Y47" s="2946" t="s">
        <v>2813</v>
      </c>
      <c r="Z47" s="2946" t="s">
        <v>2813</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2813</v>
      </c>
      <c r="Y48" s="2946" t="s">
        <v>2813</v>
      </c>
      <c r="Z48" s="2946" t="s">
        <v>2813</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2813</v>
      </c>
      <c r="Y49" s="2946" t="s">
        <v>2813</v>
      </c>
      <c r="Z49" s="2946" t="s">
        <v>2813</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2813</v>
      </c>
      <c r="Y50" s="2946" t="s">
        <v>2813</v>
      </c>
      <c r="Z50" s="2946" t="s">
        <v>2813</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2813</v>
      </c>
      <c r="V51" s="2946" t="s">
        <v>2813</v>
      </c>
      <c r="W51" s="2946" t="s">
        <v>2813</v>
      </c>
      <c r="X51" s="2946" t="s">
        <v>2813</v>
      </c>
      <c r="Y51" s="2946" t="s">
        <v>2813</v>
      </c>
      <c r="Z51" s="2946" t="s">
        <v>2813</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2813</v>
      </c>
      <c r="J55" s="2946" t="s">
        <v>2813</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1" t="s">
        <v>2036</v>
      </c>
      <c r="B1" s="3331"/>
      <c r="C1" s="3331"/>
      <c r="D1" s="3331"/>
      <c r="E1" s="3331"/>
      <c r="F1" s="3331"/>
      <c r="G1" s="3331"/>
      <c r="H1" s="3331"/>
      <c r="I1" s="3331"/>
      <c r="J1" s="3331"/>
      <c r="K1" s="3331"/>
      <c r="L1" s="3331"/>
      <c r="M1" s="3331"/>
      <c r="N1" s="3331"/>
      <c r="O1" s="3331"/>
      <c r="P1" s="3331"/>
      <c r="Q1" s="3331"/>
      <c r="R1" s="3331"/>
    </row>
    <row r="2" spans="1:18">
      <c r="A2" s="1793" t="s">
        <v>2038</v>
      </c>
      <c r="B2" s="1793"/>
      <c r="C2" s="1793"/>
      <c r="D2" s="1793"/>
      <c r="E2" s="1793"/>
      <c r="F2" s="1793"/>
      <c r="G2" s="1793"/>
      <c r="H2" s="1793"/>
      <c r="I2" s="1794"/>
      <c r="J2" s="1794"/>
      <c r="K2" s="1795" t="str">
        <f>"估价期日："&amp;TEXT(项目基本情况!D3,"yyyy年m月d日;;")</f>
        <v>估价期日：2020年5月8日</v>
      </c>
      <c r="L2" s="1793"/>
      <c r="M2" s="1793"/>
      <c r="N2" s="1793"/>
      <c r="O2" s="1793"/>
      <c r="P2" s="1793"/>
      <c r="Q2" s="1793"/>
      <c r="R2" s="1795" t="str">
        <f>"估价期日的国有建设用地使用权性质："&amp;项目基本情况!B16</f>
        <v>估价期日的国有建设用地使用权性质：出让</v>
      </c>
    </row>
    <row r="3" spans="1:18" ht="23.25" customHeight="1">
      <c r="A3" s="3332" t="s">
        <v>2027</v>
      </c>
      <c r="B3" s="3332" t="s">
        <v>2727</v>
      </c>
      <c r="C3" s="3333" t="s">
        <v>2028</v>
      </c>
      <c r="D3" s="3332" t="s">
        <v>2731</v>
      </c>
      <c r="E3" s="3327" t="s">
        <v>2029</v>
      </c>
      <c r="F3" s="3327"/>
      <c r="G3" s="3327"/>
      <c r="H3" s="3327" t="s">
        <v>2030</v>
      </c>
      <c r="I3" s="3327"/>
      <c r="J3" s="3327"/>
      <c r="K3" s="3333" t="s">
        <v>2031</v>
      </c>
      <c r="L3" s="3333" t="s">
        <v>2032</v>
      </c>
      <c r="M3" s="3332" t="s">
        <v>2728</v>
      </c>
      <c r="N3" s="3334" t="str">
        <f>"（分摊）"&amp;项目基本情况!B16&amp;"国有建设用地使用权面积/㎡"</f>
        <v>（分摊）出让国有建设用地使用权面积/㎡</v>
      </c>
      <c r="O3" s="3332" t="s">
        <v>2061</v>
      </c>
      <c r="P3" s="3333" t="s">
        <v>2041</v>
      </c>
      <c r="Q3" s="3333" t="s">
        <v>2062</v>
      </c>
      <c r="R3" s="3333" t="s">
        <v>2033</v>
      </c>
    </row>
    <row r="4" spans="1:18" ht="36.75" customHeight="1">
      <c r="A4" s="3332"/>
      <c r="B4" s="3332"/>
      <c r="C4" s="3333"/>
      <c r="D4" s="3332"/>
      <c r="E4" s="2614" t="s">
        <v>2040</v>
      </c>
      <c r="F4" s="2614" t="s">
        <v>2740</v>
      </c>
      <c r="G4" s="2614" t="s">
        <v>2034</v>
      </c>
      <c r="H4" s="2614" t="s">
        <v>2035</v>
      </c>
      <c r="I4" s="2614" t="s">
        <v>2741</v>
      </c>
      <c r="J4" s="2614" t="s">
        <v>2034</v>
      </c>
      <c r="K4" s="3333"/>
      <c r="L4" s="3333"/>
      <c r="M4" s="3332"/>
      <c r="N4" s="3334"/>
      <c r="O4" s="3332"/>
      <c r="P4" s="3333"/>
      <c r="Q4" s="3333"/>
      <c r="R4" s="3333"/>
    </row>
    <row r="5" spans="1:18" ht="135" customHeight="1">
      <c r="A5" s="1929" t="s">
        <v>2651</v>
      </c>
      <c r="B5" s="2823" t="s">
        <v>2649</v>
      </c>
      <c r="C5" s="2613">
        <v>22</v>
      </c>
      <c r="D5" s="2612" t="s">
        <v>2650</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245539.3</v>
      </c>
      <c r="O5" s="1796">
        <f>项目基本情况!C21</f>
        <v>245539.3</v>
      </c>
      <c r="P5" s="1796">
        <f ca="1">结果表!E42</f>
        <v>3502</v>
      </c>
      <c r="Q5" s="1796">
        <f ca="1">结果表!D42</f>
        <v>3502</v>
      </c>
      <c r="R5" s="1797">
        <f ca="1">结果表!C42</f>
        <v>85991</v>
      </c>
    </row>
    <row r="6" spans="1:18">
      <c r="A6" s="3328" t="str">
        <f>IF(项目基本情况!B9="市场价格","——","抵押价格")</f>
        <v>抵押价格</v>
      </c>
      <c r="B6" s="3329"/>
      <c r="C6" s="3329"/>
      <c r="D6" s="3329"/>
      <c r="E6" s="3329"/>
      <c r="F6" s="3329"/>
      <c r="G6" s="3329"/>
      <c r="H6" s="3329"/>
      <c r="I6" s="3329"/>
      <c r="J6" s="3329"/>
      <c r="K6" s="3329"/>
      <c r="L6" s="3329"/>
      <c r="M6" s="3329"/>
      <c r="N6" s="3329"/>
      <c r="O6" s="3329"/>
      <c r="P6" s="3329"/>
      <c r="Q6" s="3330"/>
      <c r="R6" s="1798" t="str">
        <f>结果表!O39</f>
        <v>——</v>
      </c>
    </row>
    <row r="7" spans="1:18">
      <c r="A7" s="3328" t="str">
        <f>IF(项目基本情况!B9="市场价格","——",IF(项目基本情况!E8="已注销及未注销","抵押担保权已注销时的抵押价格","——"))</f>
        <v>——</v>
      </c>
      <c r="B7" s="3329"/>
      <c r="C7" s="3329"/>
      <c r="D7" s="3329"/>
      <c r="E7" s="3329"/>
      <c r="F7" s="3329"/>
      <c r="G7" s="3329"/>
      <c r="H7" s="3329"/>
      <c r="I7" s="3329"/>
      <c r="J7" s="3329"/>
      <c r="K7" s="3329"/>
      <c r="L7" s="3329"/>
      <c r="M7" s="3329"/>
      <c r="N7" s="3329"/>
      <c r="O7" s="3329"/>
      <c r="P7" s="3329"/>
      <c r="Q7" s="3330"/>
      <c r="R7" s="1798" t="str">
        <f>结果表!O40</f>
        <v>——</v>
      </c>
    </row>
    <row r="8" spans="1:18">
      <c r="A8" s="3328">
        <f>IF(项目基本情况!B9="市场价格","——",项目基本情况!E9)</f>
        <v>0</v>
      </c>
      <c r="B8" s="3329"/>
      <c r="C8" s="3329"/>
      <c r="D8" s="3329"/>
      <c r="E8" s="3329"/>
      <c r="F8" s="3329"/>
      <c r="G8" s="3329"/>
      <c r="H8" s="3329"/>
      <c r="I8" s="3329"/>
      <c r="J8" s="3329"/>
      <c r="K8" s="3329"/>
      <c r="L8" s="3329"/>
      <c r="M8" s="3329"/>
      <c r="N8" s="3329"/>
      <c r="O8" s="3329"/>
      <c r="P8" s="3329"/>
      <c r="Q8" s="3330"/>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336" t="s">
        <v>2063</v>
      </c>
      <c r="B1" s="3336"/>
      <c r="C1" s="3336"/>
      <c r="D1" s="3336"/>
    </row>
    <row r="2" spans="1:4" ht="47.25" customHeight="1">
      <c r="A2" s="3337" t="str">
        <f>"1.权利限制："&amp;项目基本情况!L24&amp;"未设定租赁等其他他项权利。"</f>
        <v>1.权利限制：根据估价对象《不动产权证书》原件、《国有土地使用权》复印件，截至估价期日，估价对象抵押权未见登记。未设定租赁等其他他项权利。</v>
      </c>
      <c r="B2" s="3337"/>
      <c r="C2" s="3337"/>
      <c r="D2" s="3337"/>
    </row>
    <row r="3" spans="1:4" ht="48" customHeight="1">
      <c r="A3" s="33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6"/>
      <c r="C3" s="3336"/>
      <c r="D3" s="3336"/>
    </row>
    <row r="4" spans="1:4" ht="36.75" customHeight="1">
      <c r="A4" s="3336" t="str">
        <f>"3.估价规划限制条件：详见"&amp;项目基本情况!E21&amp;"。"</f>
        <v>3.估价规划限制条件：详见《建设工程规划许可证》[]、《出让合同》[]。</v>
      </c>
      <c r="B4" s="3336"/>
      <c r="C4" s="3336"/>
      <c r="D4" s="3336"/>
    </row>
    <row r="5" spans="1:4">
      <c r="A5" s="3335" t="s">
        <v>2064</v>
      </c>
      <c r="B5" s="3335"/>
      <c r="C5" s="3335"/>
      <c r="D5" s="3335"/>
    </row>
    <row r="6" spans="1:4">
      <c r="A6" s="3336" t="s">
        <v>2042</v>
      </c>
      <c r="B6" s="3336"/>
      <c r="C6" s="3336"/>
      <c r="D6" s="3336"/>
    </row>
    <row r="7" spans="1:4" ht="33" customHeight="1">
      <c r="A7" s="3336" t="s">
        <v>2571</v>
      </c>
      <c r="B7" s="3336"/>
      <c r="C7" s="3336"/>
      <c r="D7" s="3336"/>
    </row>
    <row r="8" spans="1:4" ht="32.25" customHeight="1">
      <c r="A8" s="33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36"/>
      <c r="C8" s="3336"/>
      <c r="D8" s="3336"/>
    </row>
    <row r="9" spans="1:4" ht="33.75" customHeight="1">
      <c r="A9" s="3336" t="str">
        <f>IF(项目基本情况!B8="抵押","3.抵押双方在办理抵押登记手续时，应使用本公司出具的正式《土地估价报告》，特提请报告使用者注意。","——")</f>
        <v>——</v>
      </c>
      <c r="B9" s="3336"/>
      <c r="C9" s="3336"/>
      <c r="D9" s="3336"/>
    </row>
    <row r="10" spans="1:4">
      <c r="A10" s="3336" t="str">
        <f>IF(项目基本情况!B8="抵押","4.估价师所知悉的法定优先受偿款情况为：","——")</f>
        <v>——</v>
      </c>
      <c r="B10" s="3336"/>
      <c r="C10" s="3336"/>
      <c r="D10" s="3336"/>
    </row>
    <row r="11" spans="1:4" ht="37.5" customHeight="1">
      <c r="A11" s="3338" t="str">
        <f>IF(项目基本情况!B8="抵押","（1）"&amp;CONCATENATE(项目基本情况!L24,项目基本情况!L25,项目基本情况!L26),"——")</f>
        <v>——</v>
      </c>
      <c r="B11" s="3338"/>
      <c r="C11" s="3338"/>
      <c r="D11" s="3338"/>
    </row>
    <row r="12" spans="1:4" ht="168" customHeight="1">
      <c r="A12" s="3335" t="s">
        <v>2066</v>
      </c>
      <c r="B12" s="3335"/>
      <c r="C12" s="3335"/>
      <c r="D12" s="3335"/>
    </row>
    <row r="13" spans="1:4">
      <c r="A13" s="3339" t="s">
        <v>2742</v>
      </c>
      <c r="B13" s="3339"/>
      <c r="C13" s="3339"/>
      <c r="D13" s="3339"/>
    </row>
    <row r="14" spans="1:4">
      <c r="A14" s="3338" t="str">
        <f>IF(项目基本情况!B8="抵押","综上，"&amp;结果表!K47,"——")</f>
        <v>——</v>
      </c>
      <c r="B14" s="3338"/>
      <c r="C14" s="3338"/>
      <c r="D14" s="3338"/>
    </row>
    <row r="15" spans="1:4" ht="58.5" customHeight="1">
      <c r="A15" s="33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6"/>
      <c r="C15" s="3336"/>
      <c r="D15" s="3336"/>
    </row>
    <row r="16" spans="1:4" ht="70.5" customHeight="1">
      <c r="A16" s="33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6"/>
      <c r="C16" s="3336"/>
      <c r="D16" s="3336"/>
    </row>
    <row r="17" spans="1:4">
      <c r="A17" s="3336" t="s">
        <v>2698</v>
      </c>
      <c r="B17" s="3336"/>
      <c r="C17" s="3336"/>
      <c r="D17" s="3336"/>
    </row>
    <row r="18" spans="1:4">
      <c r="A18" s="3336" t="s">
        <v>2690</v>
      </c>
      <c r="B18" s="3336"/>
      <c r="C18" s="3336"/>
      <c r="D18" s="3336"/>
    </row>
    <row r="19" spans="1:4">
      <c r="A19" s="2824" t="s">
        <v>2691</v>
      </c>
      <c r="B19" s="2824" t="s">
        <v>2692</v>
      </c>
      <c r="C19" s="2824" t="s">
        <v>2693</v>
      </c>
      <c r="D19" s="2824" t="s">
        <v>2694</v>
      </c>
    </row>
    <row r="20" spans="1:4">
      <c r="A20" s="2824" t="str">
        <f>项目基本情况!B4</f>
        <v>陈颖</v>
      </c>
      <c r="B20" s="2824">
        <f ca="1">项目基本情况!C4</f>
        <v>2004110096</v>
      </c>
      <c r="C20" s="2826"/>
      <c r="D20" s="1786" t="s">
        <v>2699</v>
      </c>
    </row>
    <row r="21" spans="1:4">
      <c r="A21" s="2824" t="str">
        <f>项目基本情况!D4</f>
        <v>叶凌</v>
      </c>
      <c r="B21" s="2824">
        <f ca="1">项目基本情况!E4</f>
        <v>94010078</v>
      </c>
      <c r="C21" s="2826"/>
      <c r="D21" s="1786" t="s">
        <v>2700</v>
      </c>
    </row>
    <row r="23" spans="1:4">
      <c r="A23" s="3336" t="s">
        <v>2695</v>
      </c>
      <c r="B23" s="3336"/>
      <c r="C23" s="3336"/>
      <c r="D23" s="3336"/>
    </row>
    <row r="24" spans="1:4">
      <c r="A24" s="2824" t="s">
        <v>2691</v>
      </c>
      <c r="B24" s="2824" t="s">
        <v>2696</v>
      </c>
      <c r="C24" s="2824" t="s">
        <v>2693</v>
      </c>
      <c r="D24" s="2824" t="s">
        <v>2694</v>
      </c>
    </row>
    <row r="25" spans="1:4">
      <c r="A25" s="2827" t="s">
        <v>2697</v>
      </c>
      <c r="B25" s="2824" t="s">
        <v>952</v>
      </c>
      <c r="C25" s="2826"/>
      <c r="D25" s="1786" t="s">
        <v>2700</v>
      </c>
    </row>
    <row r="29" spans="1:4">
      <c r="D29" s="2825" t="s">
        <v>2037</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23" sqref="C23"/>
      <selection pane="bottomLeft" activeCell="C23" sqref="C23"/>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347" t="s">
        <v>53</v>
      </c>
      <c r="B15" s="3348" t="s">
        <v>846</v>
      </c>
      <c r="C15" s="3344"/>
    </row>
    <row r="16" spans="1:7" ht="14.25">
      <c r="A16" s="3347"/>
      <c r="B16" s="3345" t="s">
        <v>54</v>
      </c>
      <c r="C16" s="1168" t="s">
        <v>53</v>
      </c>
    </row>
    <row r="17" spans="1:3" ht="14.25">
      <c r="A17" s="3347"/>
      <c r="B17" s="3345"/>
      <c r="C17" s="1168" t="s">
        <v>55</v>
      </c>
    </row>
    <row r="18" spans="1:3" ht="14.25">
      <c r="A18" s="3347"/>
      <c r="B18" s="3345"/>
      <c r="C18" s="1168" t="s">
        <v>56</v>
      </c>
    </row>
    <row r="19" spans="1:3" ht="14.25">
      <c r="A19" s="3347"/>
      <c r="B19" s="3343" t="s">
        <v>57</v>
      </c>
      <c r="C19" s="3344"/>
    </row>
    <row r="20" spans="1:3" ht="14.25">
      <c r="A20" s="1169" t="s">
        <v>58</v>
      </c>
      <c r="B20" s="1170"/>
      <c r="C20" s="1171"/>
    </row>
    <row r="21" spans="1:3" ht="14.25">
      <c r="A21" s="3346" t="s">
        <v>59</v>
      </c>
      <c r="B21" s="3343" t="s">
        <v>60</v>
      </c>
      <c r="C21" s="3344"/>
    </row>
    <row r="22" spans="1:3" ht="14.25">
      <c r="A22" s="3346"/>
      <c r="B22" s="3343" t="s">
        <v>61</v>
      </c>
      <c r="C22" s="3344"/>
    </row>
    <row r="23" spans="1:3" ht="14.25">
      <c r="A23" s="3346"/>
      <c r="B23" s="3343" t="s">
        <v>62</v>
      </c>
      <c r="C23" s="3344"/>
    </row>
    <row r="24" spans="1:3" ht="14.25">
      <c r="A24" s="3346"/>
      <c r="B24" s="3349" t="s">
        <v>63</v>
      </c>
      <c r="C24" s="1172" t="s">
        <v>837</v>
      </c>
    </row>
    <row r="25" spans="1:3" ht="14.25">
      <c r="A25" s="3346"/>
      <c r="B25" s="3350"/>
      <c r="C25" s="1172" t="s">
        <v>838</v>
      </c>
    </row>
    <row r="26" spans="1:3" ht="14.25">
      <c r="A26" s="3346"/>
      <c r="B26" s="3350"/>
      <c r="C26" s="1172" t="s">
        <v>839</v>
      </c>
    </row>
    <row r="27" spans="1:3" ht="14.25">
      <c r="A27" s="3346"/>
      <c r="B27" s="3350"/>
      <c r="C27" s="1172" t="s">
        <v>840</v>
      </c>
    </row>
    <row r="28" spans="1:3" ht="14.25">
      <c r="A28" s="3346"/>
      <c r="B28" s="3350"/>
      <c r="C28" s="1172" t="s">
        <v>841</v>
      </c>
    </row>
    <row r="29" spans="1:3" ht="14.25">
      <c r="A29" s="3346"/>
      <c r="B29" s="3350"/>
      <c r="C29" s="1172" t="s">
        <v>842</v>
      </c>
    </row>
    <row r="30" spans="1:3" ht="14.25">
      <c r="A30" s="3346"/>
      <c r="B30" s="3350"/>
      <c r="C30" s="1172" t="s">
        <v>843</v>
      </c>
    </row>
    <row r="31" spans="1:3" ht="14.25">
      <c r="A31" s="3346"/>
      <c r="B31" s="3350"/>
      <c r="C31" s="1172" t="s">
        <v>844</v>
      </c>
    </row>
    <row r="32" spans="1:3" ht="14.25">
      <c r="A32" s="3346"/>
      <c r="B32" s="3350"/>
      <c r="C32" s="1172" t="s">
        <v>1646</v>
      </c>
    </row>
    <row r="33" spans="1:3" ht="14.25">
      <c r="A33" s="3346"/>
      <c r="B33" s="3340" t="s">
        <v>1652</v>
      </c>
      <c r="C33" s="1172" t="s">
        <v>1647</v>
      </c>
    </row>
    <row r="34" spans="1:3" ht="14.25">
      <c r="A34" s="3346"/>
      <c r="B34" s="3341"/>
      <c r="C34" s="1177" t="s">
        <v>1648</v>
      </c>
    </row>
    <row r="35" spans="1:3" ht="14.25">
      <c r="A35" s="3346"/>
      <c r="B35" s="3341"/>
      <c r="C35" s="1178" t="s">
        <v>1649</v>
      </c>
    </row>
    <row r="36" spans="1:3" ht="14.25">
      <c r="A36" s="3346"/>
      <c r="B36" s="3341"/>
      <c r="C36" s="1178" t="s">
        <v>1650</v>
      </c>
    </row>
    <row r="37" spans="1:3" ht="14.25">
      <c r="A37" s="3346"/>
      <c r="B37" s="334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10" sqref="E10"/>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43964</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44876</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44876</v>
      </c>
      <c r="D8" s="3132" t="s">
        <v>1917</v>
      </c>
      <c r="E8" s="3132">
        <f ca="1">IF(F8&lt;B2,"已过期",2000110082)</f>
        <v>2000110082</v>
      </c>
      <c r="F8" s="3135">
        <v>46387</v>
      </c>
    </row>
    <row r="9" spans="1:6" ht="20.25" customHeight="1">
      <c r="A9" s="3132" t="s">
        <v>1918</v>
      </c>
      <c r="B9" s="3132">
        <f ca="1">IF(C9&lt;B2,"已过期",1419970001)</f>
        <v>1419970001</v>
      </c>
      <c r="C9" s="3134">
        <v>44899</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2976</v>
      </c>
      <c r="B14" s="3132">
        <f ca="1">IF(C14&lt;B2,"已过期",1120040230)</f>
        <v>1120040230</v>
      </c>
      <c r="C14" s="3136">
        <v>44864</v>
      </c>
      <c r="D14" s="3137" t="s">
        <v>2977</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2989</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2991</v>
      </c>
      <c r="B23" s="3132">
        <v>1119980106</v>
      </c>
      <c r="C23" s="3134">
        <v>44969</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351" t="s">
        <v>1924</v>
      </c>
      <c r="B25" s="3351"/>
      <c r="C25" s="3351"/>
      <c r="D25" s="3351"/>
      <c r="E25" s="3351"/>
      <c r="F25" s="3351"/>
      <c r="G25" s="3351"/>
    </row>
    <row r="26" spans="1:7" ht="20.25" customHeight="1">
      <c r="A26" s="3352" t="s">
        <v>1925</v>
      </c>
      <c r="B26" s="3352"/>
      <c r="C26" s="3352"/>
      <c r="D26" s="3352" t="s">
        <v>1926</v>
      </c>
      <c r="E26" s="3352"/>
      <c r="F26" s="3352"/>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2990</v>
      </c>
      <c r="F29" s="3144">
        <v>44012</v>
      </c>
    </row>
    <row r="30" spans="1:7" ht="20.25" customHeight="1">
      <c r="C30" s="3146"/>
      <c r="D30" s="3146"/>
    </row>
  </sheetData>
  <sheetProtection sheet="1" objects="1" scenarios="1"/>
  <mergeCells count="3">
    <mergeCell ref="A25:G25"/>
    <mergeCell ref="A26:C26"/>
    <mergeCell ref="D26:F26"/>
  </mergeCells>
  <phoneticPr fontId="4" type="noConversion"/>
  <conditionalFormatting sqref="C24:D24">
    <cfRule type="expression" dxfId="218" priority="137">
      <formula>AND($C24-TODAY()&lt;30,TODAY()&lt;$C24)</formula>
    </cfRule>
  </conditionalFormatting>
  <conditionalFormatting sqref="C28">
    <cfRule type="expression" dxfId="217" priority="136">
      <formula>AND($C28-TODAY()&lt;30,TODAY()&lt;$C28)</formula>
    </cfRule>
  </conditionalFormatting>
  <conditionalFormatting sqref="C28 F4">
    <cfRule type="cellIs" dxfId="216" priority="138" stopIfTrue="1" operator="lessThan">
      <formula>$B$2</formula>
    </cfRule>
  </conditionalFormatting>
  <conditionalFormatting sqref="F5">
    <cfRule type="cellIs" dxfId="215" priority="134" stopIfTrue="1" operator="lessThan">
      <formula>$B$2</formula>
    </cfRule>
  </conditionalFormatting>
  <conditionalFormatting sqref="F6 F8 F10">
    <cfRule type="cellIs" dxfId="214" priority="132" stopIfTrue="1" operator="lessThan">
      <formula>$B$2</formula>
    </cfRule>
  </conditionalFormatting>
  <conditionalFormatting sqref="C24:D24">
    <cfRule type="expression" dxfId="213" priority="130">
      <formula>AND($C24-TODAY()&lt;30,TODAY()&lt;$C24)</formula>
    </cfRule>
  </conditionalFormatting>
  <conditionalFormatting sqref="F7 F9 F11 C24:D24">
    <cfRule type="cellIs" dxfId="212" priority="131" stopIfTrue="1" operator="lessThan">
      <formula>$B$2</formula>
    </cfRule>
  </conditionalFormatting>
  <conditionalFormatting sqref="F18">
    <cfRule type="cellIs" dxfId="211" priority="103" stopIfTrue="1" operator="lessThan">
      <formula>$B$2</formula>
    </cfRule>
  </conditionalFormatting>
  <conditionalFormatting sqref="F22">
    <cfRule type="cellIs" dxfId="210" priority="102" stopIfTrue="1" operator="lessThan">
      <formula>$B$2</formula>
    </cfRule>
  </conditionalFormatting>
  <conditionalFormatting sqref="F21">
    <cfRule type="cellIs" dxfId="209" priority="101" stopIfTrue="1" operator="lessThan">
      <formula>$B$2</formula>
    </cfRule>
  </conditionalFormatting>
  <conditionalFormatting sqref="B4:B11 E4:E11 E18:E23 B17:B23 B13 E13">
    <cfRule type="cellIs" dxfId="208" priority="99" stopIfTrue="1" operator="equal">
      <formula>"已过期"</formula>
    </cfRule>
  </conditionalFormatting>
  <conditionalFormatting sqref="F28">
    <cfRule type="cellIs" dxfId="207" priority="96" stopIfTrue="1" operator="lessThan">
      <formula>$B$2</formula>
    </cfRule>
  </conditionalFormatting>
  <conditionalFormatting sqref="F28">
    <cfRule type="expression" dxfId="206" priority="140">
      <formula>AND($E28-TODAY()&lt;30,TODAY()&lt;$E28)</formula>
    </cfRule>
  </conditionalFormatting>
  <conditionalFormatting sqref="C5">
    <cfRule type="expression" dxfId="205" priority="91">
      <formula>AND($C5-TODAY()&lt;30,TODAY()&lt;$C5)</formula>
    </cfRule>
  </conditionalFormatting>
  <conditionalFormatting sqref="C5">
    <cfRule type="cellIs" dxfId="204" priority="92" stopIfTrue="1" operator="lessThan">
      <formula>$B$2</formula>
    </cfRule>
  </conditionalFormatting>
  <conditionalFormatting sqref="C5:C6">
    <cfRule type="expression" dxfId="203" priority="89">
      <formula>AND($C5-TODAY()&lt;30,TODAY()&lt;$C5)</formula>
    </cfRule>
  </conditionalFormatting>
  <conditionalFormatting sqref="C5:C6">
    <cfRule type="cellIs" dxfId="202" priority="90" stopIfTrue="1" operator="lessThan">
      <formula>$B$2</formula>
    </cfRule>
  </conditionalFormatting>
  <conditionalFormatting sqref="C7">
    <cfRule type="expression" dxfId="201" priority="70">
      <formula>AND($C7-TODAY()&lt;30,TODAY()&lt;$C7)</formula>
    </cfRule>
  </conditionalFormatting>
  <conditionalFormatting sqref="C7">
    <cfRule type="cellIs" dxfId="200" priority="71" stopIfTrue="1" operator="lessThan">
      <formula>$B$2</formula>
    </cfRule>
  </conditionalFormatting>
  <conditionalFormatting sqref="C13 C17:C21">
    <cfRule type="expression" dxfId="199" priority="68">
      <formula>AND($C13-TODAY()&lt;30,TODAY()&lt;$C13)</formula>
    </cfRule>
  </conditionalFormatting>
  <conditionalFormatting sqref="C13 C17:C21">
    <cfRule type="cellIs" dxfId="198" priority="69" stopIfTrue="1" operator="lessThan">
      <formula>$B$2</formula>
    </cfRule>
  </conditionalFormatting>
  <conditionalFormatting sqref="F13">
    <cfRule type="cellIs" dxfId="197" priority="67" stopIfTrue="1" operator="lessThan">
      <formula>$B$2</formula>
    </cfRule>
  </conditionalFormatting>
  <conditionalFormatting sqref="F12">
    <cfRule type="cellIs" dxfId="196" priority="59" stopIfTrue="1" operator="lessThan">
      <formula>$B$2</formula>
    </cfRule>
  </conditionalFormatting>
  <conditionalFormatting sqref="B12 E12">
    <cfRule type="cellIs" dxfId="195" priority="58" stopIfTrue="1" operator="equal">
      <formula>"已过期"</formula>
    </cfRule>
  </conditionalFormatting>
  <conditionalFormatting sqref="C12">
    <cfRule type="expression" dxfId="194" priority="56">
      <formula>AND($C12-TODAY()&lt;30,TODAY()&lt;$C12)</formula>
    </cfRule>
  </conditionalFormatting>
  <conditionalFormatting sqref="C12">
    <cfRule type="cellIs" dxfId="193" priority="57" stopIfTrue="1" operator="lessThan">
      <formula>$B$2</formula>
    </cfRule>
  </conditionalFormatting>
  <conditionalFormatting sqref="C22">
    <cfRule type="expression" dxfId="192" priority="48">
      <formula>AND($C22-TODAY()&lt;30,TODAY()&lt;$C22)</formula>
    </cfRule>
  </conditionalFormatting>
  <conditionalFormatting sqref="C22">
    <cfRule type="cellIs" dxfId="191" priority="49" stopIfTrue="1" operator="lessThan">
      <formula>$B$2</formula>
    </cfRule>
  </conditionalFormatting>
  <conditionalFormatting sqref="C16">
    <cfRule type="expression" dxfId="190" priority="46">
      <formula>AND($C16-TODAY()&lt;30,TODAY()&lt;$C16)</formula>
    </cfRule>
  </conditionalFormatting>
  <conditionalFormatting sqref="C16">
    <cfRule type="cellIs" dxfId="189" priority="47" stopIfTrue="1" operator="lessThan">
      <formula>$B$2</formula>
    </cfRule>
  </conditionalFormatting>
  <conditionalFormatting sqref="C16">
    <cfRule type="expression" dxfId="188" priority="44">
      <formula>AND($C16-TODAY()&lt;30,TODAY()&lt;$C16)</formula>
    </cfRule>
  </conditionalFormatting>
  <conditionalFormatting sqref="C16">
    <cfRule type="cellIs" dxfId="187" priority="45" stopIfTrue="1" operator="lessThan">
      <formula>$B$2</formula>
    </cfRule>
  </conditionalFormatting>
  <conditionalFormatting sqref="B16">
    <cfRule type="cellIs" dxfId="186" priority="43" stopIfTrue="1" operator="equal">
      <formula>"已过期"</formula>
    </cfRule>
  </conditionalFormatting>
  <conditionalFormatting sqref="C14:C15">
    <cfRule type="expression" dxfId="185" priority="41">
      <formula>AND($C14-TODAY()&lt;30,TODAY()&lt;$C14)</formula>
    </cfRule>
  </conditionalFormatting>
  <conditionalFormatting sqref="C14:C15">
    <cfRule type="cellIs" dxfId="184" priority="42" stopIfTrue="1" operator="lessThan">
      <formula>$B$2</formula>
    </cfRule>
  </conditionalFormatting>
  <conditionalFormatting sqref="C14">
    <cfRule type="expression" dxfId="183" priority="39">
      <formula>AND($C14-TODAY()&lt;30,TODAY()&lt;$C14)</formula>
    </cfRule>
  </conditionalFormatting>
  <conditionalFormatting sqref="C14">
    <cfRule type="cellIs" dxfId="182" priority="40" stopIfTrue="1" operator="lessThan">
      <formula>$B$2</formula>
    </cfRule>
  </conditionalFormatting>
  <conditionalFormatting sqref="C15">
    <cfRule type="expression" dxfId="181" priority="37">
      <formula>AND($C15-TODAY()&lt;30,TODAY()&lt;$C15)</formula>
    </cfRule>
  </conditionalFormatting>
  <conditionalFormatting sqref="C15">
    <cfRule type="cellIs" dxfId="180" priority="38" stopIfTrue="1" operator="lessThan">
      <formula>$B$2</formula>
    </cfRule>
  </conditionalFormatting>
  <conditionalFormatting sqref="B14">
    <cfRule type="cellIs" dxfId="179" priority="36" stopIfTrue="1" operator="equal">
      <formula>"已过期"</formula>
    </cfRule>
  </conditionalFormatting>
  <conditionalFormatting sqref="B15">
    <cfRule type="cellIs" dxfId="178" priority="35" stopIfTrue="1" operator="equal">
      <formula>"已过期"</formula>
    </cfRule>
  </conditionalFormatting>
  <conditionalFormatting sqref="A15">
    <cfRule type="cellIs" dxfId="177" priority="34" stopIfTrue="1" operator="equal">
      <formula>"已过期"</formula>
    </cfRule>
  </conditionalFormatting>
  <conditionalFormatting sqref="C15">
    <cfRule type="expression" dxfId="176" priority="33">
      <formula>AND($C15-TODAY()&lt;30,TODAY()&lt;$C15)</formula>
    </cfRule>
  </conditionalFormatting>
  <conditionalFormatting sqref="F16">
    <cfRule type="cellIs" dxfId="175" priority="32" stopIfTrue="1" operator="lessThan">
      <formula>$B$2</formula>
    </cfRule>
  </conditionalFormatting>
  <conditionalFormatting sqref="E16">
    <cfRule type="cellIs" dxfId="174" priority="31" stopIfTrue="1" operator="equal">
      <formula>"已过期"</formula>
    </cfRule>
  </conditionalFormatting>
  <conditionalFormatting sqref="E15">
    <cfRule type="cellIs" dxfId="173" priority="30" stopIfTrue="1" operator="equal">
      <formula>"已过期"</formula>
    </cfRule>
  </conditionalFormatting>
  <conditionalFormatting sqref="D15">
    <cfRule type="cellIs" dxfId="172" priority="29" stopIfTrue="1" operator="equal">
      <formula>"已过期"</formula>
    </cfRule>
  </conditionalFormatting>
  <conditionalFormatting sqref="F17">
    <cfRule type="cellIs" dxfId="171" priority="28" stopIfTrue="1" operator="lessThan">
      <formula>$B$2</formula>
    </cfRule>
  </conditionalFormatting>
  <conditionalFormatting sqref="E17">
    <cfRule type="cellIs" dxfId="170" priority="27" stopIfTrue="1" operator="equal">
      <formula>"已过期"</formula>
    </cfRule>
  </conditionalFormatting>
  <conditionalFormatting sqref="E14">
    <cfRule type="cellIs" dxfId="169" priority="26" stopIfTrue="1" operator="equal">
      <formula>"已过期"</formula>
    </cfRule>
  </conditionalFormatting>
  <conditionalFormatting sqref="F14">
    <cfRule type="cellIs" dxfId="168" priority="25" stopIfTrue="1" operator="lessThan">
      <formula>$B$2</formula>
    </cfRule>
  </conditionalFormatting>
  <conditionalFormatting sqref="C10:C11">
    <cfRule type="expression" dxfId="167" priority="21">
      <formula>AND($C10-TODAY()&lt;30,TODAY()&lt;$C10)</formula>
    </cfRule>
  </conditionalFormatting>
  <conditionalFormatting sqref="C10:C11">
    <cfRule type="cellIs" dxfId="166" priority="22" stopIfTrue="1" operator="lessThan">
      <formula>$B$2</formula>
    </cfRule>
  </conditionalFormatting>
  <conditionalFormatting sqref="F29">
    <cfRule type="cellIs" dxfId="165" priority="17" stopIfTrue="1" operator="lessThan">
      <formula>$B$2</formula>
    </cfRule>
  </conditionalFormatting>
  <conditionalFormatting sqref="F29">
    <cfRule type="expression" dxfId="164" priority="18">
      <formula>AND($E29-TODAY()&lt;30,TODAY()&lt;$E29)</formula>
    </cfRule>
  </conditionalFormatting>
  <conditionalFormatting sqref="C4">
    <cfRule type="expression" dxfId="163" priority="5">
      <formula>AND($C4-TODAY()&lt;30,TODAY()&lt;$C4)</formula>
    </cfRule>
  </conditionalFormatting>
  <conditionalFormatting sqref="C4">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23">
    <cfRule type="expression" dxfId="159" priority="1">
      <formula>AND($C23-TODAY()&lt;30,TODAY()&lt;$C23)</formula>
    </cfRule>
  </conditionalFormatting>
  <conditionalFormatting sqref="C23">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2542</v>
      </c>
      <c r="R1" s="2547" t="s">
        <v>2536</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2950</v>
      </c>
      <c r="C18" s="1541"/>
    </row>
    <row r="19" spans="1:3">
      <c r="A19" s="8" t="s">
        <v>120</v>
      </c>
      <c r="B19" s="3065" t="s">
        <v>2958</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353"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8日，在规划利用条件下、设定土地开发程度为红线外“七通”、宗地内场地，设定用途为，剩余土地使用年限为的出让国有建设用地使用权价格。</v>
      </c>
      <c r="D53" s="1753"/>
      <c r="E53" s="1753"/>
    </row>
    <row r="54" spans="1:5">
      <c r="A54" s="3353"/>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353"/>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353"/>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353"/>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地图</vt:lpstr>
      <vt:lpstr>土地比较法</vt:lpstr>
      <vt:lpstr>收购补偿方案</vt:lpstr>
      <vt:lpstr>土地案例（原）</vt:lpstr>
      <vt:lpstr>土地案例（新）</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土地比较法!Print_Area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2020-05-13T03:12:56Z</dcterms:modified>
</cp:coreProperties>
</file>