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80" windowWidth="11565" windowHeight="9465" tabRatio="875" firstSheet="9"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不动产比较法-住宅" sheetId="21" r:id="rId29"/>
    <sheet name="不动产收益法" sheetId="15" r:id="rId30"/>
    <sheet name="酒店收入计算" sheetId="57" state="hidden" r:id="rId31"/>
    <sheet name="成本逼近法" sheetId="11" state="hidden" r:id="rId32"/>
    <sheet name="地价" sheetId="59"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8"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S3" i="68" l="1"/>
  <c r="S4" i="68"/>
  <c r="S5" i="68"/>
  <c r="S6" i="68"/>
  <c r="S7" i="68"/>
  <c r="S8" i="68"/>
  <c r="S9" i="68"/>
  <c r="S10" i="68"/>
  <c r="S11" i="68"/>
  <c r="S12" i="68"/>
  <c r="S13" i="68"/>
  <c r="S14" i="68"/>
  <c r="S15" i="68"/>
  <c r="S16" i="68"/>
  <c r="S17" i="68"/>
  <c r="S18" i="68"/>
  <c r="S19" i="68"/>
  <c r="S20" i="68"/>
  <c r="S21" i="68"/>
  <c r="S22" i="68"/>
  <c r="S23" i="68"/>
  <c r="S24" i="68"/>
  <c r="S25" i="68"/>
  <c r="S26" i="68"/>
  <c r="S27" i="68"/>
  <c r="S28" i="68"/>
  <c r="S29" i="68"/>
  <c r="S30" i="68"/>
  <c r="S31" i="68"/>
  <c r="S32" i="68"/>
  <c r="S33" i="68"/>
  <c r="S2" i="68"/>
  <c r="E73" i="39"/>
  <c r="F73" i="39"/>
  <c r="G73" i="39"/>
  <c r="H73" i="39"/>
  <c r="I73" i="39"/>
  <c r="J73" i="39"/>
  <c r="K73" i="39"/>
  <c r="L73" i="39"/>
  <c r="M73" i="39"/>
  <c r="N73" i="39"/>
  <c r="D73" i="39"/>
  <c r="E48" i="39"/>
  <c r="E40" i="39"/>
  <c r="I48" i="39"/>
  <c r="G48" i="39"/>
  <c r="I9" i="39"/>
  <c r="G9" i="39"/>
  <c r="I7" i="39"/>
  <c r="G7" i="39"/>
  <c r="I40" i="39"/>
  <c r="G40" i="39"/>
  <c r="E9" i="39"/>
  <c r="E7" i="39"/>
  <c r="BQ15" i="3"/>
  <c r="BL15" i="3"/>
  <c r="AZ15" i="3"/>
  <c r="BQ13" i="3"/>
  <c r="BM13" i="3"/>
  <c r="AC15" i="3"/>
  <c r="G15" i="3"/>
  <c r="AC13" i="3"/>
  <c r="K7" i="1"/>
  <c r="BQ5" i="3"/>
  <c r="F28" i="6"/>
  <c r="L20" i="6"/>
  <c r="M7" i="1"/>
  <c r="S8" i="1"/>
  <c r="S9" i="1"/>
  <c r="S10" i="1"/>
  <c r="S11" i="1"/>
  <c r="S12" i="1"/>
  <c r="S13" i="1"/>
  <c r="D3" i="21"/>
  <c r="B2" i="21" s="1"/>
  <c r="I7" i="21"/>
  <c r="G7" i="21"/>
  <c r="E7" i="21"/>
  <c r="E120" i="39"/>
  <c r="F120" i="39"/>
  <c r="G120" i="39"/>
  <c r="D120" i="39"/>
  <c r="C12" i="39"/>
  <c r="I7" i="33"/>
  <c r="G7" i="33"/>
  <c r="F20" i="6"/>
  <c r="F19" i="6"/>
  <c r="AH5" i="59"/>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L4" i="9"/>
  <c r="M4" i="9"/>
  <c r="A30" i="64"/>
  <c r="A30" i="51"/>
  <c r="K59" i="15"/>
  <c r="P62" i="15"/>
  <c r="P75" i="15"/>
  <c r="Q74" i="44"/>
  <c r="Q61" i="44"/>
  <c r="Q60" i="44"/>
  <c r="Q53" i="44"/>
  <c r="J51" i="44"/>
  <c r="J52" i="44"/>
  <c r="M48" i="44"/>
  <c r="A16" i="55"/>
  <c r="A15" i="55"/>
  <c r="B66" i="63"/>
  <c r="A14" i="55"/>
  <c r="L26" i="4"/>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s="1"/>
  <c r="O12" i="1" s="1"/>
  <c r="P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O8" i="1" s="1"/>
  <c r="P8" i="1" s="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L13" i="3" s="1"/>
  <c r="AZ13" i="3" s="1"/>
  <c r="AZ5" i="3" s="1"/>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B2" i="36" s="1"/>
  <c r="D3" i="37"/>
  <c r="D3" i="34"/>
  <c r="B2" i="34" s="1"/>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10" i="12" s="1"/>
  <c r="BB12" i="3"/>
  <c r="F9" i="12"/>
  <c r="D9" i="12"/>
  <c r="E9" i="12"/>
  <c r="G9" i="12"/>
  <c r="K5" i="3"/>
  <c r="J5" i="3"/>
  <c r="BE10" i="3"/>
  <c r="BD13" i="3"/>
  <c r="BE13" i="3"/>
  <c r="BF13" i="3"/>
  <c r="BF5" i="3"/>
  <c r="BG13" i="3"/>
  <c r="BG5" i="3"/>
  <c r="BH13" i="3"/>
  <c r="BI13" i="3"/>
  <c r="BI5" i="3"/>
  <c r="BJ13" i="3"/>
  <c r="BK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s="1"/>
  <c r="B9" i="1"/>
  <c r="E9" i="1"/>
  <c r="K9" i="1"/>
  <c r="M9" i="1" s="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M18" i="15"/>
  <c r="A18" i="64"/>
  <c r="B74" i="63"/>
  <c r="C53" i="10"/>
  <c r="A25" i="64"/>
  <c r="A18" i="51"/>
  <c r="B14" i="63"/>
  <c r="BA16" i="3"/>
  <c r="BA17" i="3"/>
  <c r="AZ17" i="3"/>
  <c r="F3" i="35"/>
  <c r="K1" i="43"/>
  <c r="K1" i="12"/>
  <c r="G1" i="44"/>
  <c r="I4" i="6"/>
  <c r="G3" i="46"/>
  <c r="BK5" i="3"/>
  <c r="BO5" i="3"/>
  <c r="BP5" i="3"/>
  <c r="BN5" i="3"/>
  <c r="BL18" i="3"/>
  <c r="AZ18" i="3"/>
  <c r="BC5" i="3"/>
  <c r="E8" i="6"/>
  <c r="BD5" i="3"/>
  <c r="BR5" i="3"/>
  <c r="G28" i="6" s="1"/>
  <c r="E28" i="6" s="1"/>
  <c r="BS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s="1"/>
  <c r="R11" i="1"/>
  <c r="R13" i="1"/>
  <c r="B6" i="1"/>
  <c r="E6" i="1"/>
  <c r="B10" i="1"/>
  <c r="E10" i="1"/>
  <c r="B8" i="1"/>
  <c r="E8" i="1"/>
  <c r="B12" i="1"/>
  <c r="E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9"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58" i="39"/>
  <c r="E53" i="40"/>
  <c r="F27" i="6"/>
  <c r="E5" i="6"/>
  <c r="D21" i="12" s="1"/>
  <c r="C21" i="12" s="1"/>
  <c r="AT6" i="3"/>
  <c r="BA5" i="3"/>
  <c r="E27" i="6"/>
  <c r="G29" i="6"/>
  <c r="E29" i="6"/>
  <c r="K15" i="1"/>
  <c r="AZ16" i="3"/>
  <c r="A9" i="64"/>
  <c r="A9" i="51"/>
  <c r="B9" i="63"/>
  <c r="A3" i="55"/>
  <c r="B56" i="63"/>
  <c r="E4" i="4"/>
  <c r="C4" i="4"/>
  <c r="G66" i="36"/>
  <c r="J18" i="36"/>
  <c r="AE8" i="1"/>
  <c r="W18" i="36"/>
  <c r="AC18" i="36"/>
  <c r="AG6" i="1"/>
  <c r="D12" i="11"/>
  <c r="C12" i="11" s="1"/>
  <c r="L19" i="6"/>
  <c r="L27" i="6"/>
  <c r="B21" i="55"/>
  <c r="B72" i="63"/>
  <c r="B20" i="55"/>
  <c r="B70" i="63"/>
  <c r="C45" i="9"/>
  <c r="H14" i="66"/>
  <c r="B7" i="66"/>
  <c r="R9" i="1"/>
  <c r="R8" i="1"/>
  <c r="F9" i="39"/>
  <c r="AA9" i="39"/>
  <c r="H9" i="39"/>
  <c r="AB9" i="39"/>
  <c r="J9" i="39"/>
  <c r="AC9" i="39"/>
  <c r="O7" i="1"/>
  <c r="P7" i="1" s="1"/>
  <c r="O9" i="1"/>
  <c r="P9" i="1" s="1"/>
  <c r="O11" i="1"/>
  <c r="P11" i="1" s="1"/>
  <c r="O13" i="1"/>
  <c r="P13" i="1" s="1"/>
  <c r="O40" i="9"/>
  <c r="K31" i="9"/>
  <c r="K32" i="9"/>
  <c r="R7" i="54"/>
  <c r="B52" i="63"/>
  <c r="N76" i="9"/>
  <c r="C46" i="9"/>
  <c r="K33" i="9"/>
  <c r="O41" i="9"/>
  <c r="I14" i="66"/>
  <c r="B8" i="66"/>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G30" i="6"/>
  <c r="G31" i="6" s="1"/>
  <c r="I52" i="21"/>
  <c r="J52" i="21"/>
  <c r="C30" i="44"/>
  <c r="C25" i="12"/>
  <c r="C15" i="43"/>
  <c r="C27" i="43"/>
  <c r="C31" i="43"/>
  <c r="C28" i="15"/>
  <c r="H1" i="65"/>
  <c r="W7" i="21"/>
  <c r="F31" i="6"/>
  <c r="H51" i="46"/>
  <c r="X7" i="46"/>
  <c r="E17" i="46"/>
  <c r="N17" i="46"/>
  <c r="O17" i="46"/>
  <c r="M17" i="46"/>
  <c r="L17" i="46"/>
  <c r="H22" i="46"/>
  <c r="Y11" i="46"/>
  <c r="Y13" i="46" s="1"/>
  <c r="H101" i="46"/>
  <c r="G22" i="46"/>
  <c r="J22" i="46"/>
  <c r="F101" i="46"/>
  <c r="D101" i="46"/>
  <c r="E14" i="6"/>
  <c r="E15" i="6"/>
  <c r="E13" i="6"/>
  <c r="E12" i="6"/>
  <c r="E10" i="6"/>
  <c r="E11" i="6"/>
  <c r="AP7" i="1"/>
  <c r="G13" i="1"/>
  <c r="E52" i="37"/>
  <c r="D46" i="36"/>
  <c r="AP16" i="1"/>
  <c r="F22" i="11" s="1"/>
  <c r="E48" i="35"/>
  <c r="D59" i="34"/>
  <c r="G6" i="1"/>
  <c r="H7" i="33"/>
  <c r="F7" i="33"/>
  <c r="H70" i="46"/>
  <c r="F107" i="46"/>
  <c r="H73" i="46"/>
  <c r="H50" i="46"/>
  <c r="H48" i="46"/>
  <c r="F35" i="46"/>
  <c r="I17" i="46"/>
  <c r="G17" i="46"/>
  <c r="C16" i="46"/>
  <c r="H63" i="46"/>
  <c r="I101" i="46"/>
  <c r="I104" i="46" s="1"/>
  <c r="M101" i="46"/>
  <c r="N101" i="46"/>
  <c r="N105" i="46" s="1"/>
  <c r="AC11" i="46"/>
  <c r="AC13" i="46" s="1"/>
  <c r="AD11" i="46"/>
  <c r="AD13" i="46" s="1"/>
  <c r="AJ11" i="46"/>
  <c r="AJ13" i="46" s="1"/>
  <c r="H64" i="46"/>
  <c r="H66" i="46"/>
  <c r="D100" i="46"/>
  <c r="F104" i="46"/>
  <c r="H62" i="46"/>
  <c r="AF12" i="46"/>
  <c r="K100" i="46"/>
  <c r="AB12" i="46"/>
  <c r="AJ12" i="46"/>
  <c r="F105" i="46"/>
  <c r="C101" i="46"/>
  <c r="G101" i="46"/>
  <c r="J101" i="46"/>
  <c r="J106" i="46" s="1"/>
  <c r="B113" i="46"/>
  <c r="N104" i="45"/>
  <c r="L101" i="46"/>
  <c r="F22" i="46"/>
  <c r="E101" i="46"/>
  <c r="Z7" i="46"/>
  <c r="K101" i="46"/>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8" i="59"/>
  <c r="C7" i="59"/>
  <c r="T7" i="59"/>
  <c r="B6" i="52"/>
  <c r="E6" i="52"/>
  <c r="B7" i="52"/>
  <c r="P21" i="46"/>
  <c r="B8" i="59"/>
  <c r="B7" i="59"/>
  <c r="S7" i="59"/>
  <c r="D8" i="59"/>
  <c r="P22" i="46"/>
  <c r="P23" i="46"/>
  <c r="P25" i="46"/>
  <c r="B73" i="39"/>
  <c r="P24" i="46"/>
  <c r="B68" i="40"/>
  <c r="B22" i="52"/>
  <c r="B11" i="52"/>
  <c r="E9" i="52"/>
  <c r="E11" i="52"/>
  <c r="E13" i="52"/>
  <c r="E8" i="52"/>
  <c r="B5" i="52"/>
  <c r="B16" i="52"/>
  <c r="B13" i="52"/>
  <c r="E21" i="52"/>
  <c r="F33" i="44"/>
  <c r="F31" i="15"/>
  <c r="F58" i="15"/>
  <c r="M17" i="15"/>
  <c r="M19" i="44"/>
  <c r="E65" i="40"/>
  <c r="D67" i="40"/>
  <c r="F7" i="21"/>
  <c r="E70" i="39"/>
  <c r="D72" i="39"/>
  <c r="AB7" i="21"/>
  <c r="T48" i="21"/>
  <c r="G48" i="21"/>
  <c r="U7" i="21"/>
  <c r="F6" i="59"/>
  <c r="F5" i="59"/>
  <c r="V7" i="59"/>
  <c r="B6" i="59"/>
  <c r="B5" i="59"/>
  <c r="D7" i="59"/>
  <c r="C6" i="59"/>
  <c r="D107" i="46"/>
  <c r="I1" i="65"/>
  <c r="H107" i="46"/>
  <c r="C5" i="46"/>
  <c r="H109" i="46"/>
  <c r="H106" i="46"/>
  <c r="D5" i="46"/>
  <c r="D104" i="46"/>
  <c r="E16" i="6"/>
  <c r="E60" i="40"/>
  <c r="E65" i="39"/>
  <c r="E61" i="40"/>
  <c r="E66" i="39"/>
  <c r="E63" i="39"/>
  <c r="E58" i="40"/>
  <c r="E64" i="39"/>
  <c r="E59" i="40"/>
  <c r="E67" i="39"/>
  <c r="E62" i="40"/>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c r="G48" i="33"/>
  <c r="U7" i="33"/>
  <c r="F48" i="35"/>
  <c r="E46" i="36"/>
  <c r="AA7" i="33"/>
  <c r="R48" i="33"/>
  <c r="S7" i="33"/>
  <c r="E59" i="34"/>
  <c r="F59" i="34"/>
  <c r="G59" i="34"/>
  <c r="H59" i="34"/>
  <c r="I59" i="34"/>
  <c r="J59" i="34"/>
  <c r="K59" i="34"/>
  <c r="L59" i="34"/>
  <c r="M59" i="34"/>
  <c r="N59" i="34"/>
  <c r="O59" i="34"/>
  <c r="F52" i="37"/>
  <c r="N104" i="46"/>
  <c r="N109" i="46"/>
  <c r="I105" i="46"/>
  <c r="K103" i="46"/>
  <c r="K105" i="46"/>
  <c r="E103" i="46"/>
  <c r="L105" i="46"/>
  <c r="C23" i="46"/>
  <c r="C21" i="46" s="1"/>
  <c r="C29" i="46" s="1"/>
  <c r="E29" i="46" s="1"/>
  <c r="C26" i="46" s="1"/>
  <c r="B2" i="46" s="1"/>
  <c r="I115" i="46"/>
  <c r="J115" i="46" s="1"/>
  <c r="K115" i="46" s="1"/>
  <c r="L115" i="46" s="1"/>
  <c r="M115" i="46" s="1"/>
  <c r="B116" i="46"/>
  <c r="C116" i="46" s="1"/>
  <c r="I117" i="46"/>
  <c r="J117" i="46" s="1"/>
  <c r="K117" i="46" s="1"/>
  <c r="L117" i="46" s="1"/>
  <c r="M117" i="46" s="1"/>
  <c r="G103" i="46"/>
  <c r="G105" i="46"/>
  <c r="J107" i="46"/>
  <c r="J102" i="46"/>
  <c r="J103" i="46"/>
  <c r="C107" i="46"/>
  <c r="C102" i="46"/>
  <c r="C105" i="46"/>
  <c r="C7" i="46"/>
  <c r="G52" i="21"/>
  <c r="H52" i="21"/>
  <c r="G53" i="21"/>
  <c r="H53" i="21"/>
  <c r="F70" i="39"/>
  <c r="E72" i="39"/>
  <c r="AA7" i="21"/>
  <c r="R48" i="21"/>
  <c r="S7" i="21"/>
  <c r="F65" i="40"/>
  <c r="E67" i="40"/>
  <c r="D6" i="59"/>
  <c r="C5" i="59"/>
  <c r="D5" i="59"/>
  <c r="G20" i="46"/>
  <c r="E41" i="46"/>
  <c r="C41" i="46"/>
  <c r="S5" i="46"/>
  <c r="T5" i="46" s="1"/>
  <c r="V5" i="46" s="1"/>
  <c r="S2" i="46"/>
  <c r="T2" i="46" s="1"/>
  <c r="S3" i="46"/>
  <c r="T3" i="46" s="1"/>
  <c r="V3" i="46" s="1"/>
  <c r="S7" i="46"/>
  <c r="S6" i="46"/>
  <c r="T6" i="46" s="1"/>
  <c r="V6" i="46" s="1"/>
  <c r="S4" i="46"/>
  <c r="T4" i="46" s="1"/>
  <c r="E68" i="39"/>
  <c r="G52" i="37"/>
  <c r="H7" i="34"/>
  <c r="J7" i="34"/>
  <c r="R49" i="33"/>
  <c r="E48" i="33"/>
  <c r="G48" i="35"/>
  <c r="G52" i="33"/>
  <c r="H52" i="33"/>
  <c r="G53" i="33"/>
  <c r="H53" i="33"/>
  <c r="F46" i="36"/>
  <c r="G46" i="36"/>
  <c r="H46" i="36"/>
  <c r="I46" i="36"/>
  <c r="J46" i="36"/>
  <c r="K46" i="36"/>
  <c r="L46" i="36"/>
  <c r="M46" i="36"/>
  <c r="N46" i="36"/>
  <c r="O46" i="36"/>
  <c r="F7" i="34"/>
  <c r="F67" i="40"/>
  <c r="G65" i="40"/>
  <c r="E48" i="21"/>
  <c r="R49" i="21"/>
  <c r="F72" i="39"/>
  <c r="G70" i="39"/>
  <c r="F7" i="36"/>
  <c r="S7" i="36"/>
  <c r="C20" i="46"/>
  <c r="M20" i="46"/>
  <c r="C19" i="46"/>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H65" i="40"/>
  <c r="G67" i="40"/>
  <c r="E53" i="21"/>
  <c r="F53" i="21"/>
  <c r="E52" i="21"/>
  <c r="F52" i="21"/>
  <c r="I53" i="21"/>
  <c r="J53" i="21"/>
  <c r="C34" i="46"/>
  <c r="E34" i="46"/>
  <c r="T11" i="46"/>
  <c r="V11" i="46"/>
  <c r="T8" i="46"/>
  <c r="V8" i="46"/>
  <c r="T15" i="46"/>
  <c r="V15" i="46"/>
  <c r="T9" i="46"/>
  <c r="V9" i="46"/>
  <c r="C38" i="46"/>
  <c r="C36" i="46"/>
  <c r="T7" i="46"/>
  <c r="V7" i="46" s="1"/>
  <c r="C37" i="46"/>
  <c r="G34" i="46"/>
  <c r="I34" i="46"/>
  <c r="T10" i="46"/>
  <c r="V10" i="46"/>
  <c r="T13" i="46"/>
  <c r="V13" i="46"/>
  <c r="T12" i="46"/>
  <c r="V12" i="46"/>
  <c r="T14" i="46"/>
  <c r="V14" i="46"/>
  <c r="T16" i="46"/>
  <c r="V16" i="46"/>
  <c r="C35" i="46"/>
  <c r="G35" i="46"/>
  <c r="I35" i="46"/>
  <c r="C39" i="46"/>
  <c r="V2" i="46"/>
  <c r="V4" i="46"/>
  <c r="C33" i="46"/>
  <c r="E35" i="46"/>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G39" i="46"/>
  <c r="I39" i="46"/>
  <c r="E39" i="46"/>
  <c r="E38" i="46"/>
  <c r="G38" i="46"/>
  <c r="I38" i="46"/>
  <c r="E33" i="46"/>
  <c r="G33" i="46"/>
  <c r="I33" i="46"/>
  <c r="G37" i="46"/>
  <c r="I37" i="46"/>
  <c r="E37" i="46"/>
  <c r="G36" i="46"/>
  <c r="I36" i="46"/>
  <c r="E36" i="46"/>
  <c r="E40" i="36"/>
  <c r="F40" i="36"/>
  <c r="E41" i="36"/>
  <c r="F41" i="36"/>
  <c r="J48" i="35"/>
  <c r="G41" i="36"/>
  <c r="H41" i="36"/>
  <c r="G40" i="36"/>
  <c r="H40" i="36"/>
  <c r="E54" i="34"/>
  <c r="F54" i="34"/>
  <c r="E53" i="34"/>
  <c r="F53" i="34"/>
  <c r="I40" i="36"/>
  <c r="J40" i="36"/>
  <c r="I41" i="36"/>
  <c r="J41" i="36"/>
  <c r="C37" i="36"/>
  <c r="B3" i="36"/>
  <c r="C36" i="36"/>
  <c r="C50" i="34"/>
  <c r="B3"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N65" i="40"/>
  <c r="N67" i="40"/>
  <c r="M67" i="40"/>
  <c r="F9" i="40"/>
  <c r="L46" i="15"/>
  <c r="AA7" i="37"/>
  <c r="R42" i="37"/>
  <c r="S7" i="37"/>
  <c r="E43" i="35"/>
  <c r="F43" i="35"/>
  <c r="E42" i="35"/>
  <c r="F42" i="35"/>
  <c r="I43" i="35"/>
  <c r="J43" i="35"/>
  <c r="C39" i="35"/>
  <c r="B3" i="35"/>
  <c r="B2" i="35" s="1"/>
  <c r="C38" i="35"/>
  <c r="H7" i="37"/>
  <c r="J7" i="37"/>
  <c r="AA9" i="40"/>
  <c r="R44" i="40"/>
  <c r="E44" i="40" s="1"/>
  <c r="S9" i="40"/>
  <c r="W9" i="39"/>
  <c r="J9" i="40"/>
  <c r="S9" i="39"/>
  <c r="U9" i="39"/>
  <c r="H9" i="40"/>
  <c r="W7" i="37"/>
  <c r="AC7" i="37"/>
  <c r="V42" i="37"/>
  <c r="I42" i="37"/>
  <c r="AB7" i="37"/>
  <c r="T42" i="37"/>
  <c r="G42" i="37"/>
  <c r="U7" i="37"/>
  <c r="E42" i="37"/>
  <c r="R43" i="37"/>
  <c r="AB9" i="40"/>
  <c r="T44" i="40"/>
  <c r="G44" i="40" s="1"/>
  <c r="G48" i="40" s="1"/>
  <c r="H48" i="40" s="1"/>
  <c r="U9" i="40"/>
  <c r="AC9" i="40"/>
  <c r="V44" i="40"/>
  <c r="I44" i="40" s="1"/>
  <c r="W9" i="40"/>
  <c r="C43" i="37"/>
  <c r="B3" i="37"/>
  <c r="B2" i="37"/>
  <c r="C42" i="37"/>
  <c r="I46" i="37"/>
  <c r="J46" i="37"/>
  <c r="I47" i="37"/>
  <c r="J47" i="37"/>
  <c r="E47" i="37"/>
  <c r="F47" i="37"/>
  <c r="E46" i="37"/>
  <c r="F46" i="37"/>
  <c r="G46" i="37"/>
  <c r="H46" i="37"/>
  <c r="G47" i="37"/>
  <c r="H47" i="37"/>
  <c r="F6" i="15"/>
  <c r="F9" i="15"/>
  <c r="N4" i="65"/>
  <c r="F16" i="15"/>
  <c r="F43" i="15"/>
  <c r="F26" i="15"/>
  <c r="F40" i="15"/>
  <c r="M8" i="15"/>
  <c r="M9" i="15"/>
  <c r="M26" i="15"/>
  <c r="B9" i="67"/>
  <c r="L48" i="44"/>
  <c r="F39" i="44"/>
  <c r="B14" i="67"/>
  <c r="F15" i="44"/>
  <c r="L47" i="15"/>
  <c r="M28" i="44"/>
  <c r="F8" i="67"/>
  <c r="F37" i="44"/>
  <c r="F13" i="67"/>
  <c r="F46" i="44"/>
  <c r="L49" i="44"/>
  <c r="N3" i="65"/>
  <c r="F40" i="44"/>
  <c r="M23" i="44"/>
  <c r="F11" i="67"/>
  <c r="M10" i="44"/>
  <c r="F9" i="44"/>
  <c r="E8" i="67"/>
  <c r="J36" i="15"/>
  <c r="F43" i="44"/>
  <c r="F38" i="44"/>
  <c r="E11" i="67"/>
  <c r="N7" i="65"/>
  <c r="E10" i="67"/>
  <c r="E9" i="67"/>
  <c r="F8" i="15"/>
  <c r="F7" i="15"/>
  <c r="I5" i="65"/>
  <c r="E2" i="65" s="1"/>
  <c r="F36" i="15"/>
  <c r="F13" i="15"/>
  <c r="F37" i="15"/>
  <c r="F38" i="15"/>
  <c r="F42" i="15"/>
  <c r="L48" i="15"/>
  <c r="M6" i="15"/>
  <c r="AE6" i="1"/>
  <c r="M24" i="44"/>
  <c r="B8" i="67"/>
  <c r="C19" i="44"/>
  <c r="M24" i="15"/>
  <c r="F12" i="67"/>
  <c r="M25" i="44"/>
  <c r="E13" i="67"/>
  <c r="F10" i="67"/>
  <c r="M23" i="15"/>
  <c r="F28" i="44"/>
  <c r="J15" i="15"/>
  <c r="F18" i="44"/>
  <c r="F9" i="67"/>
  <c r="E12" i="67"/>
  <c r="M29" i="15"/>
  <c r="B13" i="67"/>
  <c r="N5" i="65"/>
  <c r="F14" i="67"/>
  <c r="E14" i="67"/>
  <c r="M11" i="44"/>
  <c r="M8" i="44"/>
  <c r="M30" i="44"/>
  <c r="F10" i="44"/>
  <c r="B10" i="67"/>
  <c r="F11" i="44"/>
  <c r="M22" i="15"/>
  <c r="M28" i="15"/>
  <c r="J17" i="44"/>
  <c r="M26" i="44"/>
  <c r="F8" i="44"/>
  <c r="M31" i="44"/>
  <c r="N6" i="65"/>
  <c r="M29" i="44"/>
  <c r="B11" i="67"/>
  <c r="B12" i="67"/>
  <c r="I6" i="65"/>
  <c r="J6" i="65"/>
  <c r="I4" i="65"/>
  <c r="I3" i="65"/>
  <c r="F45" i="44"/>
  <c r="M27" i="15"/>
  <c r="J7" i="65"/>
  <c r="J5" i="65"/>
  <c r="I7" i="65"/>
  <c r="J3" i="65"/>
  <c r="J4" i="65"/>
  <c r="B7" i="67"/>
  <c r="K107" i="46" l="1"/>
  <c r="K102" i="46"/>
  <c r="K104" i="46"/>
  <c r="K109" i="46"/>
  <c r="E104" i="46"/>
  <c r="E105" i="46"/>
  <c r="E102" i="46"/>
  <c r="E109" i="46"/>
  <c r="L102" i="46"/>
  <c r="L104" i="46"/>
  <c r="L109" i="46"/>
  <c r="L107"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D113" i="46" s="1"/>
  <c r="G118" i="46"/>
  <c r="H118" i="46" s="1"/>
  <c r="B118" i="46"/>
  <c r="C118" i="46" s="1"/>
  <c r="G106" i="46"/>
  <c r="G104" i="46"/>
  <c r="G107" i="46"/>
  <c r="M104" i="46"/>
  <c r="M102" i="46"/>
  <c r="M105" i="46"/>
  <c r="D106" i="46"/>
  <c r="D103" i="46"/>
  <c r="D109" i="46"/>
  <c r="H102" i="46"/>
  <c r="H103" i="46"/>
  <c r="H105" i="46"/>
  <c r="H104" i="46"/>
  <c r="C30" i="46"/>
  <c r="E30" i="46" s="1"/>
  <c r="C27" i="46" s="1"/>
  <c r="G109" i="46"/>
  <c r="G102" i="46"/>
  <c r="B117" i="46"/>
  <c r="C117" i="46" s="1"/>
  <c r="D118" i="46"/>
  <c r="E118" i="46" s="1"/>
  <c r="F118" i="46" s="1"/>
  <c r="B115" i="46"/>
  <c r="C115" i="46" s="1"/>
  <c r="L103" i="46"/>
  <c r="L106" i="46"/>
  <c r="E107" i="46"/>
  <c r="E106" i="46"/>
  <c r="K106" i="46"/>
  <c r="D105" i="46"/>
  <c r="D102" i="46"/>
  <c r="C109" i="46"/>
  <c r="C104" i="46"/>
  <c r="C103" i="46"/>
  <c r="C106" i="46"/>
  <c r="F106" i="46"/>
  <c r="F109" i="46"/>
  <c r="F102" i="46"/>
  <c r="F103" i="46"/>
  <c r="G13" i="3"/>
  <c r="AC5" i="3"/>
  <c r="E10" i="52"/>
  <c r="B8" i="52"/>
  <c r="B9" i="52"/>
  <c r="E16" i="52"/>
  <c r="B14" i="52"/>
  <c r="E15" i="52"/>
  <c r="E17" i="52"/>
  <c r="B4" i="52"/>
  <c r="B10" i="52"/>
  <c r="E22" i="52"/>
  <c r="E5" i="52"/>
  <c r="E4" i="52"/>
  <c r="E7" i="52"/>
  <c r="D22" i="46"/>
  <c r="E14" i="52"/>
  <c r="Q16" i="1"/>
  <c r="G16" i="1"/>
  <c r="H16" i="1"/>
  <c r="D18" i="9"/>
  <c r="M44" i="9" s="1"/>
  <c r="M43" i="9"/>
  <c r="H12" i="39"/>
  <c r="R45" i="40"/>
  <c r="C45" i="40" s="1"/>
  <c r="B56" i="40" s="1"/>
  <c r="F56" i="40" s="1"/>
  <c r="N103" i="46"/>
  <c r="B53" i="40"/>
  <c r="F53" i="40" s="1"/>
  <c r="B61" i="40"/>
  <c r="F61" i="40" s="1"/>
  <c r="B62" i="40"/>
  <c r="F62" i="40" s="1"/>
  <c r="B57" i="40"/>
  <c r="F57" i="40" s="1"/>
  <c r="B58" i="40"/>
  <c r="F58" i="40" s="1"/>
  <c r="C44" i="40"/>
  <c r="J109" i="46"/>
  <c r="J105" i="46"/>
  <c r="J104" i="46"/>
  <c r="I107" i="46"/>
  <c r="N102" i="46"/>
  <c r="N106" i="46"/>
  <c r="I103" i="46"/>
  <c r="N107" i="46"/>
  <c r="E48" i="40"/>
  <c r="F48" i="40" s="1"/>
  <c r="E49" i="40"/>
  <c r="F49" i="40" s="1"/>
  <c r="I49" i="40"/>
  <c r="J49" i="40" s="1"/>
  <c r="I48" i="40"/>
  <c r="J48" i="40" s="1"/>
  <c r="G49" i="40"/>
  <c r="H49" i="40" s="1"/>
  <c r="B3" i="46"/>
  <c r="D4" i="46"/>
  <c r="B4" i="46"/>
  <c r="I102" i="46"/>
  <c r="I106" i="46"/>
  <c r="I109" i="46"/>
  <c r="M107" i="46"/>
  <c r="M103" i="46"/>
  <c r="M109" i="46"/>
  <c r="M106" i="46"/>
  <c r="P10" i="1"/>
  <c r="E3" i="6"/>
  <c r="J12" i="39"/>
  <c r="O6" i="1"/>
  <c r="O10" i="1"/>
  <c r="K19" i="6"/>
  <c r="K20" i="6"/>
  <c r="K14" i="1"/>
  <c r="B2" i="67"/>
  <c r="J1" i="65"/>
  <c r="E20" i="46"/>
  <c r="C8" i="44"/>
  <c r="C29" i="44"/>
  <c r="J53" i="15"/>
  <c r="J57" i="15"/>
  <c r="J55" i="15" s="1"/>
  <c r="J58" i="15" s="1"/>
  <c r="Q51" i="15" s="1"/>
  <c r="L56" i="15"/>
  <c r="I54" i="15"/>
  <c r="L57" i="15"/>
  <c r="L60" i="15"/>
  <c r="F65" i="15"/>
  <c r="F64" i="15"/>
  <c r="F63" i="15"/>
  <c r="B40" i="1"/>
  <c r="M7" i="15"/>
  <c r="J6" i="15" s="1"/>
  <c r="F49" i="15"/>
  <c r="F50" i="15"/>
  <c r="Q73" i="44"/>
  <c r="Q72" i="15"/>
  <c r="M9" i="44"/>
  <c r="J8" i="44" s="1"/>
  <c r="J22" i="44"/>
  <c r="J60" i="44"/>
  <c r="I55" i="44"/>
  <c r="J61" i="44"/>
  <c r="Q50" i="44" s="1"/>
  <c r="J54" i="44"/>
  <c r="J58" i="44"/>
  <c r="J56" i="44" s="1"/>
  <c r="J59" i="44" s="1"/>
  <c r="Q52" i="44" s="1"/>
  <c r="L57" i="44"/>
  <c r="C36" i="44"/>
  <c r="L59" i="15"/>
  <c r="L58" i="15"/>
  <c r="L60" i="44"/>
  <c r="L59" i="44"/>
  <c r="F67" i="15"/>
  <c r="C27" i="15"/>
  <c r="F70" i="15"/>
  <c r="C4" i="65"/>
  <c r="B39" i="1" s="1"/>
  <c r="C6" i="15"/>
  <c r="E7" i="67"/>
  <c r="E3" i="65"/>
  <c r="C18" i="44"/>
  <c r="C16" i="15"/>
  <c r="F7" i="67"/>
  <c r="E3" i="67" l="1"/>
  <c r="F33" i="12"/>
  <c r="C34" i="12" s="1"/>
  <c r="D33" i="12" s="1"/>
  <c r="F18" i="11"/>
  <c r="C18" i="11" s="1"/>
  <c r="F24" i="43"/>
  <c r="C26" i="43" s="1"/>
  <c r="D24" i="43" s="1"/>
  <c r="B54" i="40"/>
  <c r="F54" i="40" s="1"/>
  <c r="B60" i="40"/>
  <c r="F60" i="40" s="1"/>
  <c r="B55" i="40"/>
  <c r="F55" i="40" s="1"/>
  <c r="B59" i="40"/>
  <c r="F59" i="40" s="1"/>
  <c r="F12" i="39"/>
  <c r="J12" i="40"/>
  <c r="F12" i="40"/>
  <c r="H12" i="40"/>
  <c r="G5" i="3"/>
  <c r="B3" i="3" s="1"/>
  <c r="E13" i="3" s="1"/>
  <c r="AB12" i="39"/>
  <c r="U12" i="39"/>
  <c r="C48" i="15"/>
  <c r="M14" i="1"/>
  <c r="K16" i="1"/>
  <c r="S6" i="1"/>
  <c r="M19" i="6"/>
  <c r="K27" i="6"/>
  <c r="D16" i="43"/>
  <c r="C16" i="43" s="1"/>
  <c r="E6" i="6"/>
  <c r="L38" i="9"/>
  <c r="B14" i="66" s="1"/>
  <c r="B1" i="66" s="1"/>
  <c r="D10" i="11"/>
  <c r="D16" i="12"/>
  <c r="D45" i="9"/>
  <c r="D46" i="9"/>
  <c r="C21" i="4"/>
  <c r="O5" i="54" s="1"/>
  <c r="B45" i="63" s="1"/>
  <c r="M20" i="6"/>
  <c r="I20" i="6" s="1"/>
  <c r="S20" i="6" s="1"/>
  <c r="S7" i="1"/>
  <c r="AC12" i="39"/>
  <c r="W12" i="39"/>
  <c r="P6" i="1"/>
  <c r="E4" i="67"/>
  <c r="B4" i="67" s="1"/>
  <c r="F17" i="11"/>
  <c r="C17" i="11" s="1"/>
  <c r="C19" i="11" s="1"/>
  <c r="J18" i="15"/>
  <c r="J20" i="44"/>
  <c r="M11" i="15"/>
  <c r="J10" i="15" s="1"/>
  <c r="J5" i="15" s="1"/>
  <c r="F11" i="15"/>
  <c r="C52" i="15" s="1"/>
  <c r="F13" i="44"/>
  <c r="C12" i="44" s="1"/>
  <c r="C7" i="44" s="1"/>
  <c r="M13" i="44"/>
  <c r="J12" i="44" s="1"/>
  <c r="J7" i="44" s="1"/>
  <c r="Q61" i="15"/>
  <c r="Q74" i="15"/>
  <c r="C32" i="15"/>
  <c r="C33" i="15"/>
  <c r="Q76" i="44"/>
  <c r="Q63" i="44"/>
  <c r="Q62" i="15"/>
  <c r="Q75" i="15"/>
  <c r="L47" i="44"/>
  <c r="Q54" i="44"/>
  <c r="F1" i="44"/>
  <c r="F24" i="15"/>
  <c r="C24" i="15" s="1"/>
  <c r="F26" i="12"/>
  <c r="C27" i="12" s="1"/>
  <c r="D26" i="12" s="1"/>
  <c r="C32" i="12" s="1"/>
  <c r="D30" i="12" s="1"/>
  <c r="F21" i="43"/>
  <c r="F26" i="44"/>
  <c r="C26" i="44" s="1"/>
  <c r="Q58" i="15"/>
  <c r="Q67" i="15"/>
  <c r="F1" i="15"/>
  <c r="Q53" i="15"/>
  <c r="P28" i="46"/>
  <c r="M28" i="46"/>
  <c r="N28" i="46"/>
  <c r="O28" i="46"/>
  <c r="Q62" i="44"/>
  <c r="Q75" i="44"/>
  <c r="C34" i="44"/>
  <c r="B3" i="67"/>
  <c r="C17" i="15"/>
  <c r="AE7" i="1"/>
  <c r="F41" i="15" s="1"/>
  <c r="U12" i="40" l="1"/>
  <c r="AB12" i="40"/>
  <c r="W12" i="40"/>
  <c r="AC12" i="40"/>
  <c r="E297" i="3"/>
  <c r="E395" i="3"/>
  <c r="AN6" i="3"/>
  <c r="E280" i="3"/>
  <c r="E59" i="3"/>
  <c r="E270" i="3"/>
  <c r="E464" i="3"/>
  <c r="E157" i="3"/>
  <c r="E209" i="3"/>
  <c r="E161" i="3"/>
  <c r="E450" i="3"/>
  <c r="E534" i="3"/>
  <c r="E376" i="3"/>
  <c r="E387" i="3"/>
  <c r="E294" i="3"/>
  <c r="R6" i="3"/>
  <c r="E21" i="3"/>
  <c r="E125" i="3"/>
  <c r="E64" i="3"/>
  <c r="AH6" i="3"/>
  <c r="E140" i="3"/>
  <c r="P6" i="3"/>
  <c r="E343" i="3"/>
  <c r="E84" i="3"/>
  <c r="E142" i="3"/>
  <c r="AP6" i="3"/>
  <c r="E410" i="3"/>
  <c r="E431" i="3"/>
  <c r="E468" i="3"/>
  <c r="E70"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250" i="3"/>
  <c r="E471" i="3"/>
  <c r="E408" i="3"/>
  <c r="E238" i="3"/>
  <c r="E44" i="3"/>
  <c r="E472" i="3"/>
  <c r="E253" i="3"/>
  <c r="E537" i="3"/>
  <c r="E54" i="3"/>
  <c r="E452" i="3"/>
  <c r="E213" i="3"/>
  <c r="E536" i="3"/>
  <c r="E397" i="3"/>
  <c r="E462"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41" i="3"/>
  <c r="E92" i="3"/>
  <c r="E202" i="3"/>
  <c r="E225" i="3"/>
  <c r="E423" i="3"/>
  <c r="E490" i="3"/>
  <c r="E442" i="3"/>
  <c r="E109" i="3"/>
  <c r="E185" i="3"/>
  <c r="E148" i="3"/>
  <c r="E27" i="3"/>
  <c r="E412" i="3"/>
  <c r="E469" i="3"/>
  <c r="E293" i="3"/>
  <c r="E560" i="3"/>
  <c r="E111" i="3"/>
  <c r="E261" i="3"/>
  <c r="E203" i="3"/>
  <c r="E402" i="3"/>
  <c r="E172" i="3"/>
  <c r="E25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411" i="3"/>
  <c r="E418" i="3"/>
  <c r="E414" i="3"/>
  <c r="E187" i="3"/>
  <c r="E199" i="3"/>
  <c r="E435" i="3"/>
  <c r="E218" i="3"/>
  <c r="E110" i="3"/>
  <c r="E38" i="3"/>
  <c r="E151" i="3"/>
  <c r="E313" i="3"/>
  <c r="E53" i="3"/>
  <c r="E405" i="3"/>
  <c r="W6" i="3"/>
  <c r="E190" i="3"/>
  <c r="E420" i="3"/>
  <c r="E233" i="3"/>
  <c r="E39" i="3"/>
  <c r="E107" i="3"/>
  <c r="E288" i="3"/>
  <c r="E393"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68" i="3"/>
  <c r="E252" i="3"/>
  <c r="E316" i="3"/>
  <c r="E346" i="3"/>
  <c r="E175" i="3"/>
  <c r="E544" i="3"/>
  <c r="E318" i="3"/>
  <c r="E541" i="3"/>
  <c r="E565" i="3"/>
  <c r="E523" i="3"/>
  <c r="E380" i="3"/>
  <c r="E557"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299" i="3"/>
  <c r="E327" i="3"/>
  <c r="E103" i="3"/>
  <c r="E200" i="3"/>
  <c r="E62" i="3"/>
  <c r="E389" i="3"/>
  <c r="E230" i="3"/>
  <c r="E143" i="3"/>
  <c r="E124" i="3"/>
  <c r="E266" i="3"/>
  <c r="E215" i="3"/>
  <c r="I6" i="3"/>
  <c r="H6" i="3" s="1"/>
  <c r="E548" i="3"/>
  <c r="Z6" i="3"/>
  <c r="E454" i="3"/>
  <c r="E520" i="3"/>
  <c r="AK6" i="3"/>
  <c r="AY6" i="3"/>
  <c r="E561" i="3"/>
  <c r="E23" i="3"/>
  <c r="E443" i="3"/>
  <c r="E265" i="3"/>
  <c r="E194" i="3"/>
  <c r="AM6" i="3"/>
  <c r="E78" i="3"/>
  <c r="E337" i="3"/>
  <c r="E390" i="3"/>
  <c r="E158" i="3"/>
  <c r="E296" i="3"/>
  <c r="E36" i="3"/>
  <c r="E131" i="3"/>
  <c r="E237" i="3"/>
  <c r="E304" i="3"/>
  <c r="E428" i="3"/>
  <c r="E165" i="3"/>
  <c r="E100" i="3"/>
  <c r="E404" i="3"/>
  <c r="E374" i="3"/>
  <c r="E30" i="3"/>
  <c r="E223" i="3"/>
  <c r="E441" i="3"/>
  <c r="E205" i="3"/>
  <c r="E367" i="3"/>
  <c r="E399" i="3"/>
  <c r="E415" i="3"/>
  <c r="E478" i="3"/>
  <c r="E80" i="3"/>
  <c r="E283" i="3"/>
  <c r="E535" i="3"/>
  <c r="E156" i="3"/>
  <c r="E381" i="3"/>
  <c r="E49" i="3"/>
  <c r="E427" i="3"/>
  <c r="E193" i="3"/>
  <c r="E278" i="3"/>
  <c r="E104" i="3"/>
  <c r="E94" i="3"/>
  <c r="E492" i="3"/>
  <c r="E149" i="3"/>
  <c r="E295" i="3"/>
  <c r="E249" i="3"/>
  <c r="E89" i="3"/>
  <c r="E549" i="3"/>
  <c r="E201" i="3"/>
  <c r="E460" i="3"/>
  <c r="E170" i="3"/>
  <c r="I3" i="6"/>
  <c r="E274" i="3"/>
  <c r="E463" i="3"/>
  <c r="E32" i="3"/>
  <c r="E292" i="3"/>
  <c r="E547" i="3"/>
  <c r="E426" i="3"/>
  <c r="E447" i="3"/>
  <c r="E60" i="3"/>
  <c r="E33" i="3"/>
  <c r="S12" i="40"/>
  <c r="AA12" i="40"/>
  <c r="AA12" i="39"/>
  <c r="S12" i="39"/>
  <c r="C47" i="15"/>
  <c r="C59" i="15" s="1"/>
  <c r="C10" i="15"/>
  <c r="C5" i="15" s="1"/>
  <c r="D13" i="11"/>
  <c r="C13" i="11" s="1"/>
  <c r="D22" i="12"/>
  <c r="C22" i="12" s="1"/>
  <c r="C20" i="12" s="1"/>
  <c r="I19" i="6"/>
  <c r="M27" i="6"/>
  <c r="C15" i="12"/>
  <c r="D19" i="12"/>
  <c r="C19" i="12" s="1"/>
  <c r="C16" i="12"/>
  <c r="C7" i="66"/>
  <c r="C8" i="66"/>
  <c r="S16" i="1"/>
  <c r="T7" i="1"/>
  <c r="O14" i="1"/>
  <c r="O16" i="1" s="1"/>
  <c r="T13" i="1"/>
  <c r="T9" i="1"/>
  <c r="T12" i="1"/>
  <c r="T10" i="1"/>
  <c r="T8" i="1"/>
  <c r="M16" i="1"/>
  <c r="T6" i="1"/>
  <c r="T16" i="1" s="1"/>
  <c r="T11" i="1"/>
  <c r="F68" i="15"/>
  <c r="J28" i="44"/>
  <c r="J31" i="44" s="1"/>
  <c r="J26" i="44"/>
  <c r="J26" i="15"/>
  <c r="J29" i="15" s="1"/>
  <c r="J24" i="15"/>
  <c r="C23" i="43"/>
  <c r="D21" i="43" s="1"/>
  <c r="C40" i="44"/>
  <c r="C38" i="15"/>
  <c r="C20" i="11"/>
  <c r="C21" i="11" s="1"/>
  <c r="C22" i="11" s="1"/>
  <c r="C23" i="11" s="1"/>
  <c r="B2" i="11" s="1"/>
  <c r="C14" i="15"/>
  <c r="C16" i="44"/>
  <c r="L52" i="44"/>
  <c r="D3" i="6" l="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549" i="3"/>
  <c r="AY88" i="3"/>
  <c r="AY129" i="3"/>
  <c r="AY104" i="3"/>
  <c r="AY106" i="3"/>
  <c r="AY361" i="3"/>
  <c r="AY146" i="3"/>
  <c r="AY39" i="3"/>
  <c r="AY315" i="3"/>
  <c r="AY464" i="3"/>
  <c r="AY194" i="3"/>
  <c r="AY278" i="3"/>
  <c r="AY35" i="3"/>
  <c r="AY92" i="3"/>
  <c r="AY187" i="3"/>
  <c r="AY335" i="3"/>
  <c r="AY394" i="3"/>
  <c r="AY282"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217" i="3"/>
  <c r="AY214" i="3"/>
  <c r="AY548" i="3"/>
  <c r="AY279" i="3"/>
  <c r="AY124" i="3"/>
  <c r="AY271" i="3"/>
  <c r="AY197" i="3"/>
  <c r="BH6" i="3"/>
  <c r="AY526" i="3"/>
  <c r="AY309" i="3"/>
  <c r="AY44" i="3"/>
  <c r="AY561" i="3"/>
  <c r="AY406" i="3"/>
  <c r="AY407" i="3"/>
  <c r="AY461" i="3"/>
  <c r="AY186" i="3"/>
  <c r="AY540" i="3"/>
  <c r="AY563" i="3"/>
  <c r="AY84" i="3"/>
  <c r="AY192" i="3"/>
  <c r="AY512" i="3"/>
  <c r="AY421" i="3"/>
  <c r="AY205" i="3"/>
  <c r="BM6" i="3"/>
  <c r="AY423" i="3"/>
  <c r="AY18" i="3"/>
  <c r="AY488" i="3"/>
  <c r="AY451" i="3"/>
  <c r="AY460" i="3"/>
  <c r="AY444" i="3"/>
  <c r="AY261" i="3"/>
  <c r="AY196" i="3"/>
  <c r="AY570" i="3"/>
  <c r="AY521" i="3"/>
  <c r="AY224" i="3"/>
  <c r="AY369" i="3"/>
  <c r="AY430" i="3"/>
  <c r="AY320" i="3"/>
  <c r="AY207" i="3"/>
  <c r="AY154" i="3"/>
  <c r="AY259" i="3"/>
  <c r="AY409" i="3"/>
  <c r="AY365" i="3"/>
  <c r="AY138" i="3"/>
  <c r="AY29" i="3"/>
  <c r="AY166" i="3"/>
  <c r="AY319" i="3"/>
  <c r="AY323" i="3"/>
  <c r="AY388" i="3"/>
  <c r="AY518" i="3"/>
  <c r="AY415" i="3"/>
  <c r="AY503" i="3"/>
  <c r="AY208" i="3"/>
  <c r="AY299" i="3"/>
  <c r="AY447" i="3"/>
  <c r="AY185" i="3"/>
  <c r="AY483" i="3"/>
  <c r="AY108" i="3"/>
  <c r="AY60" i="3"/>
  <c r="AY40" i="3"/>
  <c r="AY322" i="3"/>
  <c r="AY189" i="3"/>
  <c r="BO6" i="3"/>
  <c r="AY210" i="3"/>
  <c r="AY468" i="3"/>
  <c r="BI6" i="3"/>
  <c r="AY469" i="3"/>
  <c r="AY263" i="3"/>
  <c r="AY231" i="3"/>
  <c r="AY19" i="3"/>
  <c r="AY347" i="3"/>
  <c r="AY470" i="3"/>
  <c r="AY533" i="3"/>
  <c r="AY102" i="3"/>
  <c r="AY462" i="3"/>
  <c r="AY94" i="3"/>
  <c r="AY536" i="3"/>
  <c r="AY517" i="3"/>
  <c r="AY523" i="3"/>
  <c r="AY26" i="3"/>
  <c r="AY74" i="3"/>
  <c r="AY422" i="3"/>
  <c r="AY258" i="3"/>
  <c r="AY295" i="3"/>
  <c r="AY253" i="3"/>
  <c r="AY386" i="3"/>
  <c r="AY254" i="3"/>
  <c r="AY437" i="3"/>
  <c r="AY273" i="3"/>
  <c r="AY158" i="3"/>
  <c r="AY219" i="3"/>
  <c r="BA6" i="3"/>
  <c r="AY211" i="3"/>
  <c r="AY32" i="3"/>
  <c r="AY458" i="3"/>
  <c r="AY242" i="3"/>
  <c r="AY385" i="3"/>
  <c r="AY220" i="3"/>
  <c r="AY404" i="3"/>
  <c r="AY534" i="3"/>
  <c r="AY434" i="3"/>
  <c r="AY53" i="3"/>
  <c r="AY116" i="3"/>
  <c r="AY336" i="3"/>
  <c r="AY111" i="3"/>
  <c r="AY431" i="3"/>
  <c r="AY176" i="3"/>
  <c r="AY22" i="3"/>
  <c r="AY140" i="3"/>
  <c r="AY222" i="3"/>
  <c r="AY357" i="3"/>
  <c r="AY410" i="3"/>
  <c r="AY362" i="3"/>
  <c r="AY260" i="3"/>
  <c r="AY566" i="3"/>
  <c r="AY54" i="3"/>
  <c r="AY134" i="3"/>
  <c r="AY165" i="3"/>
  <c r="AY354" i="3"/>
  <c r="AY121" i="3"/>
  <c r="AY98" i="3"/>
  <c r="AY170" i="3"/>
  <c r="AY366" i="3"/>
  <c r="AY342" i="3"/>
  <c r="AY352" i="3"/>
  <c r="AY411" i="3"/>
  <c r="AY341" i="3"/>
  <c r="AY465" i="3"/>
  <c r="AY428" i="3"/>
  <c r="AY218" i="3"/>
  <c r="AY356" i="3"/>
  <c r="AY147" i="3"/>
  <c r="AY562" i="3"/>
  <c r="AY498" i="3"/>
  <c r="AY527" i="3"/>
  <c r="AY325" i="3"/>
  <c r="AY390" i="3"/>
  <c r="AY17" i="3"/>
  <c r="AY133" i="3"/>
  <c r="AY113" i="3"/>
  <c r="AY56" i="3"/>
  <c r="AY334" i="3"/>
  <c r="AY270" i="3"/>
  <c r="AY571" i="3"/>
  <c r="AY554" i="3"/>
  <c r="AY532" i="3"/>
  <c r="AY212" i="3"/>
  <c r="AY353" i="3"/>
  <c r="AY419" i="3"/>
  <c r="AY301" i="3"/>
  <c r="AY482" i="3"/>
  <c r="BB6" i="3"/>
  <c r="AY338" i="3"/>
  <c r="AY243" i="3"/>
  <c r="AY466" i="3"/>
  <c r="AY441" i="3"/>
  <c r="AY558" i="3"/>
  <c r="AY85" i="3"/>
  <c r="AY229" i="3"/>
  <c r="AY314" i="3"/>
  <c r="AY268" i="3"/>
  <c r="AY510" i="3"/>
  <c r="AY75" i="3"/>
  <c r="AY368" i="3"/>
  <c r="AY171" i="3"/>
  <c r="AY471" i="3"/>
  <c r="AY316" i="3"/>
  <c r="AY367" i="3"/>
  <c r="AY413" i="3"/>
  <c r="BT6" i="3"/>
  <c r="AY370" i="3"/>
  <c r="AY456" i="3"/>
  <c r="AY112" i="3"/>
  <c r="AY247" i="3"/>
  <c r="AY20" i="3"/>
  <c r="AY78" i="3"/>
  <c r="AY153" i="3"/>
  <c r="AY375" i="3"/>
  <c r="AY559" i="3"/>
  <c r="AY506" i="3"/>
  <c r="AY240" i="3"/>
  <c r="AY475" i="3"/>
  <c r="AY281" i="3"/>
  <c r="AY395" i="3"/>
  <c r="AY393" i="3"/>
  <c r="AY490" i="3"/>
  <c r="AY297" i="3"/>
  <c r="AY377" i="3"/>
  <c r="AY164" i="3"/>
  <c r="AY177" i="3"/>
  <c r="AY524" i="3"/>
  <c r="AY300" i="3"/>
  <c r="AY513" i="3"/>
  <c r="AY345" i="3"/>
  <c r="AY119" i="3"/>
  <c r="AY89" i="3"/>
  <c r="AY332" i="3"/>
  <c r="AY51" i="3"/>
  <c r="AY511" i="3"/>
  <c r="BJ6" i="3"/>
  <c r="AY535" i="3"/>
  <c r="AY69" i="3"/>
  <c r="AY529" i="3"/>
  <c r="AY291" i="3"/>
  <c r="AY324" i="3"/>
  <c r="AY168" i="3"/>
  <c r="AY16" i="3"/>
  <c r="AY525" i="3"/>
  <c r="AY445" i="3"/>
  <c r="AY359" i="3"/>
  <c r="AY493" i="3"/>
  <c r="AY64" i="3"/>
  <c r="AY443" i="3"/>
  <c r="AY148" i="3"/>
  <c r="AY446" i="3"/>
  <c r="AY221" i="3"/>
  <c r="AY500" i="3"/>
  <c r="AY489" i="3"/>
  <c r="AY287" i="3"/>
  <c r="AY15" i="3"/>
  <c r="AY497" i="3"/>
  <c r="AY567" i="3"/>
  <c r="AY478" i="3"/>
  <c r="AY93" i="3"/>
  <c r="AY427" i="3"/>
  <c r="AY81" i="3"/>
  <c r="AY293" i="3"/>
  <c r="AY321" i="3"/>
  <c r="AY34" i="3"/>
  <c r="AY318" i="3"/>
  <c r="AY127" i="3"/>
  <c r="AY66" i="3"/>
  <c r="AY505" i="3"/>
  <c r="AY436" i="3"/>
  <c r="AY125" i="3"/>
  <c r="AY252" i="3"/>
  <c r="AY228" i="3"/>
  <c r="AY568" i="3"/>
  <c r="AY312" i="3"/>
  <c r="BG6" i="3"/>
  <c r="AY255" i="3"/>
  <c r="BE6" i="3"/>
  <c r="AY508" i="3"/>
  <c r="AY383" i="3"/>
  <c r="AY476" i="3"/>
  <c r="AY256" i="3"/>
  <c r="AY438" i="3"/>
  <c r="AY21" i="3"/>
  <c r="AY200" i="3"/>
  <c r="AY76" i="3"/>
  <c r="AY86" i="3"/>
  <c r="AY42" i="3"/>
  <c r="AY392" i="3"/>
  <c r="AY288" i="3"/>
  <c r="AY162" i="3"/>
  <c r="AY303" i="3"/>
  <c r="AY552" i="3"/>
  <c r="AY519" i="3"/>
  <c r="BF6" i="3"/>
  <c r="AY484" i="3"/>
  <c r="AY68" i="3"/>
  <c r="AY276" i="3"/>
  <c r="AY387" i="3"/>
  <c r="AY313" i="3"/>
  <c r="AY331" i="3"/>
  <c r="AY487" i="3"/>
  <c r="AY509" i="3"/>
  <c r="AY539" i="3"/>
  <c r="AY564" i="3"/>
  <c r="AY251" i="3"/>
  <c r="AY284" i="3"/>
  <c r="AY426" i="3"/>
  <c r="AY496" i="3"/>
  <c r="AY491" i="3"/>
  <c r="AY296" i="3"/>
  <c r="AY79" i="3"/>
  <c r="AY373" i="3"/>
  <c r="AY474" i="3"/>
  <c r="AC6" i="3"/>
  <c r="E6" i="3" s="1"/>
  <c r="C65" i="15"/>
  <c r="C60" i="15"/>
  <c r="C17" i="44"/>
  <c r="C20" i="44"/>
  <c r="C15" i="15"/>
  <c r="C18" i="15"/>
  <c r="P14" i="1"/>
  <c r="P16" i="1" s="1"/>
  <c r="C13" i="12" s="1"/>
  <c r="S19" i="6"/>
  <c r="S27" i="6" s="1"/>
  <c r="I27" i="6"/>
  <c r="L16" i="1"/>
  <c r="N16" i="1"/>
  <c r="C29" i="43" s="1"/>
  <c r="C13" i="43"/>
  <c r="H19" i="6"/>
  <c r="Q69" i="44"/>
  <c r="L58" i="44"/>
  <c r="L61" i="44" s="1"/>
  <c r="B3" i="11"/>
  <c r="B5" i="11"/>
  <c r="B4" i="11"/>
  <c r="Q49" i="44"/>
  <c r="Q55" i="44" s="1"/>
  <c r="Q67" i="44"/>
  <c r="Q58" i="44"/>
  <c r="D20" i="6" l="1"/>
  <c r="D19" i="6"/>
  <c r="D21" i="6"/>
  <c r="H21" i="6"/>
  <c r="D14" i="6"/>
  <c r="F45" i="9"/>
  <c r="D26" i="6"/>
  <c r="H25" i="6"/>
  <c r="H22" i="6"/>
  <c r="C22" i="4"/>
  <c r="D23" i="6"/>
  <c r="H26" i="6"/>
  <c r="D29" i="6"/>
  <c r="H24" i="6"/>
  <c r="D15" i="6"/>
  <c r="D28" i="6"/>
  <c r="D30" i="6" s="1"/>
  <c r="D9" i="6"/>
  <c r="D8" i="6"/>
  <c r="H20" i="6"/>
  <c r="H27" i="6" s="1"/>
  <c r="E63" i="40"/>
  <c r="F63" i="40" s="1"/>
  <c r="B2" i="40" s="1"/>
  <c r="D10" i="6"/>
  <c r="D6" i="6"/>
  <c r="H23" i="6"/>
  <c r="K38" i="9"/>
  <c r="C14" i="66" s="1"/>
  <c r="B2" i="66" s="1"/>
  <c r="D11" i="6"/>
  <c r="D5" i="6"/>
  <c r="F46" i="9"/>
  <c r="D13" i="6"/>
  <c r="E45" i="9"/>
  <c r="D12" i="6"/>
  <c r="E46" i="9"/>
  <c r="D22" i="6"/>
  <c r="R22" i="6" s="1"/>
  <c r="D25" i="6"/>
  <c r="R25" i="6" s="1"/>
  <c r="D24" i="6"/>
  <c r="R24" i="6" s="1"/>
  <c r="C21" i="44"/>
  <c r="C19" i="15"/>
  <c r="C20" i="15"/>
  <c r="C23" i="15" s="1"/>
  <c r="C14" i="43"/>
  <c r="C17" i="43"/>
  <c r="R19" i="6"/>
  <c r="C14" i="12"/>
  <c r="C17" i="12"/>
  <c r="C22" i="44"/>
  <c r="Q68" i="44"/>
  <c r="Q59" i="44"/>
  <c r="Q64" i="44" s="1"/>
  <c r="Q77" i="44"/>
  <c r="R23" i="6" l="1"/>
  <c r="R26" i="6"/>
  <c r="R21" i="6"/>
  <c r="R20" i="6"/>
  <c r="R7" i="1" s="1"/>
  <c r="D8" i="66"/>
  <c r="D7" i="66"/>
  <c r="B3" i="40"/>
  <c r="B4" i="40"/>
  <c r="B5" i="40"/>
  <c r="C40" i="39"/>
  <c r="D16" i="6"/>
  <c r="A6" i="51"/>
  <c r="B7" i="63" s="1"/>
  <c r="A20" i="51"/>
  <c r="B15" i="63" s="1"/>
  <c r="A20" i="64"/>
  <c r="A6" i="64"/>
  <c r="N5" i="54"/>
  <c r="B43" i="63" s="1"/>
  <c r="D27" i="6"/>
  <c r="D31" i="6" s="1"/>
  <c r="C18" i="12"/>
  <c r="C23" i="12" s="1"/>
  <c r="C18" i="43"/>
  <c r="C19" i="43" s="1"/>
  <c r="C28" i="44"/>
  <c r="C26" i="15"/>
  <c r="C25" i="44"/>
  <c r="C31" i="44" s="1"/>
  <c r="R6" i="1"/>
  <c r="R16" i="1" s="1"/>
  <c r="R27" i="6"/>
  <c r="C29" i="15"/>
  <c r="F35" i="15"/>
  <c r="M21" i="15"/>
  <c r="J20" i="15" l="1"/>
  <c r="C34" i="15"/>
  <c r="C31" i="15" s="1"/>
  <c r="F62" i="15"/>
  <c r="C61" i="15" s="1"/>
  <c r="C58" i="15" s="1"/>
  <c r="H40" i="39"/>
  <c r="F40" i="39"/>
  <c r="J40" i="39"/>
  <c r="I5" i="6"/>
  <c r="I6" i="6"/>
  <c r="C25" i="43"/>
  <c r="C24" i="43" s="1"/>
  <c r="C22" i="43"/>
  <c r="C21" i="43" s="1"/>
  <c r="Q51" i="44"/>
  <c r="C35" i="44"/>
  <c r="C33" i="44" s="1"/>
  <c r="C38" i="44"/>
  <c r="C15" i="44"/>
  <c r="J21" i="44"/>
  <c r="J19" i="44" s="1"/>
  <c r="J16" i="44"/>
  <c r="C36" i="15"/>
  <c r="J19" i="15"/>
  <c r="Q50" i="15"/>
  <c r="J59" i="15"/>
  <c r="J60" i="15" s="1"/>
  <c r="Q49" i="15" s="1"/>
  <c r="C13" i="15"/>
  <c r="C56" i="15"/>
  <c r="C63" i="15" s="1"/>
  <c r="J14" i="15"/>
  <c r="AA40" i="39" l="1"/>
  <c r="R49" i="39" s="1"/>
  <c r="S40" i="39"/>
  <c r="J17" i="15"/>
  <c r="AC40" i="39"/>
  <c r="V49" i="39" s="1"/>
  <c r="I49" i="39" s="1"/>
  <c r="W40" i="39"/>
  <c r="AB40" i="39"/>
  <c r="T49" i="39" s="1"/>
  <c r="G49" i="39" s="1"/>
  <c r="U40" i="39"/>
  <c r="C28" i="43"/>
  <c r="C30" i="43" s="1"/>
  <c r="C32" i="43" s="1"/>
  <c r="B2" i="43" s="1"/>
  <c r="B4" i="43" s="1"/>
  <c r="J24" i="44"/>
  <c r="J15" i="44"/>
  <c r="J25" i="44" s="1"/>
  <c r="C39" i="44"/>
  <c r="C32" i="44" s="1"/>
  <c r="C42" i="44" s="1"/>
  <c r="C43" i="44"/>
  <c r="Q72" i="44"/>
  <c r="J22" i="15"/>
  <c r="J13" i="15"/>
  <c r="J23" i="15" s="1"/>
  <c r="C55" i="15"/>
  <c r="C64" i="15" s="1"/>
  <c r="C57" i="15" s="1"/>
  <c r="C66" i="15" s="1"/>
  <c r="C67" i="15" s="1"/>
  <c r="Q71" i="15"/>
  <c r="C37" i="15"/>
  <c r="C30" i="15" s="1"/>
  <c r="C39" i="15" s="1"/>
  <c r="J35" i="15"/>
  <c r="L51" i="15"/>
  <c r="R50" i="39" l="1"/>
  <c r="E49" i="39"/>
  <c r="G53" i="39"/>
  <c r="H53" i="39" s="1"/>
  <c r="G54" i="39"/>
  <c r="H54" i="39" s="1"/>
  <c r="I53" i="39"/>
  <c r="J53" i="39" s="1"/>
  <c r="I54" i="39"/>
  <c r="J54" i="39" s="1"/>
  <c r="B5" i="43"/>
  <c r="J16" i="15"/>
  <c r="J25" i="15" s="1"/>
  <c r="J18" i="44"/>
  <c r="J27" i="44" s="1"/>
  <c r="B3" i="43"/>
  <c r="Q68" i="15"/>
  <c r="C70" i="15"/>
  <c r="Q70" i="15"/>
  <c r="Q69" i="15" s="1"/>
  <c r="C40" i="15"/>
  <c r="J39" i="15"/>
  <c r="J40" i="15" s="1"/>
  <c r="C44" i="44"/>
  <c r="C45" i="44" s="1"/>
  <c r="B2" i="44" s="1"/>
  <c r="Q71" i="44"/>
  <c r="Q70" i="44" s="1"/>
  <c r="E53" i="39" l="1"/>
  <c r="F53" i="39" s="1"/>
  <c r="E54" i="39"/>
  <c r="F54" i="39" s="1"/>
  <c r="C49" i="39"/>
  <c r="C50" i="39"/>
  <c r="B3" i="44"/>
  <c r="B5" i="44"/>
  <c r="B4" i="44"/>
  <c r="B2" i="15"/>
  <c r="Q57" i="15"/>
  <c r="Q63" i="15" s="1"/>
  <c r="Q66" i="15"/>
  <c r="Q76" i="15" s="1"/>
  <c r="Q48" i="15"/>
  <c r="Q54" i="15" s="1"/>
  <c r="C43" i="15"/>
  <c r="J42" i="15"/>
  <c r="J43" i="15" s="1"/>
  <c r="C46" i="15"/>
  <c r="B59" i="39" l="1"/>
  <c r="F59" i="39" s="1"/>
  <c r="B61" i="39"/>
  <c r="F61" i="39" s="1"/>
  <c r="B63" i="39"/>
  <c r="F63" i="39" s="1"/>
  <c r="B65" i="39"/>
  <c r="F65" i="39" s="1"/>
  <c r="B67" i="39"/>
  <c r="F67" i="39" s="1"/>
  <c r="B58" i="39"/>
  <c r="F58" i="39" s="1"/>
  <c r="B60" i="39"/>
  <c r="F60" i="39" s="1"/>
  <c r="B62" i="39"/>
  <c r="F62" i="39" s="1"/>
  <c r="B64" i="39"/>
  <c r="F64" i="39" s="1"/>
  <c r="B66" i="39"/>
  <c r="F66" i="39" s="1"/>
  <c r="B3" i="15"/>
  <c r="D8" i="12" s="1"/>
  <c r="D10" i="12"/>
  <c r="C6" i="12" s="1"/>
  <c r="F68" i="39" l="1"/>
  <c r="B2" i="39" s="1"/>
  <c r="C29" i="12"/>
  <c r="C24" i="12"/>
  <c r="C19" i="9"/>
  <c r="L43" i="9" l="1"/>
  <c r="B3" i="39"/>
  <c r="B4" i="39"/>
  <c r="B5" i="39"/>
  <c r="C35" i="12"/>
  <c r="C33" i="12" s="1"/>
  <c r="C28" i="12"/>
  <c r="C26" i="12" s="1"/>
  <c r="C31" i="12" s="1"/>
  <c r="C30" i="12" s="1"/>
  <c r="C21" i="9"/>
  <c r="C20" i="9"/>
  <c r="C36" i="12" l="1"/>
  <c r="B2" i="12" s="1"/>
  <c r="B4" i="12" s="1"/>
  <c r="D19" i="9"/>
  <c r="D21" i="9"/>
  <c r="B5" i="12" l="1"/>
  <c r="L44" i="9"/>
  <c r="G19" i="9"/>
  <c r="D22" i="9"/>
  <c r="B3" i="12"/>
  <c r="G21" i="9"/>
  <c r="C32" i="9"/>
  <c r="D20" i="9"/>
  <c r="N43" i="9" l="1"/>
  <c r="D27" i="9"/>
  <c r="G22" i="9"/>
  <c r="G20" i="9"/>
  <c r="C42" i="9"/>
  <c r="C34" i="9"/>
  <c r="O38" i="9"/>
  <c r="O43" i="9"/>
  <c r="C35" i="9"/>
  <c r="F42" i="9" s="1"/>
  <c r="C33" i="9"/>
  <c r="N38" i="9" l="1"/>
  <c r="K28" i="9" s="1"/>
  <c r="D42" i="9"/>
  <c r="Q5" i="54" s="1"/>
  <c r="B47" i="63" s="1"/>
  <c r="M38" i="9"/>
  <c r="K27" i="9" s="1"/>
  <c r="E42" i="9"/>
  <c r="P5" i="54" s="1"/>
  <c r="B46" i="63" s="1"/>
  <c r="K26" i="9"/>
  <c r="K25" i="9"/>
  <c r="C44" i="9"/>
  <c r="R5" i="54"/>
  <c r="B48" i="63" s="1"/>
  <c r="D63" i="9"/>
  <c r="N68" i="9"/>
  <c r="D14" i="66"/>
  <c r="E14" i="66" l="1"/>
  <c r="B5" i="66"/>
  <c r="F14" i="66"/>
  <c r="D71" i="9"/>
  <c r="D66" i="9" s="1"/>
  <c r="N72" i="9" s="1"/>
  <c r="D77" i="9"/>
  <c r="N75" i="9" s="1"/>
  <c r="C103" i="9"/>
  <c r="C90" i="9"/>
  <c r="C111" i="9"/>
  <c r="C104" i="9" s="1"/>
  <c r="D70" i="9"/>
  <c r="C82" i="9"/>
  <c r="C81" i="9" s="1"/>
  <c r="C85" i="9" s="1"/>
  <c r="C86" i="9" s="1"/>
  <c r="D72" i="9" s="1"/>
  <c r="C96" i="9"/>
  <c r="C91" i="9" s="1"/>
  <c r="D44" i="9"/>
  <c r="N69" i="9"/>
  <c r="E44" i="9"/>
  <c r="O39" i="9"/>
  <c r="G14" i="66"/>
  <c r="B6" i="66" s="1"/>
  <c r="F44" i="9"/>
  <c r="C6" i="66" l="1"/>
  <c r="D6" i="66"/>
  <c r="C113" i="9"/>
  <c r="D5" i="66"/>
  <c r="C5" i="66"/>
  <c r="R6" i="54"/>
  <c r="B50" i="63" s="1"/>
  <c r="K29" i="9"/>
  <c r="K30" i="9" s="1"/>
  <c r="M86" i="9"/>
  <c r="N86" i="9" s="1"/>
  <c r="M88" i="9"/>
  <c r="N88" i="9" s="1"/>
  <c r="M85" i="9"/>
  <c r="N85" i="9" s="1"/>
  <c r="M84" i="9"/>
  <c r="N84" i="9" s="1"/>
  <c r="M87" i="9"/>
  <c r="N87" i="9" s="1"/>
  <c r="M83" i="9"/>
  <c r="N83" i="9" s="1"/>
  <c r="N89" i="9" s="1"/>
  <c r="O89" i="9" s="1"/>
  <c r="C97" i="9"/>
  <c r="C98" i="9" l="1"/>
  <c r="E98" i="9" s="1"/>
  <c r="E99" i="9" s="1"/>
  <c r="C114" i="9"/>
  <c r="E114" i="9" s="1"/>
  <c r="E115" i="9" s="1"/>
  <c r="C115" i="9" l="1"/>
  <c r="D76" i="9" s="1"/>
  <c r="D74" i="9" s="1"/>
  <c r="N74" i="9" s="1"/>
  <c r="O77" i="9" s="1"/>
  <c r="C99" i="9"/>
  <c r="Q77" i="9" l="1"/>
  <c r="O78"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<sst xmlns="http://schemas.openxmlformats.org/spreadsheetml/2006/main" count="7329" uniqueCount="3220">
  <si>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</si>
  <si>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</si>
  <si>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</si>
  <si>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</si>
  <si>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</si>
  <si>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</si>
  <si>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</si>
  <si>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</si>
  <si>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</si>
  <si>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</si>
  <si>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</si>
  <si>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</si>
  <si>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</si>
  <si>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</si>
  <si>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</si>
  <si>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</si>
  <si>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</si>
  <si>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</si>
  <si>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</si>
  <si>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</si>
  <si>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</si>
  <si>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</si>
  <si>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</si>
  <si>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</si>
  <si>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</si>
  <si>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</si>
  <si>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</si>
  <si>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</si>
  <si>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</si>
  <si>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</si>
  <si>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</si>
  <si>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</si>
  <si>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</si>
  <si>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</si>
  <si>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</si>
  <si>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</si>
  <si>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</si>
  <si>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</si>
  <si>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</si>
  <si>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</si>
  <si>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</si>
  <si>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</si>
  <si>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</si>
  <si>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</si>
  <si>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</si>
  <si>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</si>
  <si>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</si>
  <si>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</si>
  <si>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</si>
  <si>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</si>
  <si>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</si>
  <si>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</si>
  <si>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</si>
  <si>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</si>
  <si>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</si>
  <si>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</si>
  <si>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</si>
  <si>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</si>
  <si>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</si>
  <si>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</si>
  <si>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</si>
  <si>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</si>
  <si>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</si>
  <si>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</si>
  <si>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</si>
  <si>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</si>
  <si>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</si>
  <si>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</si>
  <si>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</si>
  <si>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</si>
  <si>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</si>
  <si>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</si>
  <si>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</si>
  <si>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</si>
  <si>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</si>
  <si>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</si>
  <si>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</si>
  <si>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</si>
  <si>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</si>
  <si>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</si>
  <si>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</si>
  <si>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</si>
  <si>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</si>
  <si>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</si>
  <si>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</si>
  <si>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</si>
  <si>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</si>
  <si>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</si>
  <si>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</si>
  <si>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</si>
  <si>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</si>
  <si>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</si>
  <si>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</si>
  <si>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</si>
  <si>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</si>
  <si>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</si>
  <si>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</si>
  <si>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</si>
  <si>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</si>
  <si>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</si>
  <si>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</si>
  <si>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</si>
  <si>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</si>
  <si>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</si>
  <si>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</si>
  <si>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</si>
  <si>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</si>
  <si>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</si>
  <si>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</si>
  <si>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</si>
  <si>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</si>
  <si>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</si>
  <si>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</si>
  <si>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</si>
  <si>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</si>
  <si>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</si>
  <si>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</si>
  <si>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</si>
  <si>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</si>
  <si>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</si>
  <si>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</si>
  <si>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</si>
  <si>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</si>
  <si>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</si>
  <si>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</si>
  <si>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</si>
  <si>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</si>
  <si>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</si>
  <si>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</si>
  <si>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</si>
  <si>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</si>
  <si>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</si>
  <si>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</si>
  <si>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</si>
  <si>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</si>
  <si>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</si>
  <si>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</si>
  <si>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</si>
  <si>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</si>
  <si>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</si>
  <si>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</si>
  <si>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</si>
  <si>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</si>
  <si>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</si>
  <si>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</si>
  <si>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</si>
  <si>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</si>
  <si>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</si>
  <si>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</si>
  <si>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</si>
  <si>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</si>
  <si>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</si>
  <si>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</si>
  <si>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</si>
  <si>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</si>
  <si>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</si>
  <si>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</si>
  <si>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</si>
  <si>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</si>
  <si>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</si>
  <si>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</si>
  <si>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</si>
  <si>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</si>
  <si>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</si>
  <si>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</si>
  <si>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</si>
  <si>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</si>
  <si>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</si>
  <si>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</si>
  <si>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</si>
  <si>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</si>
  <si>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</si>
  <si>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</si>
  <si>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</si>
  <si>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</si>
  <si>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</si>
  <si>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</si>
  <si>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</si>
  <si>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</si>
  <si>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</si>
  <si>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</si>
  <si>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</si>
  <si>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</si>
  <si>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</si>
  <si>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</si>
  <si>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</si>
  <si>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</si>
  <si>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</si>
  <si>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</si>
  <si>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</si>
  <si>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</si>
  <si>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</si>
  <si>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</si>
  <si>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</si>
  <si>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</si>
  <si>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</si>
  <si>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</si>
  <si>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</si>
  <si>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</si>
  <si>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</si>
  <si>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</si>
  <si>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</si>
  <si>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</si>
  <si>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</si>
  <si>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</si>
  <si>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</si>
  <si>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</si>
  <si>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</si>
  <si>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</si>
  <si>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</si>
  <si>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</si>
  <si>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</si>
  <si>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</si>
  <si>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</si>
  <si>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</si>
  <si>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</si>
  <si>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</si>
  <si>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</si>
  <si>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</si>
  <si>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</si>
  <si>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</si>
  <si>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</si>
  <si>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</si>
  <si>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</si>
  <si>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</si>
  <si>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</si>
  <si>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</si>
  <si>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</si>
  <si>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</si>
  <si>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</si>
  <si>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</si>
  <si>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</si>
  <si>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</si>
  <si>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</si>
  <si>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</si>
  <si>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</si>
  <si>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</si>
  <si>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</si>
  <si>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</si>
  <si>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</si>
  <si>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</si>
  <si>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</si>
  <si>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</si>
  <si>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</si>
  <si>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</si>
  <si>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</si>
  <si>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</si>
  <si>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</si>
  <si>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</si>
  <si>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</si>
  <si>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</si>
  <si>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</si>
  <si>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</si>
  <si>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</si>
  <si>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</si>
  <si>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</si>
  <si>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</si>
  <si>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</si>
  <si>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</si>
  <si>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</si>
  <si>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</si>
  <si>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</si>
  <si>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</si>
  <si>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</si>
  <si>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</si>
  <si>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</si>
  <si>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</si>
  <si>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</si>
  <si>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</si>
  <si>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</si>
  <si>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</si>
  <si>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</si>
  <si>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</si>
  <si>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</si>
  <si>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</si>
  <si>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</si>
  <si>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</si>
  <si>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</si>
  <si>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</si>
  <si>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</si>
  <si>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</si>
  <si>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</si>
  <si>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</si>
  <si>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</si>
  <si>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</si>
  <si>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</si>
  <si>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</si>
  <si>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</si>
  <si>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</si>
  <si>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</si>
  <si>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</si>
  <si>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</si>
  <si>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</si>
  <si>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</si>
  <si>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</si>
  <si>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</si>
  <si>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</si>
  <si>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</si>
  <si>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</si>
  <si>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</si>
  <si>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</si>
  <si>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</si>
  <si>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</si>
  <si>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</si>
  <si>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</si>
  <si>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</si>
  <si>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</si>
  <si>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</si>
  <si>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</si>
  <si>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</si>
  <si>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</si>
  <si>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</si>
  <si>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</si>
  <si>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</si>
  <si>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</si>
  <si>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</si>
  <si>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</si>
  <si>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</si>
  <si>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</si>
  <si>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</si>
  <si>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</si>
  <si>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</si>
  <si>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</si>
  <si>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</si>
  <si>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</si>
  <si>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</si>
  <si>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</si>
  <si>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</si>
  <si>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</si>
  <si>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</si>
  <si>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</si>
  <si>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</si>
  <si>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</si>
  <si>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</si>
  <si>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</si>
  <si>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</si>
  <si>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</si>
  <si>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</si>
  <si>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</si>
  <si>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</si>
  <si>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</si>
  <si>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</si>
  <si>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</si>
  <si>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</si>
  <si>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</si>
  <si>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</si>
  <si>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</si>
  <si>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</si>
  <si>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</si>
  <si>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</si>
  <si>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</si>
  <si>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</si>
  <si>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</si>
  <si>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</si>
  <si>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</si>
  <si>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</si>
  <si>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</si>
  <si>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</si>
  <si>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</si>
  <si>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</si>
  <si>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</si>
  <si>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</si>
  <si>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</si>
  <si>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</si>
  <si>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</si>
  <si>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</si>
  <si>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</si>
  <si>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</si>
  <si>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</si>
  <si>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</si>
  <si>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</si>
  <si>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</si>
  <si>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</si>
  <si>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</si>
  <si>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</si>
  <si>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</si>
  <si>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</si>
  <si>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</si>
  <si>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</si>
  <si>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</si>
  <si>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</si>
  <si>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</si>
  <si>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</si>
  <si>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</si>
  <si>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</si>
  <si>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</si>
  <si>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</si>
  <si>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</si>
  <si>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</si>
  <si>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</si>
  <si>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</si>
  <si>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</si>
  <si>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</si>
  <si>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</si>
  <si>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</si>
  <si>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</si>
  <si>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</si>
  <si>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</si>
  <si>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</si>
  <si>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</si>
  <si>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</si>
  <si>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</si>
  <si>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</si>
  <si>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</si>
  <si>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</si>
  <si>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</si>
  <si>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</si>
  <si>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</si>
  <si>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</si>
  <si>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</si>
  <si>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</si>
  <si>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</si>
  <si>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</si>
  <si>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</si>
  <si>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</si>
  <si>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</si>
  <si>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</si>
  <si>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</si>
  <si>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</si>
  <si>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</si>
  <si>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</si>
  <si>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</si>
  <si>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</si>
  <si>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</si>
  <si>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</si>
  <si>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</si>
  <si>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</si>
  <si>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</si>
  <si>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</si>
  <si>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</si>
  <si>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</si>
  <si>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</si>
  <si>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</si>
  <si>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</si>
  <si>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</si>
  <si>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</si>
  <si>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</si>
  <si>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</si>
  <si>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</si>
  <si>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</si>
  <si>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</si>
  <si>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</si>
  <si>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</si>
  <si>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</si>
  <si>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</si>
  <si>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</si>
  <si>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</si>
  <si>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</si>
  <si>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</si>
  <si>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</si>
  <si>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</si>
  <si>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</si>
  <si>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</si>
  <si>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</si>
  <si>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</si>
  <si>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</si>
  <si>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</si>
  <si>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</si>
  <si>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</si>
  <si>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</si>
  <si>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</si>
  <si>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</si>
  <si>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</si>
  <si>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</si>
  <si>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</si>
  <si>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</si>
  <si>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</si>
  <si>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</si>
  <si>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</si>
  <si>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</si>
  <si>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</si>
  <si>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</si>
  <si>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</si>
  <si>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</si>
  <si>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</si>
  <si>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</si>
  <si>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</si>
  <si>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</si>
  <si>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</si>
  <si>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</si>
  <si>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</si>
  <si>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</si>
  <si>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</si>
  <si>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</si>
  <si>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</si>
  <si>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</si>
  <si>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</si>
  <si>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</si>
  <si>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</si>
  <si>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</si>
  <si>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</si>
  <si>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</si>
  <si>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</si>
  <si>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</si>
  <si>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</si>
  <si>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</si>
  <si>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</si>
  <si>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</si>
  <si>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</si>
  <si>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</si>
  <si>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</si>
  <si>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</si>
  <si>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</si>
  <si>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</si>
  <si>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</si>
  <si>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</si>
  <si>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</si>
  <si>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</si>
  <si>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</si>
  <si>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</si>
  <si>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</si>
  <si>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</si>
  <si>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</si>
  <si>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</si>
  <si>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</si>
  <si>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</si>
  <si>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</si>
  <si>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</si>
  <si>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</si>
  <si>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</si>
  <si>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</si>
  <si>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</si>
  <si>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</si>
  <si>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</si>
  <si>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</si>
  <si>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</si>
  <si>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</si>
  <si>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</si>
  <si>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</si>
  <si>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</si>
  <si>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</si>
  <si>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</si>
  <si>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</si>
  <si>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</si>
  <si>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</si>
  <si>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</si>
  <si>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</si>
  <si>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</si>
  <si>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</si>
  <si>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</si>
  <si>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</si>
  <si>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</si>
  <si>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</si>
  <si>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</si>
  <si>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</si>
  <si>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</si>
  <si>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</si>
  <si>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</si>
  <si>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</si>
  <si>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</si>
  <si>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</si>
  <si>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</si>
  <si>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</si>
  <si>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</si>
  <si>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</si>
  <si>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</si>
  <si>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</si>
  <si>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</si>
  <si>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</si>
  <si>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</si>
  <si>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</si>
  <si>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</si>
  <si>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</si>
  <si>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</si>
  <si>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</si>
  <si>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</si>
  <si>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</si>
  <si>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</si>
  <si>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</si>
  <si>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</si>
  <si>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</si>
  <si>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</si>
  <si>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</si>
  <si>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</si>
  <si>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</si>
  <si>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</si>
  <si>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</si>
  <si>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</si>
  <si>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</si>
  <si>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</si>
  <si>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</si>
  <si>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</si>
  <si>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</si>
  <si>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</si>
  <si>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</si>
  <si>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</si>
  <si>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</si>
  <si>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</si>
  <si>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</si>
  <si>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</si>
  <si>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</si>
  <si>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</si>
  <si>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</si>
  <si>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</si>
  <si>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</si>
  <si>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</si>
  <si>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</si>
  <si>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</si>
  <si>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</si>
  <si>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</si>
  <si>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</si>
  <si>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</si>
  <si>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</si>
  <si>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</si>
  <si>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</si>
  <si>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</si>
  <si>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</si>
  <si>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</si>
  <si>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</si>
  <si>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</si>
  <si>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</si>
  <si>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</si>
  <si>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</si>
  <si>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</si>
  <si>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</si>
  <si>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</si>
  <si>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</si>
  <si>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</si>
  <si>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</si>
  <si>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</si>
  <si>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</si>
  <si>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</si>
  <si>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</si>
  <si>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</si>
  <si>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</si>
  <si>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</si>
  <si>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</si>
  <si>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</si>
  <si>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</si>
  <si>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</si>
  <si>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</si>
  <si>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</si>
  <si>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</si>
  <si>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</si>
  <si>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</si>
  <si>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</si>
  <si>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</si>
  <si>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</si>
  <si>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</si>
  <si>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</si>
  <si>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</si>
  <si>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</si>
  <si>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</si>
  <si>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</si>
  <si>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</si>
  <si>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</si>
  <si>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</si>
  <si>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</si>
  <si>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</si>
  <si>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</si>
  <si>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</si>
  <si>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</si>
  <si>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</si>
  <si>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</si>
  <si>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</si>
  <si>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</si>
  <si>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</si>
  <si>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</si>
  <si>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</si>
  <si>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</si>
  <si>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</si>
  <si>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</si>
  <si>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</si>
  <si>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</si>
  <si>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</si>
  <si>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</si>
  <si>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</si>
  <si>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</si>
  <si>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</si>
  <si>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</si>
  <si>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</si>
  <si>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</si>
  <si>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</si>
  <si>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</si>
  <si>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</si>
  <si>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</si>
  <si>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</si>
  <si>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</si>
  <si>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</si>
  <si>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</si>
  <si>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</si>
  <si>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</si>
  <si>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</si>
  <si>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</si>
  <si>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</si>
  <si>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</si>
  <si>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</si>
  <si>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</si>
  <si>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</si>
  <si>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</si>
  <si>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</si>
  <si>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</si>
  <si>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</si>
  <si>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</si>
  <si>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</si>
  <si>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</si>
  <si>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</si>
  <si>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</si>
  <si>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</si>
  <si>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</si>
  <si>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</si>
  <si>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</si>
  <si>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</si>
  <si>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</si>
  <si>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</si>
  <si>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</si>
  <si>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</si>
  <si>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</si>
  <si>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</si>
  <si>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</si>
  <si>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</si>
  <si>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</si>
  <si>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</si>
  <si>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</si>
  <si>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</si>
  <si>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</si>
  <si>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</si>
  <si>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</si>
  <si>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</si>
  <si>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</si>
  <si>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</si>
  <si>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</si>
  <si>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</si>
  <si>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</si>
  <si>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</si>
  <si>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</si>
  <si>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</si>
  <si>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</si>
  <si>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</si>
  <si>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</si>
  <si>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</si>
  <si>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</si>
  <si>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</si>
  <si>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</si>
  <si>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</si>
  <si>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</si>
  <si>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</si>
  <si>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</si>
  <si>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</si>
  <si>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</si>
  <si>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</si>
  <si>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</si>
  <si>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</si>
  <si>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</si>
  <si>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</si>
  <si>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</si>
  <si>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</si>
  <si>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</si>
  <si>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</si>
  <si>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</si>
  <si>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</si>
  <si>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</si>
  <si>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</si>
  <si>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</si>
  <si>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</si>
  <si>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</si>
  <si>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</si>
  <si>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</si>
  <si>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</si>
  <si>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</si>
  <si>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</si>
  <si>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</si>
  <si>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</si>
  <si>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</si>
  <si>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</si>
  <si>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</si>
  <si>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</si>
  <si>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</si>
  <si>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</si>
  <si>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</si>
  <si>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</si>
  <si>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</si>
  <si>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</si>
  <si>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</si>
  <si>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</si>
  <si>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</si>
  <si>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</si>
  <si>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</si>
  <si>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</si>
  <si>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</si>
  <si>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</si>
  <si>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</si>
  <si>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</si>
  <si>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</si>
  <si>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</si>
  <si>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</si>
  <si>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</si>
  <si>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</si>
  <si>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</si>
  <si>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</si>
  <si>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</si>
  <si>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</si>
  <si>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</si>
  <si>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</si>
  <si>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</si>
  <si>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</si>
  <si>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</si>
  <si>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</si>
  <si>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</si>
  <si>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</si>
  <si>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</si>
  <si>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</si>
  <si>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</si>
  <si>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</si>
  <si>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</si>
  <si>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</si>
  <si>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</si>
  <si>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</si>
  <si>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</si>
  <si>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</si>
  <si>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</si>
  <si>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</si>
  <si>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</si>
  <si>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</si>
  <si>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</si>
  <si>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</si>
  <si>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</si>
  <si>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</si>
  <si>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</si>
  <si>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</si>
  <si>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</si>
  <si>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</si>
  <si>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</si>
  <si>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</si>
  <si>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</si>
  <si>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</si>
  <si>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</si>
  <si>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</si>
  <si>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</si>
  <si>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</si>
  <si>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</si>
  <si>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</si>
  <si>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</si>
  <si>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</si>
  <si>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</si>
  <si>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</si>
  <si>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</si>
  <si>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</si>
  <si>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</si>
  <si>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</si>
  <si>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</si>
  <si>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</si>
  <si>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</si>
  <si>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</si>
  <si>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</si>
  <si>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</si>
  <si>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</si>
  <si>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</si>
  <si>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</si>
  <si>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</si>
  <si>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</si>
  <si>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</si>
  <si>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</si>
  <si>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</si>
  <si>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</si>
  <si>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</si>
  <si>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</si>
  <si>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</si>
  <si>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</si>
  <si>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</si>
  <si>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</si>
  <si>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</si>
  <si>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</si>
  <si>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</si>
  <si>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</si>
  <si>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</si>
  <si>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</si>
  <si>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</si>
  <si>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</si>
  <si>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</si>
  <si>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</si>
  <si>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</si>
  <si>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</si>
  <si>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</si>
  <si>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</si>
  <si>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</si>
  <si>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</si>
  <si>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</si>
  <si>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</si>
  <si>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</si>
  <si>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</si>
  <si>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</si>
  <si>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</si>
  <si>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</si>
  <si>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</si>
  <si>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</si>
  <si>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</si>
  <si>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</si>
  <si>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</si>
  <si>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</si>
  <si>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</si>
  <si>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</si>
  <si>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</si>
  <si>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</si>
  <si>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</si>
  <si>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</si>
  <si>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</si>
  <si>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</si>
  <si>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</si>
  <si>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</si>
  <si>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</si>
  <si>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</si>
  <si>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</si>
  <si>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</si>
  <si>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</si>
  <si>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</si>
  <si>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</si>
  <si>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</si>
  <si>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</si>
  <si>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</si>
  <si>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</si>
  <si>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</si>
  <si>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</si>
  <si>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</si>
  <si>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</si>
  <si>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</si>
  <si>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</si>
  <si>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</si>
  <si>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</si>
  <si>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</si>
  <si>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</si>
  <si>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</si>
  <si>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</si>
  <si>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</si>
  <si>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</si>
  <si>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</si>
  <si>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</si>
  <si>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</si>
  <si>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</si>
  <si>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</si>
  <si>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</si>
  <si>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</si>
  <si>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</si>
  <si>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</si>
  <si>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</si>
  <si>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</si>
  <si>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</si>
  <si>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</si>
  <si>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</si>
  <si>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</si>
  <si>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</si>
  <si>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</si>
  <si>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</si>
  <si>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</si>
  <si>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</si>
  <si>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</si>
  <si>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</si>
  <si>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</si>
  <si>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</si>
  <si>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</si>
  <si>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</si>
  <si>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</si>
  <si>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</si>
  <si>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</si>
  <si>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</si>
  <si>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</si>
  <si>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</si>
  <si>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</si>
  <si>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</si>
  <si>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</si>
  <si>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</si>
  <si>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</si>
  <si>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</si>
  <si>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</si>
  <si>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</si>
  <si>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</si>
  <si>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</si>
  <si>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</si>
  <si>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</si>
  <si>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</si>
  <si>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</si>
  <si>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</si>
  <si>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</si>
  <si>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</si>
  <si>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</si>
  <si>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</si>
  <si>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</si>
  <si>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</si>
  <si>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</si>
  <si>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</si>
  <si>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</si>
  <si>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</si>
  <si>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</si>
  <si>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</si>
  <si>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</si>
  <si>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</si>
  <si>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</si>
  <si>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</si>
  <si>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</si>
  <si>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</si>
  <si>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</si>
  <si>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</si>
  <si>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</si>
  <si>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</si>
  <si>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</si>
  <si>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</si>
  <si>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</si>
  <si>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</si>
  <si>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</si>
  <si>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</si>
  <si>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</si>
  <si>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</si>
  <si>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</si>
  <si>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</si>
  <si>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</si>
  <si>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</si>
  <si>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</si>
  <si>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</si>
  <si>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</si>
  <si>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</si>
  <si>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</si>
  <si>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</si>
  <si>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</si>
  <si>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</si>
  <si>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</si>
  <si>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</si>
  <si>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</si>
  <si>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</si>
  <si>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</si>
  <si>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</si>
  <si>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</si>
  <si>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</si>
  <si>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</si>
  <si>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</si>
  <si>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</si>
  <si>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</si>
  <si>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</si>
  <si>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</si>
  <si>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</si>
  <si>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</si>
  <si>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</si>
  <si>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</si>
  <si>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</si>
  <si>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</si>
  <si>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</si>
  <si>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</si>
  <si>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</si>
  <si>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</si>
  <si>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</si>
  <si>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</si>
  <si>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</si>
  <si>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</si>
  <si>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</si>
  <si>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</si>
  <si>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</si>
  <si>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</si>
  <si>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</si>
  <si>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</si>
  <si>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</si>
  <si>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</si>
  <si>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</si>
  <si>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</si>
  <si>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</si>
  <si>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</si>
  <si>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</si>
  <si>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</si>
  <si>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</si>
  <si>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</si>
  <si>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</si>
  <si>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</si>
  <si>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</si>
  <si>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</si>
  <si>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</si>
  <si>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</si>
  <si>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</si>
  <si>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</si>
  <si>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</si>
  <si>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</si>
  <si>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</si>
  <si>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</si>
  <si>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</si>
  <si>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</si>
  <si>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</si>
  <si>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</si>
  <si>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</si>
  <si>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</si>
  <si>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</si>
  <si>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</si>
  <si>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</si>
  <si>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</si>
  <si>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</si>
  <si>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</si>
  <si>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</si>
  <si>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</si>
  <si>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</si>
  <si>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</si>
  <si>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</si>
  <si>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</si>
  <si>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</si>
  <si>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</si>
  <si>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</si>
  <si>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</si>
  <si>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</si>
  <si>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</si>
  <si>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</si>
  <si>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</si>
  <si>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</si>
  <si>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</si>
  <si>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</si>
  <si>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</si>
  <si>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</si>
  <si>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</si>
  <si>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</si>
  <si>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</si>
  <si>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</si>
  <si>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</si>
  <si>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</si>
  <si>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</si>
  <si>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</si>
  <si>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</si>
  <si>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</si>
  <si>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</si>
  <si>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</si>
  <si>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</si>
  <si>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</si>
  <si>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</si>
  <si>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</si>
  <si>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</si>
  <si>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</si>
  <si>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</si>
  <si>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</si>
  <si>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</si>
  <si>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</si>
  <si>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</si>
  <si>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</si>
  <si>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</si>
  <si>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</si>
  <si>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</si>
  <si>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</si>
  <si>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</si>
  <si>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</si>
  <si>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</si>
  <si>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</si>
  <si>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</si>
  <si>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</si>
  <si>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</si>
  <si>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</si>
  <si>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</si>
  <si>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</si>
  <si>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</si>
  <si>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</si>
  <si>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</si>
  <si>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</si>
  <si>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</si>
  <si>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</si>
  <si>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</si>
  <si>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</si>
  <si>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</si>
  <si>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</si>
  <si>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</si>
  <si>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</si>
  <si>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</si>
  <si>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</si>
  <si>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</si>
  <si>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</si>
  <si>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</si>
  <si>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</si>
  <si>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</si>
  <si>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</si>
  <si>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</si>
  <si>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</si>
  <si>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</si>
  <si>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</si>
  <si>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</si>
  <si>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</si>
  <si>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</si>
  <si>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</si>
  <si>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</si>
  <si>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</si>
  <si>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</si>
  <si>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</si>
  <si>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</si>
  <si>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</si>
  <si>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</si>
  <si>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</si>
  <si>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</si>
  <si>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</si>
  <si>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</si>
  <si>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</si>
  <si>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</si>
  <si>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</si>
  <si>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</si>
  <si>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</si>
  <si>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</si>
  <si>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</si>
  <si>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</si>
  <si>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</si>
  <si>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</si>
  <si>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</si>
  <si>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</si>
  <si>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</si>
  <si>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</si>
  <si>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</si>
  <si>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</si>
  <si>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</si>
  <si>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</si>
  <si>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</si>
  <si>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</si>
  <si>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</si>
  <si>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</si>
  <si>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</si>
  <si>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</si>
  <si>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</si>
  <si>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</si>
  <si>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</si>
  <si>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</si>
  <si>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</si>
  <si>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</si>
  <si>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</si>
  <si>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</si>
  <si>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</si>
  <si>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</si>
  <si>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</si>
  <si>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</si>
  <si>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</si>
  <si>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</si>
  <si>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</si>
  <si>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</si>
  <si>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</si>
  <si>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</si>
  <si>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</si>
  <si>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</si>
  <si>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</si>
  <si>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</si>
  <si>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</si>
  <si>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</si>
  <si>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</si>
  <si>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</si>
  <si>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</si>
  <si>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</si>
  <si>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</si>
  <si>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</si>
  <si>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</si>
  <si>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</si>
  <si>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</si>
  <si>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</si>
  <si>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</si>
  <si>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</si>
  <si>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</si>
  <si>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</si>
  <si>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</si>
  <si>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</si>
  <si>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</si>
  <si>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</si>
  <si>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</si>
  <si>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</si>
  <si>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</si>
  <si>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</si>
  <si>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</si>
  <si>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</si>
  <si>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</si>
  <si>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</si>
  <si>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</si>
  <si>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</si>
  <si>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</si>
  <si>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</si>
  <si>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</si>
  <si>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</si>
  <si>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</si>
  <si>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</si>
  <si>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</si>
  <si>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</si>
  <si>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</si>
  <si>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</si>
  <si>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</si>
  <si>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</si>
  <si>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</si>
  <si>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</si>
  <si>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</si>
  <si>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</si>
  <si>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</si>
  <si>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</si>
  <si>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</si>
  <si>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</si>
  <si>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</si>
  <si>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</si>
  <si>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</si>
  <si>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</si>
  <si>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</si>
  <si>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</si>
  <si>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</si>
  <si>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</si>
  <si>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</si>
  <si>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</si>
  <si>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</si>
  <si>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</si>
  <si>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</si>
  <si>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</si>
  <si>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</si>
  <si>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</si>
  <si>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</si>
  <si>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</si>
  <si>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</si>
  <si>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</si>
  <si>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</si>
  <si>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</si>
  <si>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</si>
  <si>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</si>
  <si>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</si>
  <si>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</si>
  <si>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</si>
  <si>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</si>
  <si>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</si>
  <si>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</si>
  <si>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</si>
  <si>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</si>
  <si>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</si>
  <si>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</si>
  <si>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</si>
  <si>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</si>
  <si>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</si>
  <si>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</si>
  <si>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</si>
  <si>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</si>
  <si>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</si>
  <si>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</si>
  <si>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</si>
  <si>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</si>
  <si>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</si>
  <si>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</si>
  <si>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</si>
  <si>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</si>
  <si>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</si>
  <si>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</si>
  <si>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</si>
  <si>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</si>
  <si>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</si>
  <si>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</si>
  <si>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</si>
  <si>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</si>
  <si>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</si>
  <si>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</si>
  <si>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</si>
  <si>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</si>
  <si>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</si>
  <si>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</si>
  <si>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</si>
  <si>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</si>
  <si>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</si>
  <si>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</si>
  <si>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</si>
  <si>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</si>
  <si>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</si>
  <si>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</si>
  <si>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</si>
  <si>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</si>
  <si>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</si>
  <si>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</si>
  <si>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</si>
  <si>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</si>
  <si>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</si>
  <si>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</si>
  <si>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</si>
  <si>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</si>
  <si>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</si>
  <si>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</si>
  <si>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</si>
  <si>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</si>
  <si>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</si>
  <si>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</si>
  <si>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</si>
  <si>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</si>
  <si>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</si>
  <si>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</si>
  <si>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</si>
  <si>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</si>
  <si>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</si>
  <si>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</si>
  <si>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</si>
  <si>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</si>
  <si>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</si>
  <si>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</si>
  <si>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</si>
  <si>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</si>
  <si>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</si>
  <si>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</si>
  <si>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</si>
  <si>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</si>
  <si>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</si>
  <si>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</si>
  <si>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</si>
  <si>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</si>
  <si>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</si>
  <si>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</si>
  <si>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</si>
  <si>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</si>
  <si>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</si>
  <si>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</si>
  <si>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</si>
  <si>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</si>
  <si>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</si>
  <si>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</si>
  <si>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</si>
  <si>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</si>
  <si>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</si>
  <si>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</si>
  <si>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</si>
  <si>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</si>
  <si>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</si>
  <si>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</si>
  <si>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</si>
  <si>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</si>
  <si>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</si>
  <si>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</si>
  <si>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</si>
  <si>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</si>
  <si>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</si>
  <si>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</si>
  <si>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</si>
  <si>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</si>
  <si>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</si>
  <si>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</si>
  <si>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</si>
  <si>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</si>
  <si>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</si>
  <si>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</si>
  <si>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</si>
  <si>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</si>
  <si>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</si>
  <si>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</si>
  <si>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</si>
  <si>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</si>
  <si>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</si>
  <si>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</si>
  <si>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</si>
  <si>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</si>
  <si>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</si>
  <si>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</si>
  <si>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</si>
  <si>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</si>
  <si>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</si>
  <si>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</si>
  <si>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</si>
  <si>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</si>
  <si>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</si>
  <si>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</si>
  <si>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</si>
  <si>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</si>
  <si>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</si>
  <si>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</si>
  <si>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</si>
  <si>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</si>
  <si>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</si>
  <si>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</si>
  <si>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</si>
  <si>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</si>
  <si>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</si>
  <si>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</si>
  <si>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</si>
  <si>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</si>
  <si>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</si>
  <si>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</si>
  <si>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</si>
  <si>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</si>
  <si>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</si>
  <si>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</si>
  <si>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</si>
  <si>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</si>
  <si>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</si>
  <si>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</si>
  <si>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</si>
  <si>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</si>
  <si>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</si>
  <si>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</si>
  <si>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</si>
  <si>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</si>
  <si>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</si>
  <si>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</si>
  <si>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</si>
  <si>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</si>
  <si>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</si>
  <si>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</si>
  <si>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</si>
  <si>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</si>
  <si>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</si>
  <si>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</si>
  <si>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</si>
  <si>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</si>
  <si>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</si>
  <si>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</si>
  <si>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</si>
  <si>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</si>
  <si>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</si>
  <si>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</si>
  <si>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</si>
  <si>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</si>
  <si>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</si>
  <si>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</si>
  <si>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</si>
  <si>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</si>
  <si>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</si>
  <si>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</si>
  <si>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</si>
  <si>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</si>
  <si>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</si>
  <si>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</si>
  <si>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</si>
  <si>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</si>
  <si>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</si>
  <si>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</si>
  <si>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</si>
  <si>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</si>
  <si>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</si>
  <si>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</si>
  <si>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</si>
  <si>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</si>
  <si>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</si>
  <si>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</si>
  <si>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</si>
  <si>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</si>
  <si>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</si>
  <si>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</si>
  <si>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</si>
  <si>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</si>
  <si>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</si>
  <si>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</si>
  <si>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</si>
  <si>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</si>
  <si>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</si>
  <si>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</si>
  <si>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</si>
  <si>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</si>
  <si>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</si>
  <si>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</si>
  <si>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</si>
  <si>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</si>
  <si>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</si>
  <si>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</si>
  <si>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</si>
  <si>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</si>
  <si>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</si>
  <si>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</si>
  <si>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</si>
  <si>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</si>
  <si>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</si>
  <si>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</si>
  <si>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</si>
  <si>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</si>
  <si>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</si>
  <si>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</si>
  <si>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</si>
  <si>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</si>
  <si>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</si>
  <si>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</si>
  <si>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</si>
  <si>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</si>
  <si>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</si>
  <si>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</si>
  <si>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</si>
  <si>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</si>
  <si>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</si>
  <si>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</si>
  <si>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</si>
  <si>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</si>
  <si>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</si>
  <si>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</si>
  <si>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</si>
  <si>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</si>
  <si>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</si>
  <si>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</si>
  <si>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</si>
  <si>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</si>
  <si>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</si>
  <si>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</si>
  <si>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</si>
  <si>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</si>
  <si>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</si>
  <si>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</si>
  <si>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</si>
  <si>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</si>
  <si>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</si>
  <si>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</si>
  <si>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</si>
  <si>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</si>
  <si>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</si>
  <si>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</si>
  <si>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</si>
  <si>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</si>
  <si>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</si>
  <si>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</si>
  <si>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</si>
  <si>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</si>
  <si>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</si>
  <si>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</si>
  <si>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</si>
  <si>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</si>
  <si>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</si>
  <si>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</si>
  <si>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</si>
  <si>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</si>
  <si>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</si>
  <si>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</si>
  <si>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</si>
  <si>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</si>
  <si>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</si>
  <si>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</si>
  <si>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</si>
  <si>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</si>
  <si>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</si>
  <si>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</si>
  <si>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</si>
  <si>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</si>
  <si>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</si>
  <si>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</si>
  <si>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</si>
  <si>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</si>
  <si>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</si>
  <si>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</si>
  <si>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</si>
  <si>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</si>
  <si>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</si>
  <si>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</si>
  <si>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</si>
  <si>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</si>
  <si>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</si>
  <si>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</si>
  <si>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</si>
  <si>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</si>
  <si>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</si>
  <si>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</si>
  <si>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</si>
  <si>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</si>
  <si>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</si>
  <si>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</si>
  <si>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</si>
  <si>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</si>
  <si>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</si>
  <si>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</si>
  <si>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</si>
  <si>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</si>
  <si>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</si>
  <si>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</si>
  <si>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</si>
  <si>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</si>
  <si>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</si>
  <si>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</si>
  <si>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</si>
  <si>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</si>
  <si>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</si>
  <si>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</si>
  <si>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</si>
  <si>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</si>
  <si>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</si>
  <si>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</si>
  <si>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</si>
  <si>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</si>
  <si>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</si>
  <si>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</si>
  <si>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</si>
  <si>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</si>
  <si>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</si>
  <si>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</si>
  <si>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</si>
  <si>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</si>
  <si>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</si>
  <si>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</si>
  <si>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</si>
  <si>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</si>
  <si>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</si>
  <si>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</si>
  <si>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</si>
  <si>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</si>
  <si>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</si>
  <si>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</si>
  <si>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</si>
  <si>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</si>
  <si>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</si>
  <si>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</si>
  <si>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</si>
  <si>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</si>
  <si>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</si>
  <si>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</si>
  <si>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</si>
  <si>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</si>
  <si>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</si>
  <si>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</si>
  <si>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</si>
  <si>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</si>
  <si>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</si>
  <si>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</si>
  <si>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</si>
  <si>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</si>
  <si>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</si>
  <si>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</si>
  <si>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</si>
  <si>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</si>
  <si>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</si>
  <si>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</si>
  <si>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</si>
  <si>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</si>
  <si>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</si>
  <si>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</si>
  <si>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</si>
  <si>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</si>
  <si>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</si>
  <si>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</si>
  <si>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</si>
  <si>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</si>
  <si>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</si>
  <si>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</si>
  <si>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</si>
  <si>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</si>
  <si>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</si>
  <si>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</si>
  <si>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</si>
  <si>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</si>
  <si>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</si>
  <si>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</si>
  <si>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</si>
  <si>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</si>
  <si>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</si>
  <si>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</si>
  <si>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</si>
  <si>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</si>
  <si>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</si>
  <si>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</si>
  <si>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</si>
  <si>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</si>
  <si>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</si>
  <si>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</si>
  <si>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</si>
  <si>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</si>
  <si>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</si>
  <si>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</si>
  <si>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</si>
  <si>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</si>
  <si>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</si>
  <si>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</si>
  <si>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</si>
  <si>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</si>
  <si>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</si>
  <si>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</si>
  <si>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</si>
  <si>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</si>
  <si>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</si>
  <si>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</si>
  <si>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</si>
  <si>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</si>
  <si>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</si>
  <si>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</si>
  <si>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</si>
  <si>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</si>
  <si>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</si>
  <si>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</si>
  <si>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</si>
  <si>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</si>
  <si>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</si>
  <si>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</si>
  <si>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</si>
  <si>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</si>
  <si>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</si>
  <si>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</si>
  <si>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</si>
  <si>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</si>
  <si>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</si>
  <si>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</si>
  <si>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</si>
  <si>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</si>
  <si>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</si>
  <si>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</si>
  <si>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</si>
  <si>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</si>
  <si>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</si>
  <si>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</si>
  <si>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</si>
  <si>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</si>
  <si>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</si>
  <si>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</si>
  <si>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</si>
  <si>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</si>
  <si>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</si>
  <si>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</si>
  <si>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</si>
  <si>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</si>
  <si>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</si>
  <si>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</si>
  <si>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</si>
  <si>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</si>
  <si>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</si>
  <si>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</si>
  <si>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</si>
  <si>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</si>
  <si>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</si>
  <si>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</si>
  <si>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</si>
  <si>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</si>
  <si>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</si>
  <si>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</si>
  <si>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</si>
  <si>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</si>
  <si>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</si>
  <si>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</si>
  <si>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</si>
  <si>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</si>
  <si>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</si>
  <si>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</si>
  <si>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</si>
  <si>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</si>
  <si>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</si>
  <si>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</si>
  <si>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</si>
  <si>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</si>
  <si>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</si>
  <si>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</si>
  <si>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</si>
  <si>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</si>
  <si>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</si>
  <si>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</si>
  <si>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</si>
  <si>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</si>
  <si>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</si>
  <si>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</si>
  <si>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</si>
  <si>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</si>
  <si>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</si>
  <si>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</si>
  <si>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</si>
  <si>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</si>
  <si>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</si>
  <si>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</si>
  <si>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</si>
  <si>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</si>
  <si>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</si>
  <si>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</si>
  <si>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</si>
  <si>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</si>
  <si>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</si>
  <si>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</si>
  <si>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</si>
  <si>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</si>
  <si>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</si>
  <si>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</si>
  <si>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</si>
  <si>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</si>
  <si>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</si>
  <si>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</si>
  <si>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</si>
  <si>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</si>
  <si>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</si>
  <si>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</si>
  <si>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</si>
  <si>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</si>
  <si>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</si>
  <si>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</si>
  <si>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</si>
  <si>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</si>
  <si>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</si>
  <si>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</si>
  <si>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</si>
  <si>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</si>
  <si>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</si>
  <si>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</si>
  <si>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</si>
  <si>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</si>
  <si>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</si>
  <si>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</si>
  <si>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</si>
  <si>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</si>
  <si>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</si>
  <si>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</si>
  <si>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</si>
  <si>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</si>
  <si>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</si>
  <si>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</si>
  <si>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</si>
  <si>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</si>
  <si>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</si>
  <si>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</si>
  <si>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</si>
  <si>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</si>
  <si>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</si>
  <si>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</si>
  <si>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</si>
  <si>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</si>
  <si>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</si>
  <si>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</si>
  <si>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</si>
  <si>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</si>
  <si>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</si>
  <si>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</si>
  <si>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</si>
  <si>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</si>
  <si>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</si>
  <si>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</si>
  <si>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</si>
  <si>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</si>
  <si>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</si>
  <si>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</si>
  <si>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</si>
  <si>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</si>
  <si>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</si>
  <si>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</si>
  <si>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</si>
  <si>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</si>
  <si>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</si>
  <si>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</si>
  <si>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</si>
  <si>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</si>
  <si>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</si>
  <si>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</si>
  <si>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</si>
  <si>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</si>
  <si>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</si>
  <si>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</si>
  <si>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</si>
  <si>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</si>
  <si>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</si>
  <si>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</si>
  <si>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</si>
  <si>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</si>
  <si>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</si>
  <si>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</si>
  <si>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</si>
  <si>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</si>
  <si>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</si>
  <si>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</si>
  <si>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</si>
  <si>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</si>
  <si>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</si>
  <si>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</si>
  <si>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</si>
  <si>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</si>
  <si>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</si>
  <si>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</si>
  <si>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</si>
  <si>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</si>
  <si>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</si>
  <si>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</si>
  <si>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</si>
  <si>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</si>
  <si>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</si>
  <si>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</si>
  <si>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</si>
  <si>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</si>
  <si>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</si>
  <si>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</si>
  <si>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</si>
  <si>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</si>
  <si>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</si>
  <si>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</si>
  <si>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</si>
  <si>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</si>
  <si>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</si>
  <si>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</si>
  <si>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</si>
  <si>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</si>
  <si>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</si>
  <si>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</si>
  <si>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</si>
  <si>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</si>
  <si>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</si>
  <si>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</si>
  <si>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</si>
  <si>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</si>
  <si>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</si>
  <si>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</si>
  <si>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</si>
  <si>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</si>
  <si>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</si>
  <si>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</si>
  <si>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</si>
  <si>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</si>
  <si>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</si>
  <si>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</si>
  <si>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</si>
  <si>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</si>
  <si>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</si>
  <si>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</si>
  <si>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</si>
  <si>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</si>
  <si>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</si>
  <si>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</si>
  <si>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</si>
  <si>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</si>
  <si>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</si>
  <si>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</si>
  <si>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</si>
  <si>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</si>
  <si>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</si>
  <si>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</si>
  <si>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</si>
  <si>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</si>
  <si>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</si>
  <si>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</si>
  <si>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</si>
  <si>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</si>
  <si>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</si>
  <si>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</si>
  <si>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</si>
  <si>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</si>
  <si>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</si>
  <si>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</si>
  <si>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</si>
  <si>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</si>
  <si>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</si>
  <si>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</si>
  <si>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</si>
  <si>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</si>
  <si>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</si>
  <si>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</si>
  <si>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</si>
  <si>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</si>
  <si>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</si>
  <si>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</si>
  <si>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</si>
  <si>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</si>
  <si>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</si>
  <si>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</si>
  <si>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</si>
  <si>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</si>
  <si>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</si>
  <si>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</si>
  <si>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</si>
  <si>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</si>
  <si>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</si>
  <si>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</si>
  <si>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</si>
  <si>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</si>
  <si>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</si>
  <si>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</si>
  <si>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</si>
  <si>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</si>
  <si>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</si>
  <si>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</si>
  <si>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</si>
  <si>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</si>
  <si>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</si>
  <si>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</si>
  <si>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</si>
  <si>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</si>
  <si>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</si>
  <si>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</si>
  <si>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</si>
  <si>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</si>
  <si>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</si>
  <si>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</si>
  <si>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</si>
  <si>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</si>
  <si>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</si>
  <si>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</si>
  <si>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</si>
  <si>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</si>
  <si>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</si>
  <si>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</si>
  <si>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</si>
  <si>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</si>
  <si>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</si>
  <si>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</si>
  <si>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</si>
  <si>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</si>
  <si>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</si>
  <si>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</si>
  <si>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</si>
  <si>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</si>
  <si>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</si>
  <si>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</si>
  <si>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</si>
  <si>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</si>
  <si>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</si>
  <si>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</si>
  <si>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</si>
  <si>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</si>
  <si>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</si>
  <si>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</si>
  <si>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</si>
  <si>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</si>
  <si>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</si>
  <si>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</si>
  <si>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</si>
  <si>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</si>
  <si>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</si>
  <si>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</si>
  <si>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</si>
  <si>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</si>
  <si>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</si>
  <si>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</si>
  <si>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</si>
  <si>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</si>
  <si>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</si>
  <si>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</si>
  <si>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</si>
  <si>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</si>
  <si>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</si>
  <si>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</si>
  <si>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</si>
  <si>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</si>
  <si>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</si>
  <si>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</si>
  <si>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</si>
  <si>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</si>
  <si>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</si>
  <si>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</si>
  <si>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</si>
  <si>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</si>
  <si>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</si>
  <si>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</si>
  <si>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</si>
  <si>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</si>
  <si>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</si>
  <si>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</si>
  <si>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</si>
  <si>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</si>
  <si>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</si>
  <si>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</si>
  <si>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</si>
  <si>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</si>
  <si>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</si>
  <si>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</si>
  <si>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</si>
  <si>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</si>
  <si>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</si>
  <si>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</si>
  <si>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</si>
  <si>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</si>
  <si>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</si>
  <si>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</si>
  <si>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</si>
  <si>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</si>
  <si>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</si>
  <si>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</si>
  <si>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</si>
  <si>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</si>
  <si>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</si>
  <si>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</si>
  <si>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</si>
  <si>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</si>
  <si>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</si>
  <si>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</si>
  <si>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</si>
  <si>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</si>
  <si>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</si>
  <si>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</si>
  <si>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</si>
  <si>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</si>
  <si>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</si>
  <si>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</si>
  <si>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</si>
  <si>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</si>
  <si>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</si>
  <si>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</si>
  <si>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</si>
  <si>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</si>
  <si>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</si>
  <si>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</si>
  <si>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</si>
  <si>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</si>
  <si>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</si>
  <si>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</si>
  <si>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</si>
  <si>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</si>
  <si>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</si>
  <si>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</si>
  <si>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</si>
  <si>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</si>
  <si>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</si>
  <si>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</si>
  <si>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</si>
  <si>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</si>
  <si>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</si>
  <si>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</si>
  <si>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</si>
  <si>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</si>
  <si>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</si>
  <si>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</si>
  <si>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</si>
  <si>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</si>
  <si>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</si>
  <si>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</si>
  <si>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</si>
  <si>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</si>
  <si>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</si>
  <si>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</si>
  <si>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</si>
  <si>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</si>
  <si>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</si>
  <si>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</si>
  <si>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</si>
  <si>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</si>
  <si>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</si>
  <si>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</si>
  <si>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</si>
  <si>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</si>
  <si>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</si>
  <si>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</si>
  <si>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</si>
  <si>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</si>
  <si>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</si>
  <si>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</si>
  <si>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</si>
  <si>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</si>
  <si>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</si>
  <si>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</si>
  <si>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</si>
  <si>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</si>
  <si>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</si>
  <si>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</si>
  <si>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</si>
  <si>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</si>
  <si>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</si>
  <si>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</si>
  <si>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</si>
  <si>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</si>
  <si>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</si>
  <si>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</si>
  <si>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</si>
  <si>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</si>
  <si>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</si>
  <si>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</si>
  <si>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</si>
  <si>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</si>
  <si>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</si>
  <si>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</si>
  <si>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</si>
  <si>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</si>
  <si>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</si>
  <si>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</si>
  <si>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</si>
  <si>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</si>
  <si>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</si>
  <si>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</si>
  <si>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</si>
  <si>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</si>
  <si>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</si>
  <si>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</si>
  <si>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</si>
  <si>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</si>
  <si>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</si>
  <si>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</si>
  <si>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</si>
  <si>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</si>
  <si>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</si>
  <si>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</si>
  <si>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</si>
  <si>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</si>
  <si>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</si>
  <si>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</si>
  <si>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</si>
  <si>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</si>
  <si>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</si>
  <si>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</si>
  <si>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</si>
  <si>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</si>
  <si>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</si>
  <si>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</si>
  <si>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</si>
  <si>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</si>
  <si>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</si>
  <si>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</si>
  <si>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</si>
  <si>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</si>
  <si>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</si>
  <si>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</si>
  <si>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</si>
  <si>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</si>
  <si>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</si>
  <si>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</si>
  <si>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</si>
  <si>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</si>
  <si>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</si>
  <si>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</si>
  <si>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</si>
  <si>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</si>
  <si>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</si>
  <si>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</si>
  <si>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</si>
  <si>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</si>
  <si>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</si>
  <si>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</si>
  <si>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</si>
  <si>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</si>
  <si>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</si>
  <si>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</si>
  <si>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</si>
  <si>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</si>
  <si>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</si>
  <si>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</si>
  <si>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</si>
  <si>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</si>
  <si>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</si>
  <si>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</si>
  <si>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</si>
  <si>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</si>
  <si>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</si>
  <si>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</si>
  <si>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</si>
  <si>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</si>
  <si>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</si>
  <si>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</si>
  <si>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</si>
  <si>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</si>
  <si>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</si>
  <si>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</si>
  <si>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</si>
  <si>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</si>
  <si>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</si>
  <si>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</si>
  <si>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</si>
  <si>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</si>
  <si>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</si>
  <si>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</si>
  <si>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</si>
  <si>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</si>
  <si>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</si>
  <si>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</si>
  <si>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</si>
  <si>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</si>
  <si>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</si>
  <si>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</si>
  <si>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</si>
  <si>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</si>
  <si>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</si>
  <si>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</si>
  <si>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</si>
  <si>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</si>
  <si>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</si>
  <si>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</si>
  <si>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</si>
  <si>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</si>
  <si>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</si>
  <si>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</si>
  <si>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</si>
  <si>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</si>
  <si>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</si>
  <si>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</si>
  <si>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</si>
  <si>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</si>
  <si>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</si>
  <si>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</si>
  <si>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</si>
  <si>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</si>
  <si>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</si>
  <si>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</si>
  <si>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</si>
  <si>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</si>
  <si>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</si>
  <si>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</si>
  <si>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</si>
  <si>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</si>
  <si>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</si>
  <si>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</si>
  <si>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</si>
  <si>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</si>
  <si>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</si>
  <si>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</si>
  <si>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</si>
  <si>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</si>
  <si>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</si>
  <si>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</si>
  <si>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</si>
  <si>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</si>
  <si>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</si>
  <si>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</si>
  <si>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</si>
  <si>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</si>
  <si>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</si>
  <si>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</si>
  <si>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</si>
  <si>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</si>
  <si>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</si>
  <si>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</si>
  <si>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</si>
  <si>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</si>
  <si>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</si>
  <si>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</si>
  <si>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</si>
  <si>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</si>
  <si>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</si>
  <si>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</si>
  <si>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</si>
  <si>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</si>
  <si>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</si>
  <si>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</si>
  <si>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</si>
  <si>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</si>
  <si>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</si>
  <si>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</si>
  <si>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</si>
  <si>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</si>
  <si>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</si>
  <si>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</si>
  <si>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</si>
  <si>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</si>
  <si>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</si>
  <si>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</si>
  <si>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</si>
  <si>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</si>
  <si>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</si>
  <si>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</si>
  <si>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</si>
  <si>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</si>
  <si>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</si>
  <si>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</si>
  <si>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</si>
  <si>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</si>
  <si>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</si>
  <si>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</si>
  <si>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</si>
  <si>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</si>
  <si>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</si>
  <si>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</si>
  <si>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</si>
  <si>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</si>
  <si>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</si>
  <si>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</si>
  <si>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</si>
  <si>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</si>
  <si>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</si>
  <si>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</si>
  <si>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</si>
  <si>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</si>
  <si>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</si>
  <si>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</si>
  <si>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</si>
  <si>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</si>
  <si>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</si>
  <si>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</si>
  <si>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</si>
  <si>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</si>
  <si>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</si>
  <si>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</si>
  <si>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</si>
  <si>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</si>
  <si>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</si>
  <si>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</si>
  <si>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</si>
  <si>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</si>
  <si>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</si>
  <si>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</si>
  <si>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</si>
  <si>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</si>
  <si>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</si>
  <si>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</si>
  <si>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</si>
  <si>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</si>
  <si>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</si>
  <si>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</si>
  <si>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</si>
  <si>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</si>
  <si>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</si>
  <si>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</si>
  <si>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</si>
  <si>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</si>
  <si>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</si>
  <si>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</si>
  <si>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</si>
  <si>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</si>
  <si>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</si>
  <si>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</si>
  <si>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</si>
  <si>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</si>
  <si>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</si>
  <si>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</si>
  <si>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</si>
  <si>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</si>
  <si>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</si>
  <si>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</si>
  <si>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</si>
  <si>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</si>
  <si>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</si>
  <si>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</si>
  <si>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</si>
  <si>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</si>
  <si>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</si>
  <si>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</si>
  <si>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</si>
  <si>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</si>
  <si>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</si>
  <si>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</si>
  <si>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</si>
  <si>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</si>
  <si>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</si>
  <si>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</si>
  <si>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</si>
  <si>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</si>
  <si>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</si>
  <si>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</si>
  <si>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</si>
  <si>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</si>
  <si>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</si>
  <si>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</si>
  <si>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</si>
  <si>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</si>
  <si>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</si>
  <si>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</si>
  <si>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</si>
  <si>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</si>
  <si>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</si>
  <si>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</si>
  <si>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</si>
  <si>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</si>
  <si>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</si>
  <si>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</si>
  <si>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</si>
  <si>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</si>
  <si>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</si>
  <si>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</si>
  <si>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</si>
  <si>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</si>
  <si>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</si>
  <si>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</si>
  <si>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</si>
  <si>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</si>
  <si>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</si>
  <si>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</si>
  <si>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</si>
  <si>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</si>
  <si>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</si>
  <si>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</si>
  <si>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</si>
  <si>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</si>
  <si>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</si>
  <si>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</si>
  <si>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</si>
  <si>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</si>
  <si>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</si>
  <si>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</si>
  <si>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</si>
  <si>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</si>
  <si>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</si>
  <si>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</si>
  <si>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</si>
  <si>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</si>
  <si>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</si>
  <si>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</si>
  <si>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</si>
  <si>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</si>
  <si>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</si>
  <si>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</si>
  <si>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</si>
  <si>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</si>
  <si>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</si>
  <si>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</si>
  <si>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</si>
  <si>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</si>
  <si>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</si>
  <si>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</si>
  <si>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</si>
  <si>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</si>
  <si>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</si>
  <si>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</si>
  <si>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</si>
  <si>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</si>
  <si>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</si>
  <si>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</si>
  <si>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</si>
  <si>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</si>
  <si>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</si>
  <si>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</si>
  <si>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</si>
  <si>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</si>
  <si>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</si>
  <si>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</si>
  <si>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</si>
  <si>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</si>
  <si>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</si>
  <si>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</si>
  <si>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</si>
  <si>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</si>
  <si>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</si>
  <si>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</si>
  <si>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</si>
  <si>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</si>
  <si>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</si>
  <si>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</si>
  <si>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</si>
  <si>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</si>
  <si>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</si>
  <si>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</si>
  <si>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</si>
  <si>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</si>
  <si>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</si>
  <si>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</si>
  <si>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</si>
  <si>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</si>
  <si>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</si>
  <si>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</si>
  <si>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</si>
  <si>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</si>
  <si>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</si>
  <si>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</si>
  <si>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</si>
  <si>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</si>
  <si>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</si>
  <si>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</si>
  <si>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</si>
  <si>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</si>
  <si>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</si>
  <si>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</si>
  <si>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</si>
  <si>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</si>
  <si>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</si>
  <si>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</si>
  <si>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</si>
  <si>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</si>
  <si>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</si>
  <si>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</si>
  <si>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</si>
  <si>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</si>
  <si>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</si>
  <si>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</si>
  <si>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</si>
  <si>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</si>
  <si>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</si>
  <si>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</si>
  <si>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</si>
  <si>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</si>
  <si>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</si>
  <si>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</si>
  <si>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</si>
  <si>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</si>
  <si>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</si>
  <si>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</si>
  <si>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</si>
  <si>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</si>
  <si>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</si>
  <si>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</si>
  <si>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</si>
  <si>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</si>
  <si>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</si>
  <si>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</si>
  <si>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</si>
  <si>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</si>
  <si>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</si>
  <si>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</si>
  <si>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</si>
  <si>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</si>
  <si>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</si>
  <si>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</si>
  <si>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</si>
  <si>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</si>
  <si>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</si>
  <si>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</si>
  <si>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</si>
  <si>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</si>
  <si>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</si>
  <si>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</si>
  <si>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</si>
  <si>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</si>
  <si>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</si>
  <si>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</si>
  <si>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</si>
  <si>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</si>
  <si>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</si>
  <si>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</si>
  <si>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</si>
  <si>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</si>
  <si>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</si>
  <si>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</si>
  <si>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</si>
  <si>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</si>
  <si>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</si>
  <si>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</si>
  <si>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</si>
  <si>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</si>
  <si>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</si>
  <si>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</si>
  <si>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</si>
  <si>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</si>
  <si>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</si>
  <si>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</si>
  <si>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</si>
  <si>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</si>
  <si>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</si>
  <si>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</si>
  <si>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</si>
  <si>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</si>
  <si>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</si>
  <si>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</si>
  <si>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</si>
  <si>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</si>
  <si>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</si>
  <si>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</si>
  <si>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</si>
  <si>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</si>
  <si>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</si>
  <si>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</si>
  <si>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</si>
  <si>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</si>
  <si>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</si>
  <si>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</si>
  <si>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</si>
  <si>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</si>
  <si>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</si>
  <si>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</si>
  <si>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</si>
  <si>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</si>
  <si>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</si>
  <si>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</si>
  <si>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</si>
  <si>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</si>
  <si>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</si>
  <si>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</si>
  <si>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</si>
  <si>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</si>
  <si>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</si>
  <si>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</si>
  <si>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</si>
  <si>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</si>
  <si>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</si>
  <si>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</si>
  <si>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</si>
  <si>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</si>
  <si>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</si>
  <si>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</si>
  <si>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</si>
  <si>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</si>
  <si>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</si>
  <si>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</si>
  <si>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</si>
  <si>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</si>
  <si>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</si>
  <si>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</si>
  <si>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</si>
  <si>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</si>
  <si>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</si>
  <si>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</si>
  <si>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</si>
  <si>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</si>
  <si>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</si>
  <si>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</si>
  <si>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</si>
  <si>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</si>
  <si>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</si>
  <si>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</si>
  <si>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</si>
  <si>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</si>
  <si>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</si>
  <si>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</si>
  <si>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</si>
  <si>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</si>
  <si>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</si>
  <si>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</si>
  <si>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</si>
  <si>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</si>
  <si>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</si>
  <si>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</si>
  <si>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</si>
  <si>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</si>
  <si>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</si>
  <si>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</si>
  <si>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</si>
  <si>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</si>
  <si>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</si>
  <si>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</si>
  <si>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</si>
  <si>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</si>
  <si>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</si>
  <si>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</si>
  <si>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</si>
  <si>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</si>
  <si>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</si>
  <si>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</si>
  <si>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</si>
  <si>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</si>
  <si>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</si>
  <si>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</si>
  <si>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</si>
  <si>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</si>
  <si>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</si>
  <si>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</si>
  <si>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</si>
  <si>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</si>
  <si>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</si>
  <si>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</si>
  <si>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</si>
  <si>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</si>
  <si>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</si>
  <si>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</si>
  <si>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</si>
  <si>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</si>
  <si>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</si>
  <si>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</si>
  <si>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</si>
  <si>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</si>
  <si>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</si>
  <si>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</si>
  <si>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</si>
  <si>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</si>
  <si>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</si>
  <si>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</si>
  <si>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</si>
  <si>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</si>
  <si>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</si>
  <si>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</si>
  <si>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</si>
  <si>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</si>
  <si>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</si>
  <si>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</si>
  <si>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</si>
  <si>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</si>
  <si>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</si>
  <si>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</si>
  <si>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</si>
  <si>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</si>
  <si>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</si>
  <si>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</si>
  <si>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</si>
  <si>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</si>
  <si>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</si>
  <si>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</si>
  <si>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</si>
  <si>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</si>
  <si>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</si>
  <si>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</si>
  <si>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</si>
  <si>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</si>
  <si>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</si>
  <si>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</si>
  <si>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</si>
  <si>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</si>
  <si>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</si>
  <si>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</si>
  <si>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</si>
  <si>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</si>
  <si>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</si>
  <si>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</si>
  <si>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</si>
  <si>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</si>
  <si>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</si>
  <si>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</si>
  <si>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</si>
  <si>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</si>
  <si>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</si>
  <si>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</si>
  <si>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</si>
  <si>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</si>
  <si>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</si>
  <si>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</si>
  <si>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</si>
  <si>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</si>
  <si>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</si>
  <si>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</si>
  <si>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</si>
  <si>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</si>
  <si>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</si>
  <si>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</si>
  <si>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</si>
  <si>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</si>
  <si>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</si>
  <si>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</si>
  <si>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</si>
  <si>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</si>
  <si>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</si>
  <si>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</si>
  <si>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</si>
  <si>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</si>
  <si>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</si>
  <si>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</si>
  <si>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</si>
  <si>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</si>
  <si>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</si>
  <si>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</si>
  <si>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</si>
  <si>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</si>
  <si>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</si>
  <si>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</si>
  <si>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</si>
  <si>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</si>
  <si>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</si>
  <si>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</si>
  <si>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</si>
  <si>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</si>
  <si>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</si>
  <si>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</si>
  <si>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</si>
  <si>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</si>
  <si>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</si>
  <si>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</si>
  <si>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</si>
  <si>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</si>
  <si>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</si>
  <si>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</si>
  <si>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</si>
  <si>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</si>
  <si>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</si>
  <si>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</si>
  <si>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</si>
  <si>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</si>
  <si>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</si>
  <si>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</si>
  <si>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</si>
  <si>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</si>
  <si>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</si>
  <si>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</si>
  <si>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</si>
  <si>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</si>
  <si>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</si>
  <si>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</si>
  <si>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</si>
  <si>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</si>
  <si>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</si>
  <si>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</si>
  <si>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</si>
  <si>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</si>
  <si>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</si>
  <si>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</si>
  <si>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</si>
  <si>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</si>
  <si>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</si>
  <si>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</si>
  <si>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</si>
  <si>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</si>
  <si>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</si>
  <si>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</si>
  <si>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</si>
  <si>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</si>
  <si>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</si>
  <si>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</si>
  <si>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</si>
  <si>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</si>
  <si>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</si>
  <si>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</si>
  <si>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</si>
  <si>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</si>
  <si>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</si>
  <si>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</si>
  <si>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</si>
  <si>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</si>
  <si>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</si>
  <si>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</si>
  <si>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</si>
  <si>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</si>
  <si>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</si>
  <si>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</si>
  <si>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</si>
  <si>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</si>
  <si>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</si>
  <si>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</si>
  <si>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</si>
  <si>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</si>
  <si>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</si>
  <si>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</si>
  <si>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</si>
  <si>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</si>
  <si>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</si>
  <si>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</si>
  <si>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</si>
  <si>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</si>
  <si>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</si>
  <si>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</si>
  <si>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</si>
  <si>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</si>
  <si>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</si>
  <si>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</si>
  <si>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</si>
  <si>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</si>
  <si>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</si>
  <si>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</si>
  <si>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</si>
  <si>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</si>
  <si>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</si>
  <si>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</si>
  <si>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</si>
  <si>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</si>
  <si>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</si>
  <si>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</si>
  <si>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</si>
  <si>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</si>
  <si>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</si>
  <si>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</si>
  <si>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</si>
  <si>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</si>
  <si>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</si>
  <si>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</si>
  <si>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</si>
  <si>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</si>
  <si>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</si>
  <si>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</si>
  <si>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</si>
  <si>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</si>
  <si>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</si>
  <si>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</si>
  <si>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</si>
  <si>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</si>
  <si>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</si>
  <si>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</si>
  <si>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</si>
  <si>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</si>
  <si>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</si>
  <si>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</si>
  <si>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</si>
  <si>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</si>
  <si>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</si>
  <si>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</si>
  <si>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</si>
  <si>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</si>
  <si>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</si>
  <si>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</si>
  <si>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</si>
  <si>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</si>
  <si>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</si>
  <si>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</si>
  <si>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</si>
  <si>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</si>
  <si>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</si>
  <si>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</si>
  <si>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</si>
  <si>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</si>
  <si>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抵押价格</t>
  </si>
  <si>
    <t>其他：</t>
  </si>
  <si>
    <t>柳州市</t>
  </si>
  <si>
    <t>柳州市</t>
    <phoneticPr fontId="6" type="noConversion"/>
  </si>
  <si>
    <t>企业</t>
  </si>
  <si>
    <t>一致</t>
  </si>
  <si>
    <t>商业</t>
  </si>
  <si>
    <t>居住项目</t>
  </si>
  <si>
    <t>否</t>
  </si>
  <si>
    <t>平整</t>
  </si>
  <si>
    <t>通路</t>
  </si>
  <si>
    <t>通电</t>
  </si>
  <si>
    <t>通讯</t>
  </si>
  <si>
    <t>通上水</t>
  </si>
  <si>
    <t>通下水</t>
  </si>
  <si>
    <t>燃气</t>
  </si>
  <si>
    <t>场地未平整</t>
  </si>
  <si>
    <t>未平整</t>
  </si>
  <si>
    <t>住宅</t>
    <phoneticPr fontId="3" type="noConversion"/>
  </si>
  <si>
    <t>地上</t>
  </si>
  <si>
    <t>平层住宅</t>
  </si>
  <si>
    <t>底商</t>
  </si>
  <si>
    <t>商业</t>
    <phoneticPr fontId="3" type="noConversion"/>
  </si>
  <si>
    <t>住宅</t>
    <phoneticPr fontId="7" type="noConversion"/>
  </si>
  <si>
    <t>商业</t>
    <phoneticPr fontId="7" type="noConversion"/>
  </si>
  <si>
    <t>不动产收益法</t>
  </si>
  <si>
    <t>正常</t>
  </si>
  <si>
    <t>住宅</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</si>
  <si>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</si>
  <si>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</si>
  <si>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</si>
  <si>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</si>
  <si>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</si>
  <si>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押一</t>
  </si>
  <si>
    <t>按租金收入计税</t>
  </si>
  <si>
    <t>钢混</t>
  </si>
  <si>
    <t>住宅</t>
    <phoneticPr fontId="21" type="noConversion"/>
  </si>
  <si>
    <t>售价</t>
  </si>
  <si>
    <t>土地（套用方法）</t>
  </si>
  <si>
    <t>不动产比较法-住宅</t>
  </si>
  <si>
    <t>已全部缴纳</t>
  </si>
  <si>
    <t>鹅山路二、三区北侧地块</t>
  </si>
  <si>
    <t>楼面地价</t>
  </si>
  <si>
    <t>地块名称</t>
  </si>
  <si>
    <t>城市</t>
  </si>
  <si>
    <t>用地性质</t>
  </si>
  <si>
    <t>土地位置</t>
  </si>
  <si>
    <t>出让方式</t>
  </si>
  <si>
    <t>详细规划</t>
  </si>
  <si>
    <t>建设用地面积(㎡)</t>
  </si>
  <si>
    <t>规划建筑面积(㎡)</t>
  </si>
  <si>
    <t>截止日期</t>
  </si>
  <si>
    <t>成交日期</t>
  </si>
  <si>
    <t>受让单位</t>
  </si>
  <si>
    <t>起始价(万元)</t>
  </si>
  <si>
    <t>成交价(万元)</t>
  </si>
  <si>
    <t>成交楼面价(元/㎡)</t>
  </si>
  <si>
    <t>溢价率</t>
  </si>
  <si>
    <t>出让年限</t>
  </si>
  <si>
    <t>土地星级</t>
  </si>
  <si>
    <t>柳邕路旧机场地块</t>
  </si>
  <si>
    <t>住宅用地</t>
  </si>
  <si>
    <t>挂牌</t>
  </si>
  <si>
    <t>城镇住宅用地</t>
  </si>
  <si>
    <t>≥1.5,≤2.5</t>
  </si>
  <si>
    <t>2019-06-17</t>
  </si>
  <si>
    <t>柳州联发置业有限公司</t>
  </si>
  <si>
    <t>70年</t>
  </si>
  <si>
    <t>0星</t>
  </si>
  <si>
    <t>≥2,≤3.2</t>
  </si>
  <si>
    <t>2019-03-13</t>
  </si>
  <si>
    <t>柳州市房地产开发有限责任公司</t>
  </si>
  <si>
    <t>64年</t>
  </si>
  <si>
    <t>磨滩村及周边片区地块</t>
  </si>
  <si>
    <t>中低价位、中小套型普通商品住房用地</t>
  </si>
  <si>
    <t>≥2,≤3.8</t>
  </si>
  <si>
    <t>2018-12-25</t>
  </si>
  <si>
    <t>中铁二十五局集团有限公司</t>
  </si>
  <si>
    <t>红桥路东侧地块</t>
  </si>
  <si>
    <t>≥1.5,≤3.2</t>
  </si>
  <si>
    <t>2018-12-14</t>
  </si>
  <si>
    <t>柳州市温馨房地产开发有限责任公司</t>
  </si>
  <si>
    <t>航五路与航银路交界处西南角地块</t>
  </si>
  <si>
    <t>2018-09-28</t>
  </si>
  <si>
    <t>柳州市祥源投资发展有限公司</t>
  </si>
  <si>
    <t>西鹅路东侧北一路南侧地块</t>
  </si>
  <si>
    <t>2018-08-17</t>
  </si>
  <si>
    <t>南宁金卓立房地产开发有限公司</t>
  </si>
  <si>
    <t>西鹅路与北一路东南侧</t>
  </si>
  <si>
    <t>综合用地(含住宅)</t>
  </si>
  <si>
    <t>城镇住宅用地、商服(商业)用地</t>
  </si>
  <si>
    <t>≥1.2且≤2.5</t>
  </si>
  <si>
    <t>2017-12-14</t>
  </si>
  <si>
    <t>荣和集团</t>
  </si>
  <si>
    <t>商服用地40年、城镇住宅用地70年</t>
  </si>
  <si>
    <t>河西工业园三区潭中西路延长线北侧</t>
  </si>
  <si>
    <t>城镇住宅用地、商服(市场)用地</t>
  </si>
  <si>
    <t>≥1.5且≤2.5</t>
  </si>
  <si>
    <t>2017-11-29</t>
  </si>
  <si>
    <t>城镇住宅用地70年,商服用地40年</t>
  </si>
  <si>
    <t>柳州市锦绣路北原双和袜厂部分</t>
  </si>
  <si>
    <t>城镇住宅用地兼商服用地</t>
  </si>
  <si>
    <t>≥1且≤2.6</t>
  </si>
  <si>
    <t>2017-08-19</t>
  </si>
  <si>
    <t>城镇住宅用地70年、商服用地40年</t>
  </si>
  <si>
    <t>柳州市西鹅路东侧</t>
  </si>
  <si>
    <t>商服(商业)用地、城镇住宅用地</t>
  </si>
  <si>
    <t>≥1且≤2.5</t>
  </si>
  <si>
    <t>柳州市远道房地产开发有限公司</t>
  </si>
  <si>
    <t>柳州市锦绣路北侧原针织厂生活区部分</t>
  </si>
  <si>
    <t>等于2.3</t>
  </si>
  <si>
    <t>航星路与航三路交叉口东北侧</t>
  </si>
  <si>
    <t>≥2,≤2.7</t>
  </si>
  <si>
    <t>2017-04-11</t>
  </si>
  <si>
    <t>南宁融创基业房地产开发有限公司</t>
  </si>
  <si>
    <t>航鹰大道与航四路交叉口东南侧地块</t>
  </si>
  <si>
    <t>其他普通商品住房用地</t>
  </si>
  <si>
    <t>≥2,≤3</t>
  </si>
  <si>
    <t>金科</t>
  </si>
  <si>
    <t>和平路131号原塑料制品厂生活区</t>
  </si>
  <si>
    <t>≥1且≤3.5</t>
  </si>
  <si>
    <t>2017-03-14</t>
  </si>
  <si>
    <t>柳州温馨房地产开发有限责任公司</t>
  </si>
  <si>
    <t>市航鹰大道与航五路交叉口东北侧</t>
  </si>
  <si>
    <t>≥2且≤3</t>
  </si>
  <si>
    <t>2016-10-20</t>
  </si>
  <si>
    <t>柳州市银河房地产开发有限公司</t>
  </si>
  <si>
    <t>城镇住宅70年、商服40年</t>
  </si>
  <si>
    <t>市龙屯路4号</t>
  </si>
  <si>
    <t>地块一:≥1.5且≤2.2且地块二:≥1.5且≤2.5</t>
  </si>
  <si>
    <t>2016-09-05</t>
  </si>
  <si>
    <t>柳州市柳泽投资有限公司</t>
  </si>
  <si>
    <t>住宅70年,商业40年</t>
  </si>
  <si>
    <t>柳州市航二路与航鹰大道交叉口东南侧地块</t>
  </si>
  <si>
    <t>2016-02-26</t>
  </si>
  <si>
    <t>柳州市柳太路西侧地块</t>
  </si>
  <si>
    <t>≥1.5且≤2</t>
  </si>
  <si>
    <t>广西柳工置业投资有限公司</t>
  </si>
  <si>
    <t>柳州市新云村片区改造及配套基础设施项目XY-8和XY-9地块</t>
  </si>
  <si>
    <t>城镇住宅、商服(商业)用地</t>
  </si>
  <si>
    <t>≥1.5且≤3.9</t>
  </si>
  <si>
    <t>2016-02-19</t>
  </si>
  <si>
    <t>柳州市西环路西侧</t>
  </si>
  <si>
    <t>城镇住宅、局部商业用地</t>
  </si>
  <si>
    <t>≥2,≤3.5</t>
  </si>
  <si>
    <t>2015-12-25</t>
  </si>
  <si>
    <t>住宅70年、商业40年</t>
  </si>
  <si>
    <t>柳州市潭中西路延长线南面地块</t>
  </si>
  <si>
    <t>≥1.5、≤3.5</t>
  </si>
  <si>
    <t>2015-06-19</t>
  </si>
  <si>
    <t>柳州市航鹰大道西、航五路北</t>
  </si>
  <si>
    <t>城镇住宅,商服(商业、地下停车场)</t>
  </si>
  <si>
    <t>1.5/2.5/3.5</t>
  </si>
  <si>
    <t>2014-06-18</t>
  </si>
  <si>
    <t>柳州市沃海置业有限公司</t>
  </si>
  <si>
    <t>城镇住宅70年,商服(商业、地下停车场)40年</t>
  </si>
  <si>
    <t>柳州市航星路东侧</t>
  </si>
  <si>
    <t>≥1.5、≤3.9</t>
  </si>
  <si>
    <t>2014-03-18</t>
  </si>
  <si>
    <t>广西柳州市建设投资开发有限责任公司</t>
  </si>
  <si>
    <t>柳州市潭中西路南侧</t>
  </si>
  <si>
    <t>城镇住宅用地、局部商服(商业)用地</t>
  </si>
  <si>
    <t>≥2.5、≤3</t>
  </si>
  <si>
    <t>2013-11-08</t>
  </si>
  <si>
    <t>柳州市潭中西路北侧</t>
  </si>
  <si>
    <t>2013-10-31</t>
  </si>
  <si>
    <t>柳州市龙建投资发展有限责任公司</t>
  </si>
  <si>
    <t>市鹅山路三区1号</t>
  </si>
  <si>
    <t>城镇住宅、商服用地</t>
  </si>
  <si>
    <t>1.5-5.6</t>
  </si>
  <si>
    <t>2013-01-04</t>
  </si>
  <si>
    <t>住宅70年、商服40年</t>
  </si>
  <si>
    <t>市鹅山路东端南侧</t>
  </si>
  <si>
    <t>城镇住宅用地兼容商服(商业)用地</t>
  </si>
  <si>
    <t>2-5.1</t>
  </si>
  <si>
    <t>2012-08-28</t>
  </si>
  <si>
    <t>柳州市柳邕路二区8号地块</t>
  </si>
  <si>
    <t>柳州市柳邕路二区8号</t>
  </si>
  <si>
    <t>1-4</t>
  </si>
  <si>
    <t>2011-11-01</t>
  </si>
  <si>
    <t>柳州市通建房地产开发有限责任公司</t>
  </si>
  <si>
    <t>市潭中西路一职校东侧地块</t>
  </si>
  <si>
    <t>市潭中西路一职校东侧</t>
  </si>
  <si>
    <t>不大于3.0且不小2.0</t>
  </si>
  <si>
    <t>2011-04-29</t>
  </si>
  <si>
    <t>市河西工业区三区A9-3号地块</t>
  </si>
  <si>
    <t>市河西工业区三区A9-3号</t>
  </si>
  <si>
    <t>1.0-2.3</t>
  </si>
  <si>
    <t>2011-02-12</t>
  </si>
  <si>
    <t>柳州市城市投资建设发展有限公司</t>
  </si>
  <si>
    <t>市龙屯路3号地块</t>
  </si>
  <si>
    <t>市龙屯路3号</t>
  </si>
  <si>
    <t>1.5-2.5</t>
  </si>
  <si>
    <t>2011-01-31</t>
  </si>
  <si>
    <t>中铁二十五局集团房地产开发有限公司</t>
  </si>
  <si>
    <t>市潭中西路西端北侧</t>
  </si>
  <si>
    <t>城镇住宅兼容商服用地</t>
  </si>
  <si>
    <t>不大于3.0且不小于2.2</t>
  </si>
  <si>
    <t>2009-03-30</t>
  </si>
  <si>
    <t>柳州市正居房地产有限责任公司</t>
  </si>
  <si>
    <t>商业、40年,住宅70年</t>
  </si>
  <si>
    <t>比较法-住宅、综合</t>
  </si>
  <si>
    <t>剩余法-待开发</t>
  </si>
  <si>
    <t>无</t>
  </si>
  <si>
    <t>单位面积地价</t>
    <phoneticPr fontId="228" type="noConversion"/>
  </si>
  <si>
    <t>较好</t>
  </si>
  <si>
    <t>一般</t>
  </si>
  <si>
    <t>规则</t>
    <phoneticPr fontId="26" type="noConversion"/>
  </si>
  <si>
    <t>较规则</t>
  </si>
  <si>
    <t>较规则</t>
    <phoneticPr fontId="26" type="noConversion"/>
  </si>
  <si>
    <t>较不规则</t>
    <phoneticPr fontId="26" type="noConversion"/>
  </si>
  <si>
    <t>不规则</t>
    <phoneticPr fontId="26" type="noConversion"/>
  </si>
  <si>
    <t>七通</t>
  </si>
  <si>
    <t>六通</t>
  </si>
  <si>
    <t>五通</t>
  </si>
  <si>
    <t>四通</t>
  </si>
  <si>
    <t>三通</t>
  </si>
  <si>
    <t>好</t>
  </si>
  <si>
    <t>较差</t>
  </si>
  <si>
    <t>差</t>
  </si>
  <si>
    <t>69</t>
    <phoneticPr fontId="26" type="noConversion"/>
  </si>
  <si>
    <t>68</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</si>
</sst>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0" fillId="18" borderId="0" xfId="0" applyFill="1" applyAlignment="1"/>
    <xf numFmtId="1" fontId="108" fillId="3" borderId="30" xfId="0" applyNumberFormat="1" applyFont="1" applyFill="1" applyBorder="1" applyAlignment="1" applyProtection="1">
      <alignment vertical="center" wrapText="1"/>
      <protection locked="0"/>
    </xf>
    <xf numFmtId="1" fontId="108" fillId="3" borderId="59" xfId="0" applyNumberFormat="1" applyFont="1" applyFill="1" applyBorder="1" applyAlignment="1" applyProtection="1">
      <alignment vertical="center" wrapText="1"/>
      <protection locked="0"/>
    </xf>
    <xf numFmtId="0" fontId="0" fillId="8" borderId="0" xfId="0" applyFill="1" applyAlignment="1"/>
    <xf numFmtId="2" fontId="0" fillId="0" borderId="0" xfId="0" applyNumberFormat="1" applyAlignment="1"/>
    <xf numFmtId="0" fontId="0" fillId="0" borderId="0" xfId="0" applyFont="1" applyAlignment="1"/>
    <xf numFmtId="0" fontId="144"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3" fillId="6" borderId="11" xfId="0" applyFont="1" applyFill="1" applyBorder="1" applyAlignment="1" applyProtection="1">
      <alignment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35</xdr:row>
      <xdr:rowOff>0</xdr:rowOff>
    </xdr:from>
    <xdr:to>
      <xdr:col>13</xdr:col>
      <xdr:colOff>137798</xdr:colOff>
      <xdr:row>65</xdr:row>
      <xdr:rowOff>110477</xdr:rowOff>
    </xdr:to>
    <xdr:pic>
      <xdr:nvPicPr>
        <xdr:cNvPr id="3" name="图片 2"/>
        <xdr:cNvPicPr>
          <a:picLocks noChangeAspect="1"/>
        </xdr:cNvPicPr>
      </xdr:nvPicPr>
      <xdr:blipFill>
        <a:blip xmlns:r="http://schemas.openxmlformats.org/officeDocument/2006/relationships" r:embed="rId1"/>
        <a:stretch>
          <a:fillRect/>
        </a:stretch>
      </xdr:blipFill>
      <xdr:spPr>
        <a:xfrm>
          <a:off x="9271000" y="5926667"/>
          <a:ext cx="6752381" cy="51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2655</v>
      </c>
      <c r="B1" s="2847" t="s">
        <v>2752</v>
      </c>
    </row>
    <row r="2" spans="1:55" s="2851" customFormat="1" ht="15" thickTop="1">
      <c r="A2" s="2849" t="s">
        <v>2659</v>
      </c>
      <c r="B2" s="2850" t="str">
        <f>'预评函-封皮'!B37</f>
        <v>柳州市出让国有建设用地使用权抵押价格预评估</v>
      </c>
      <c r="AX2" s="2852"/>
      <c r="AZ2" s="2852"/>
      <c r="BA2" s="2853"/>
      <c r="BC2" s="2853"/>
    </row>
    <row r="3" spans="1:55" s="2854" customFormat="1">
      <c r="A3" s="2833" t="s">
        <v>2660</v>
      </c>
      <c r="B3" s="2836">
        <f>'预评函-封皮'!B40</f>
        <v>0</v>
      </c>
    </row>
    <row r="4" spans="1:55" s="2835" customFormat="1">
      <c r="A4" s="2833" t="s">
        <v>2661</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2662</v>
      </c>
      <c r="B5" s="2856" t="str">
        <f>'预评函-封皮'!B49</f>
        <v>康正预评字号</v>
      </c>
    </row>
    <row r="6" spans="1:55" s="2857" customFormat="1" ht="15" thickTop="1">
      <c r="A6" s="2849" t="s">
        <v>2704</v>
      </c>
      <c r="B6" s="2850" t="str">
        <f>'预评函-1'!A4</f>
        <v>受贵公司委托，我公司对柳州市出让国有建设用地使用权抵押价格进行了预评估。</v>
      </c>
      <c r="AM6" s="2858"/>
    </row>
    <row r="7" spans="1:55" s="2832" customFormat="1">
      <c r="A7" s="2833" t="s">
        <v>2656</v>
      </c>
      <c r="B7" s="2834" t="str">
        <f>'预评函-1'!A6</f>
        <v>估价对象为使用的、位于柳州市出让国有建设用地使用权。根据《国有土地使用证》[]，估价对象（分摊）出让国有建设用地使用权面积为67772.1平方米。根据《建设工程规划许可证》[]、《出让合同》[]，估价对象规划建筑面积为217672.19平方米。</v>
      </c>
    </row>
    <row r="8" spans="1:55" s="2832" customFormat="1">
      <c r="A8" s="2833" t="s">
        <v>2657</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2707</v>
      </c>
      <c r="B9" s="2834" t="str">
        <f>'预评函-1'!A9</f>
        <v>拟使用柳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2658</v>
      </c>
      <c r="B10" s="2834" t="str">
        <f>'预评函-1'!A11</f>
        <v>2019年8月21日</v>
      </c>
    </row>
    <row r="11" spans="1:55" s="2832" customFormat="1">
      <c r="A11" s="2833" t="s">
        <v>2664</v>
      </c>
      <c r="B11" s="2834" t="str">
        <f>'预评函-1'!A14</f>
        <v>根据《国有土地使用证》[]，本次评估估价对象证载（地类）用途为。</v>
      </c>
    </row>
    <row r="12" spans="1:55" s="2832" customFormat="1">
      <c r="A12" s="2833" t="s">
        <v>2665</v>
      </c>
      <c r="B12" s="2834" t="str">
        <f>'预评函-1'!A15</f>
        <v>本次评估设定用途即为证载用途。</v>
      </c>
    </row>
    <row r="13" spans="1:55" s="2832" customFormat="1">
      <c r="A13" s="2833" t="s">
        <v>2666</v>
      </c>
      <c r="B13" s="2834" t="str">
        <f>'预评函-1'!A17</f>
        <v>根据委托估价方介绍及评估专业人员现场勘查，本次评估估价对象实际土地开发程度为红线外市政基础设施达“七通”（即通路、通电、通讯、通上水、通下水、燃气、平整）、宗地红线内场地未平整，。</v>
      </c>
    </row>
    <row r="14" spans="1:55" s="2832" customFormat="1">
      <c r="A14" s="2833" t="s">
        <v>2667</v>
      </c>
      <c r="B14" s="2834" t="str">
        <f>'预评函-1'!A18</f>
        <v>本次评估设定土地开发程度为红线外市政基础设施达“七通”、宗地红线内场地未平整。</v>
      </c>
    </row>
    <row r="15" spans="1:55" s="2832" customFormat="1">
      <c r="A15" s="2833" t="s">
        <v>2663</v>
      </c>
      <c r="B15" s="2834" t="str">
        <f>'预评函-1'!A20</f>
        <v>根据《国有土地使用证》[]，估价对象（分摊）出让国有建设用地使用权面积为67772.1平方米。根据《建设工程规划许可证》[]、《出让合同》[]，估价对象规划建筑面积为217672.19平方米。</v>
      </c>
    </row>
    <row r="16" spans="1:55" s="2832" customFormat="1">
      <c r="A16" s="2833" t="s">
        <v>2668</v>
      </c>
      <c r="B16" s="2834" t="str">
        <f>'预评函-1'!A22</f>
        <v>本次估价对象为出让国有建设用地使用权，《国有土地使用证》[]证载土地终止日期为住宅2081年3月30日、商业2051年3月30日。截至估价期日，出让国有建设用地使用权剩余土地使用年限为。</v>
      </c>
    </row>
    <row r="17" spans="1:48" s="2832" customFormat="1">
      <c r="A17" s="2833" t="s">
        <v>2669</v>
      </c>
      <c r="B17" s="2834" t="str">
        <f>'预评函-1'!A23</f>
        <v>本次评估设定估价对象剩余土地使用年限为。</v>
      </c>
    </row>
    <row r="18" spans="1:48" s="2832" customFormat="1">
      <c r="A18" s="2833" t="s">
        <v>2670</v>
      </c>
      <c r="B18" s="2834" t="str">
        <f>'预评函-1'!A25</f>
        <v>本次估价的“出让国有建设用地使用权价格”是指在估价对象土地所有权为国家所有，使用权性质为出让，在公开市场条件下、于估价期日2019年8月21日，在规划利用条件下、设定土地开发程度为红线外“七通”、宗地内场地未平整，设定用途为，剩余土地使用年限为的出让国有建设用地使用权价格。</v>
      </c>
    </row>
    <row r="19" spans="1:48" s="2832" customFormat="1">
      <c r="A19" s="2833" t="s">
        <v>2671</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2672</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2673</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2674</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2675</v>
      </c>
      <c r="B23" s="2834" t="str">
        <f>'预评函-2'!K2</f>
        <v>估价期日：2019年8月21日</v>
      </c>
    </row>
    <row r="24" spans="1:48">
      <c r="A24" s="2833" t="s">
        <v>2676</v>
      </c>
      <c r="B24" s="2834" t="str">
        <f>'预评函-2'!R2</f>
        <v>估价期日的国有建设用地使用权性质：出让</v>
      </c>
    </row>
    <row r="25" spans="1:48">
      <c r="A25" s="2833" t="s">
        <v>2732</v>
      </c>
      <c r="B25" s="2834" t="str">
        <f>'预评函-2'!A3</f>
        <v>估价期日土地使用者</v>
      </c>
    </row>
    <row r="26" spans="1:48">
      <c r="A26" s="2833" t="s">
        <v>2708</v>
      </c>
      <c r="B26" s="2834" t="str">
        <f>'预评函-2'!A5</f>
        <v>中信开发</v>
      </c>
    </row>
    <row r="27" spans="1:48">
      <c r="A27" s="2833" t="s">
        <v>2733</v>
      </c>
      <c r="B27" s="2834" t="str">
        <f>'预评函-2'!B3</f>
        <v>宗地编号/不动产单元号</v>
      </c>
    </row>
    <row r="28" spans="1:48">
      <c r="A28" s="2833" t="s">
        <v>2709</v>
      </c>
      <c r="B28" s="2834" t="str">
        <f>'预评函-2'!B5</f>
        <v>11111111111</v>
      </c>
    </row>
    <row r="29" spans="1:48">
      <c r="A29" s="2833" t="s">
        <v>2735</v>
      </c>
      <c r="B29" s="2834">
        <f>'预评函-2'!C5</f>
        <v>22</v>
      </c>
    </row>
    <row r="30" spans="1:48">
      <c r="A30" s="2833" t="s">
        <v>2736</v>
      </c>
      <c r="B30" s="2834" t="str">
        <f>'预评函-2'!D3</f>
        <v>土地使用证编号/不动产权证书编号</v>
      </c>
    </row>
    <row r="31" spans="1:48">
      <c r="A31" s="2833" t="s">
        <v>2710</v>
      </c>
      <c r="B31" s="2834" t="str">
        <f>'预评函-2'!D5</f>
        <v>京国土字第111号</v>
      </c>
    </row>
    <row r="32" spans="1:48">
      <c r="A32" s="2833" t="s">
        <v>2711</v>
      </c>
      <c r="B32" s="2834">
        <f>'预评函-2'!E5</f>
        <v>0</v>
      </c>
      <c r="AV32" s="2838"/>
    </row>
    <row r="33" spans="1:2">
      <c r="A33" s="2833" t="s">
        <v>2712</v>
      </c>
      <c r="B33" s="2834">
        <f>'预评函-2'!F5</f>
        <v>258</v>
      </c>
    </row>
    <row r="34" spans="1:2">
      <c r="A34" s="2833" t="s">
        <v>2713</v>
      </c>
      <c r="B34" s="2834">
        <f>'预评函-2'!G5</f>
        <v>0</v>
      </c>
    </row>
    <row r="35" spans="1:2">
      <c r="A35" s="2833" t="s">
        <v>2714</v>
      </c>
      <c r="B35" s="2834">
        <f>'预评函-2'!H5</f>
        <v>1.5</v>
      </c>
    </row>
    <row r="36" spans="1:2">
      <c r="A36" s="2833" t="s">
        <v>2715</v>
      </c>
      <c r="B36" s="2834">
        <f>'预评函-2'!I5</f>
        <v>1.5</v>
      </c>
    </row>
    <row r="37" spans="1:2">
      <c r="A37" s="2833" t="s">
        <v>2716</v>
      </c>
      <c r="B37" s="2834">
        <f>'预评函-2'!J5</f>
        <v>1.5</v>
      </c>
    </row>
    <row r="38" spans="1:2">
      <c r="A38" s="2833" t="s">
        <v>2717</v>
      </c>
      <c r="B38" s="2834" t="str">
        <f>'预评函-2'!K5</f>
        <v>红线外七通、宗地红线内场地未平整</v>
      </c>
    </row>
    <row r="39" spans="1:2">
      <c r="A39" s="2833" t="s">
        <v>2718</v>
      </c>
      <c r="B39" s="2834" t="str">
        <f>'预评函-2'!L5</f>
        <v>红线外七通、宗地红线内场地未平整</v>
      </c>
    </row>
    <row r="40" spans="1:2">
      <c r="A40" s="2833" t="s">
        <v>2737</v>
      </c>
      <c r="B40" s="2834" t="str">
        <f>'预评函-2'!M3</f>
        <v>（剩余）土地使用年限/年</v>
      </c>
    </row>
    <row r="41" spans="1:2">
      <c r="A41" s="2833" t="s">
        <v>2719</v>
      </c>
      <c r="B41" s="2834">
        <f>'预评函-2'!M5</f>
        <v>0</v>
      </c>
    </row>
    <row r="42" spans="1:2">
      <c r="A42" s="2833" t="s">
        <v>2738</v>
      </c>
      <c r="B42" s="2834" t="str">
        <f>'预评函-2'!N3</f>
        <v>（分摊）出让国有建设用地使用权面积/㎡</v>
      </c>
    </row>
    <row r="43" spans="1:2">
      <c r="A43" s="2833" t="s">
        <v>2720</v>
      </c>
      <c r="B43" s="2834">
        <f>'预评函-2'!N5</f>
        <v>67772.100000000006</v>
      </c>
    </row>
    <row r="44" spans="1:2">
      <c r="A44" s="2833" t="s">
        <v>2739</v>
      </c>
      <c r="B44" s="2834" t="str">
        <f>'预评函-2'!O3</f>
        <v>规划建筑面积/㎡</v>
      </c>
    </row>
    <row r="45" spans="1:2">
      <c r="A45" s="2833" t="s">
        <v>2721</v>
      </c>
      <c r="B45" s="2834">
        <f>'预评函-2'!O5</f>
        <v>217672.19</v>
      </c>
    </row>
    <row r="46" spans="1:2">
      <c r="A46" s="2833" t="s">
        <v>2722</v>
      </c>
      <c r="B46" s="2834">
        <f ca="1">'预评函-2'!P5</f>
        <v>7531</v>
      </c>
    </row>
    <row r="47" spans="1:2">
      <c r="A47" s="2833" t="s">
        <v>2723</v>
      </c>
      <c r="B47" s="2834">
        <f ca="1">'预评函-2'!Q5</f>
        <v>2345</v>
      </c>
    </row>
    <row r="48" spans="1:2">
      <c r="A48" s="2833" t="s">
        <v>2724</v>
      </c>
      <c r="B48" s="2834">
        <f ca="1">'预评函-2'!R5</f>
        <v>51038</v>
      </c>
    </row>
    <row r="49" spans="1:2">
      <c r="A49" s="2833" t="s">
        <v>2740</v>
      </c>
      <c r="B49" s="2834" t="str">
        <f>'预评函-2'!A6</f>
        <v>抵押价格</v>
      </c>
    </row>
    <row r="50" spans="1:2">
      <c r="A50" s="2833" t="s">
        <v>2725</v>
      </c>
      <c r="B50" s="2834">
        <f ca="1">'预评函-2'!R6</f>
        <v>51038</v>
      </c>
    </row>
    <row r="51" spans="1:2">
      <c r="A51" s="2833" t="s">
        <v>2741</v>
      </c>
      <c r="B51" s="2834" t="str">
        <f>'预评函-2'!A7</f>
        <v>——</v>
      </c>
    </row>
    <row r="52" spans="1:2">
      <c r="A52" s="2833" t="s">
        <v>2726</v>
      </c>
      <c r="B52" s="2834" t="str">
        <f>'预评函-2'!R7</f>
        <v>——</v>
      </c>
    </row>
    <row r="53" spans="1:2">
      <c r="A53" s="2833" t="s">
        <v>2742</v>
      </c>
      <c r="B53" s="2834">
        <f>'预评函-2'!A8</f>
        <v>0</v>
      </c>
    </row>
    <row r="54" spans="1:2" s="2848" customFormat="1" ht="15" thickBot="1">
      <c r="A54" s="2855" t="s">
        <v>2727</v>
      </c>
      <c r="B54" s="2856" t="str">
        <f>'预评函-2'!R8</f>
        <v>——</v>
      </c>
    </row>
    <row r="55" spans="1:2" ht="15" thickTop="1">
      <c r="A55" s="2844" t="s">
        <v>2677</v>
      </c>
      <c r="B55" s="2845" t="str">
        <f>'预评函-3'!A2</f>
        <v>1.权利限制：根据估价对象《不动产权证书》原件、《国有土地使用权》复印件，截至估价期日，估价对象抵押权未见登记。未设定租赁等其他他项权利。</v>
      </c>
    </row>
    <row r="56" spans="1:2">
      <c r="A56" s="2833" t="s">
        <v>2678</v>
      </c>
      <c r="B56" s="2834" t="str">
        <f>'预评函-3'!A3</f>
        <v>2.基础设施条件：估价对象实际开发程度为红线外七通、宗地红线内场地未平整；本次评估设定开发程度为红线外七通、宗地红线内场地未平整。</v>
      </c>
    </row>
    <row r="57" spans="1:2">
      <c r="A57" s="2833" t="s">
        <v>2679</v>
      </c>
      <c r="B57" s="2834" t="str">
        <f>'预评函-3'!A4</f>
        <v>3.估价规划限制条件：详见《建设工程规划许可证》[]、《出让合同》[]。</v>
      </c>
    </row>
    <row r="58" spans="1:2" s="2848" customFormat="1" ht="15" thickBot="1">
      <c r="A58" s="2855" t="s">
        <v>2728</v>
      </c>
      <c r="B58" s="2856" t="str">
        <f>'预评函-3'!A5</f>
        <v>4.影响价格的其他限定条件：无。</v>
      </c>
    </row>
    <row r="59" spans="1:2" ht="15" thickTop="1">
      <c r="A59" s="2844" t="s">
        <v>2680</v>
      </c>
      <c r="B59" s="2845" t="str">
        <f>'预评函-3'!A8</f>
        <v>2.本《评估意见函》仅供金融机构进行内部审核使用，不做其他目的之用。</v>
      </c>
    </row>
    <row r="60" spans="1:2">
      <c r="A60" s="2833" t="s">
        <v>2681</v>
      </c>
      <c r="B60" s="2834" t="str">
        <f>'预评函-3'!A9</f>
        <v>3.抵押双方在办理抵押登记手续时，应使用本公司出具的正式《土地估价报告》，特提请报告使用者注意。</v>
      </c>
    </row>
    <row r="61" spans="1:2">
      <c r="A61" s="2833" t="s">
        <v>2683</v>
      </c>
      <c r="B61" s="2834" t="str">
        <f>'预评函-3'!A10</f>
        <v>4.估价师所知悉的法定优先受偿款情况为：</v>
      </c>
    </row>
    <row r="62" spans="1:2">
      <c r="A62" s="2833" t="s">
        <v>2682</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2684</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2685</v>
      </c>
      <c r="B64" s="2839" t="str">
        <f>'预评函-3'!A13</f>
        <v>（3）。</v>
      </c>
    </row>
    <row r="65" spans="1:2">
      <c r="A65" s="2833" t="s">
        <v>2686</v>
      </c>
      <c r="B65" s="2840" t="str">
        <f>'预评函-3'!A14</f>
        <v>综上，本次评估不存在估价师知悉的法定优先受偿款</v>
      </c>
    </row>
    <row r="66" spans="1:2">
      <c r="A66" s="2833" t="s">
        <v>2687</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2688</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2691</v>
      </c>
      <c r="B68" s="2859">
        <f>'预评函-3'!D30</f>
        <v>42558</v>
      </c>
    </row>
    <row r="69" spans="1:2" ht="15" thickTop="1">
      <c r="A69" s="2844" t="s">
        <v>2689</v>
      </c>
      <c r="B69" s="2845" t="str">
        <f>'预评函-3'!A20</f>
        <v>土地估价师</v>
      </c>
    </row>
    <row r="70" spans="1:2">
      <c r="A70" s="2833" t="s">
        <v>2689</v>
      </c>
      <c r="B70" s="2840">
        <f>'预评函-3'!B20</f>
        <v>0</v>
      </c>
    </row>
    <row r="71" spans="1:2">
      <c r="A71" s="2833" t="s">
        <v>2690</v>
      </c>
      <c r="B71" s="2834" t="str">
        <f>'预评函-3'!A21</f>
        <v>土地估价师</v>
      </c>
    </row>
    <row r="72" spans="1:2" s="2848" customFormat="1" ht="15" thickBot="1">
      <c r="A72" s="2855" t="s">
        <v>2690</v>
      </c>
      <c r="B72" s="2861">
        <f>'预评函-3'!B21</f>
        <v>0</v>
      </c>
    </row>
    <row r="73" spans="1:2" ht="15" thickTop="1">
      <c r="A73" s="2844" t="s">
        <v>2749</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2750</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2751</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2786</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32" sqref="C32"/>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38" t="str">
        <f>IF(B10="北京市","北京市",C10)&amp;F10&amp;B16&amp;"国有建设用地使用权"&amp;B9&amp;"预评估"</f>
        <v>柳州市出让国有建设用地使用权抵押价格预评估</v>
      </c>
      <c r="C1" s="3239"/>
      <c r="D1" s="3239"/>
      <c r="E1" s="3239"/>
      <c r="F1" s="3239"/>
      <c r="G1" s="3239"/>
      <c r="H1" s="3239"/>
      <c r="I1" s="3240"/>
      <c r="J1" s="1678"/>
      <c r="K1" s="2419" t="str">
        <f>IF(B10="北京市","北京市",C10)&amp;F10&amp;B16&amp;"国有建设用地使用权"&amp;B9</f>
        <v>柳州市出让国有建设用地使用权抵押价格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柳州市出让国有建设用地使用权</v>
      </c>
      <c r="L2" s="1707"/>
      <c r="M2" s="1707"/>
      <c r="N2" s="1678"/>
      <c r="O2" s="1679"/>
      <c r="P2" s="1678"/>
      <c r="Q2" s="1678"/>
      <c r="R2" s="1678"/>
      <c r="S2" s="1678"/>
      <c r="T2" s="1678"/>
      <c r="U2" s="1678"/>
    </row>
    <row r="3" spans="1:21">
      <c r="A3" s="1645" t="s">
        <v>1939</v>
      </c>
      <c r="B3" s="1646"/>
      <c r="C3" s="1647" t="s">
        <v>1995</v>
      </c>
      <c r="D3" s="1646">
        <v>43698</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2888</v>
      </c>
      <c r="C4" s="1830">
        <f>SUMIF(土地估价师,B4,估价师及机构信息!E3:E24)</f>
        <v>0</v>
      </c>
      <c r="D4" s="1827" t="s">
        <v>2888</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2705</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2706</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2997</v>
      </c>
      <c r="C8" s="1655"/>
      <c r="D8" s="3244" t="s">
        <v>1944</v>
      </c>
      <c r="E8" s="1828" t="s">
        <v>2998</v>
      </c>
      <c r="F8" s="1656"/>
      <c r="G8" s="1644"/>
      <c r="H8" s="1644"/>
      <c r="I8" s="1691"/>
      <c r="J8" s="1678"/>
      <c r="K8" s="1758"/>
      <c r="L8" s="1707"/>
      <c r="M8" s="1707"/>
      <c r="N8" s="1678"/>
      <c r="O8" s="1679"/>
      <c r="P8" s="1678"/>
      <c r="Q8" s="1678"/>
      <c r="R8" s="1678"/>
      <c r="S8" s="1678"/>
      <c r="T8" s="1678"/>
      <c r="U8" s="1678"/>
    </row>
    <row r="9" spans="1:21" ht="15" thickBot="1">
      <c r="A9" s="1657" t="s">
        <v>1943</v>
      </c>
      <c r="B9" s="1658" t="s">
        <v>2998</v>
      </c>
      <c r="C9" s="1659"/>
      <c r="D9" s="3245"/>
      <c r="E9" s="1658"/>
      <c r="F9" s="1731"/>
      <c r="G9" s="1726"/>
      <c r="H9" s="1726"/>
      <c r="I9" s="1727"/>
      <c r="J9" s="1678"/>
      <c r="K9" s="1758"/>
      <c r="L9" s="1707"/>
      <c r="M9" s="1707"/>
      <c r="N9" s="1678"/>
      <c r="O9" s="1679"/>
      <c r="P9" s="1678"/>
      <c r="Q9" s="1678"/>
      <c r="R9" s="1678"/>
      <c r="S9" s="1678"/>
      <c r="T9" s="1678"/>
      <c r="U9" s="1678"/>
    </row>
    <row r="10" spans="1:21" ht="15" thickTop="1">
      <c r="A10" s="1728" t="s">
        <v>1999</v>
      </c>
      <c r="B10" s="1703" t="s">
        <v>2999</v>
      </c>
      <c r="C10" s="1660" t="s">
        <v>3001</v>
      </c>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t="s">
        <v>3002</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41"/>
      <c r="C12" s="3242"/>
      <c r="D12" s="3243"/>
      <c r="E12" s="1683" t="s">
        <v>2061</v>
      </c>
      <c r="F12" s="3259" t="s">
        <v>2889</v>
      </c>
      <c r="G12" s="3260"/>
      <c r="H12" s="3260"/>
      <c r="I12" s="3261"/>
      <c r="J12" s="1678"/>
      <c r="K12" s="1758"/>
      <c r="L12" s="1707"/>
      <c r="M12" s="1707"/>
      <c r="N12" s="1678"/>
      <c r="O12" s="1679"/>
      <c r="P12" s="1678"/>
      <c r="Q12" s="1678"/>
      <c r="R12" s="1678"/>
      <c r="S12" s="1678"/>
      <c r="T12" s="1678"/>
      <c r="U12" s="1678"/>
    </row>
    <row r="13" spans="1:21">
      <c r="A13" s="1671" t="s">
        <v>2059</v>
      </c>
      <c r="B13" s="3241"/>
      <c r="C13" s="3242"/>
      <c r="D13" s="3243"/>
      <c r="E13" s="1683" t="s">
        <v>2061</v>
      </c>
      <c r="F13" s="3259" t="s">
        <v>2890</v>
      </c>
      <c r="G13" s="3260"/>
      <c r="H13" s="3260"/>
      <c r="I13" s="3261"/>
      <c r="J13" s="1678"/>
      <c r="K13" s="1758"/>
      <c r="L13" s="1707"/>
      <c r="M13" s="1707"/>
      <c r="N13" s="1678"/>
      <c r="O13" s="1679"/>
      <c r="P13" s="1678"/>
      <c r="Q13" s="1678"/>
      <c r="R13" s="1678"/>
      <c r="S13" s="1678"/>
      <c r="T13" s="1678"/>
      <c r="U13" s="1678"/>
    </row>
    <row r="14" spans="1:21">
      <c r="A14" s="1645" t="s">
        <v>2062</v>
      </c>
      <c r="B14" s="1683"/>
      <c r="C14" s="1829" t="s">
        <v>3003</v>
      </c>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2990</v>
      </c>
      <c r="C16" s="1683" t="s">
        <v>1948</v>
      </c>
      <c r="D16" s="2610" t="s">
        <v>1949</v>
      </c>
      <c r="E16" s="1706" t="s">
        <v>3004</v>
      </c>
      <c r="F16" s="1706"/>
      <c r="G16" s="1706"/>
      <c r="H16" s="1706"/>
      <c r="I16" s="1670" t="s">
        <v>1954</v>
      </c>
      <c r="J16" s="1678"/>
      <c r="K16" s="2420" t="str">
        <f>IF(D17="","",D16&amp;TEXT(D17,"yyyy年m月d日;;"))</f>
        <v>住宅2081年3月30日</v>
      </c>
      <c r="L16" s="1683" t="str">
        <f>IF(OR(K16="",M16=""),"","、")</f>
        <v>、</v>
      </c>
      <c r="M16" s="2420" t="str">
        <f>IF(E17="","",E16&amp;TEXT(E17,"yyyy年m月d日;;"))</f>
        <v>商业2051年3月30日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v>66200</v>
      </c>
      <c r="E17" s="1684">
        <v>55242</v>
      </c>
      <c r="F17" s="1684"/>
      <c r="G17" s="1684"/>
      <c r="H17" s="1684"/>
      <c r="I17" s="1684"/>
      <c r="J17" s="1678"/>
      <c r="K17" s="2419" t="str">
        <f>CONCATENATE(K16,L16,M16,N16,O16,P16,Q16,R16,S16,T16,,U16)</f>
        <v>住宅2081年3月30日、商业2051年3月30日</v>
      </c>
      <c r="L17" s="1707"/>
      <c r="M17" s="1707"/>
      <c r="N17" s="1678"/>
      <c r="O17" s="1679"/>
      <c r="P17" s="1678"/>
      <c r="Q17" s="1678"/>
      <c r="R17" s="1678"/>
      <c r="S17" s="1678"/>
      <c r="T17" s="1678"/>
      <c r="U17" s="1678"/>
    </row>
    <row r="18" spans="1:21">
      <c r="A18" s="1747"/>
      <c r="B18" s="1666"/>
      <c r="C18" s="1667" t="s">
        <v>1956</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61.64</v>
      </c>
      <c r="E19" s="1669">
        <f>IF(B16="出让",IF(E17="","",ROUNDDOWN(MIN((E17-$D$3)/365,E18),2)),E18)</f>
        <v>31.62</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56"/>
      <c r="E20" s="3257"/>
      <c r="F20" s="3257"/>
      <c r="G20" s="3257"/>
      <c r="H20" s="3257"/>
      <c r="I20" s="3258"/>
      <c r="J20" s="1678"/>
      <c r="K20" s="1758"/>
      <c r="L20" s="1707"/>
      <c r="M20" s="1707"/>
      <c r="N20" s="1678"/>
      <c r="O20" s="1679"/>
      <c r="P20" s="1678"/>
      <c r="Q20" s="1678"/>
      <c r="R20" s="1678"/>
      <c r="S20" s="1678"/>
      <c r="T20" s="1678"/>
      <c r="U20" s="1678"/>
    </row>
    <row r="21" spans="1:21">
      <c r="A21" s="1747" t="s">
        <v>1958</v>
      </c>
      <c r="B21" s="1748" t="s">
        <v>1959</v>
      </c>
      <c r="C21" s="1743">
        <f>'数据-汇总表'!E3</f>
        <v>217672.19</v>
      </c>
      <c r="D21" s="1744" t="s">
        <v>1960</v>
      </c>
      <c r="E21" s="3246" t="s">
        <v>1998</v>
      </c>
      <c r="F21" s="3247"/>
      <c r="G21" s="3247"/>
      <c r="H21" s="3247"/>
      <c r="I21" s="3248"/>
      <c r="J21" s="1678"/>
      <c r="K21" s="1758"/>
      <c r="L21" s="1707"/>
      <c r="M21" s="1707"/>
      <c r="N21" s="1678"/>
      <c r="O21" s="1679"/>
      <c r="P21" s="1678"/>
      <c r="Q21" s="1678"/>
      <c r="R21" s="1678"/>
      <c r="S21" s="1678"/>
      <c r="T21" s="1678"/>
      <c r="U21" s="1678"/>
    </row>
    <row r="22" spans="1:21">
      <c r="A22" s="3097" t="s">
        <v>952</v>
      </c>
      <c r="B22" s="1645" t="s">
        <v>1961</v>
      </c>
      <c r="C22" s="1670">
        <f>'数据-汇总表'!D3</f>
        <v>67772.100000000006</v>
      </c>
      <c r="D22" s="1671" t="s">
        <v>1960</v>
      </c>
      <c r="E22" s="3246" t="s">
        <v>2891</v>
      </c>
      <c r="F22" s="3247"/>
      <c r="G22" s="3247"/>
      <c r="H22" s="3247"/>
      <c r="I22" s="3248"/>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49" t="s">
        <v>1966</v>
      </c>
      <c r="C24" s="3250"/>
      <c r="D24" s="3251" t="s">
        <v>1967</v>
      </c>
      <c r="E24" s="3252"/>
      <c r="F24" s="1692" t="s">
        <v>1968</v>
      </c>
      <c r="G24" s="1678"/>
      <c r="H24" s="1678"/>
      <c r="I24" s="1691"/>
      <c r="J24" s="1678"/>
      <c r="K24" s="3237"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37"/>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37"/>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23" t="s">
        <v>2001</v>
      </c>
      <c r="B31" s="1748" t="s">
        <v>2002</v>
      </c>
      <c r="C31" s="3262" t="s">
        <v>3005</v>
      </c>
      <c r="D31" s="3263"/>
      <c r="E31" s="1678"/>
      <c r="F31" s="1678"/>
      <c r="G31" s="1678"/>
      <c r="H31" s="1678"/>
      <c r="I31" s="1691"/>
      <c r="J31" s="1678"/>
      <c r="K31" s="2422"/>
      <c r="L31" s="1678"/>
      <c r="M31" s="1678"/>
      <c r="N31" s="1678"/>
      <c r="O31" s="1678"/>
      <c r="P31" s="1678"/>
      <c r="Q31" s="1678"/>
      <c r="R31" s="1678"/>
      <c r="S31" s="1678"/>
      <c r="T31" s="1678"/>
      <c r="U31" s="1678"/>
    </row>
    <row r="32" spans="1:21">
      <c r="A32" s="3223"/>
      <c r="B32" s="1645" t="s">
        <v>2003</v>
      </c>
      <c r="C32" s="1703" t="s">
        <v>3201</v>
      </c>
      <c r="D32" s="1704"/>
      <c r="E32" s="1678"/>
      <c r="F32" s="1678"/>
      <c r="G32" s="1678"/>
      <c r="H32" s="1678"/>
      <c r="I32" s="1691"/>
      <c r="J32" s="1678"/>
      <c r="K32" s="2422"/>
      <c r="L32" s="1678"/>
      <c r="M32" s="1678"/>
      <c r="N32" s="1678"/>
      <c r="O32" s="1678"/>
      <c r="P32" s="1678"/>
      <c r="Q32" s="1678"/>
      <c r="R32" s="1678"/>
      <c r="S32" s="1678"/>
      <c r="T32" s="1678"/>
      <c r="U32" s="1678"/>
    </row>
    <row r="33" spans="1:21">
      <c r="A33" s="3223"/>
      <c r="B33" s="1645" t="s">
        <v>2004</v>
      </c>
      <c r="C33" s="1705" t="s">
        <v>3006</v>
      </c>
      <c r="D33" s="1822"/>
      <c r="E33" s="1678"/>
      <c r="F33" s="1678"/>
      <c r="G33" s="1678"/>
      <c r="H33" s="1678"/>
      <c r="I33" s="1691"/>
      <c r="J33" s="1678"/>
      <c r="K33" s="2422"/>
      <c r="L33" s="1678"/>
      <c r="M33" s="1678"/>
      <c r="N33" s="1678"/>
      <c r="O33" s="1678"/>
      <c r="P33" s="1678"/>
      <c r="Q33" s="1678"/>
      <c r="R33" s="1678"/>
      <c r="S33" s="1678"/>
      <c r="T33" s="1678"/>
      <c r="U33" s="1678"/>
    </row>
    <row r="34" spans="1:21">
      <c r="A34" s="3224"/>
      <c r="B34" s="1645" t="s">
        <v>2005</v>
      </c>
      <c r="C34" s="3225"/>
      <c r="D34" s="3226"/>
      <c r="E34" s="1678"/>
      <c r="F34" s="1678"/>
      <c r="G34" s="1678"/>
      <c r="H34" s="1678"/>
      <c r="I34" s="1691"/>
      <c r="J34" s="1678"/>
      <c r="K34" s="2422"/>
      <c r="L34" s="1678"/>
      <c r="M34" s="1678"/>
      <c r="N34" s="1678"/>
      <c r="O34" s="1678"/>
      <c r="P34" s="1678"/>
      <c r="Q34" s="1678"/>
      <c r="R34" s="1678"/>
      <c r="S34" s="1678"/>
      <c r="T34" s="1678"/>
      <c r="U34" s="1678"/>
    </row>
    <row r="35" spans="1:21">
      <c r="A35" s="3227" t="s">
        <v>847</v>
      </c>
      <c r="B35" s="1706" t="s">
        <v>3014</v>
      </c>
      <c r="C35" s="1760" t="str">
        <f>IF(B35="场地平整","——","具体情况：")</f>
        <v>具体情况：</v>
      </c>
      <c r="D35" s="3229"/>
      <c r="E35" s="3230"/>
      <c r="F35" s="3230"/>
      <c r="G35" s="3230"/>
      <c r="H35" s="3230"/>
      <c r="I35" s="3231"/>
      <c r="J35" s="1678"/>
      <c r="K35" s="1759"/>
      <c r="L35" s="1707"/>
      <c r="M35" s="1707"/>
      <c r="N35" s="1678"/>
      <c r="O35" s="1679"/>
      <c r="P35" s="1678"/>
      <c r="Q35" s="1678"/>
      <c r="R35" s="1678"/>
      <c r="S35" s="1678"/>
      <c r="T35" s="1678"/>
      <c r="U35" s="1678"/>
    </row>
    <row r="36" spans="1:21" ht="28.5">
      <c r="A36" s="3223"/>
      <c r="B36" s="3232" t="s">
        <v>2054</v>
      </c>
      <c r="C36" s="3233"/>
      <c r="D36" s="1776" t="s">
        <v>3015</v>
      </c>
      <c r="E36" s="3234"/>
      <c r="F36" s="3234"/>
      <c r="G36" s="1671" t="str">
        <f>IF(B35="场地未平整","估价结果处理","")</f>
        <v>估价结果处理</v>
      </c>
      <c r="H36" s="3235"/>
      <c r="I36" s="3235"/>
      <c r="J36" s="1678"/>
      <c r="K36" s="1759"/>
      <c r="L36" s="1707"/>
      <c r="M36" s="1707"/>
      <c r="N36" s="1678"/>
      <c r="O36" s="1679"/>
      <c r="P36" s="1678"/>
      <c r="Q36" s="1678"/>
      <c r="R36" s="1678"/>
      <c r="S36" s="1678"/>
      <c r="T36" s="1678"/>
      <c r="U36" s="1678"/>
    </row>
    <row r="37" spans="1:21" ht="28.5">
      <c r="A37" s="3223"/>
      <c r="B37" s="3253"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23"/>
      <c r="B38" s="3254"/>
      <c r="C38" s="1653" t="s">
        <v>850</v>
      </c>
      <c r="D38" s="1775">
        <f>ROUNDDOWN(MIN(('数据-取费表'!$B$2-D37)/365,D34),1)</f>
        <v>119.7</v>
      </c>
      <c r="E38" s="1711" t="s">
        <v>851</v>
      </c>
      <c r="F38" s="1678"/>
      <c r="G38" s="1678"/>
      <c r="H38" s="1678"/>
      <c r="I38" s="1691"/>
      <c r="J38" s="1678"/>
      <c r="K38" s="1759"/>
      <c r="L38" s="1678"/>
      <c r="M38" s="1678"/>
      <c r="N38" s="1678"/>
      <c r="O38" s="1678"/>
      <c r="P38" s="1678"/>
      <c r="Q38" s="1678"/>
      <c r="R38" s="1678"/>
      <c r="S38" s="1678"/>
      <c r="T38" s="1678"/>
      <c r="U38" s="1678"/>
    </row>
    <row r="39" spans="1:21">
      <c r="A39" s="3224"/>
      <c r="B39" s="3255"/>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t="s">
        <v>3008</v>
      </c>
      <c r="C40" s="1674" t="s">
        <v>3009</v>
      </c>
      <c r="D40" s="1674" t="s">
        <v>3010</v>
      </c>
      <c r="E40" s="1674" t="s">
        <v>3011</v>
      </c>
      <c r="F40" s="1674" t="s">
        <v>3012</v>
      </c>
      <c r="G40" s="1674" t="s">
        <v>3013</v>
      </c>
      <c r="H40" s="1674" t="s">
        <v>3007</v>
      </c>
      <c r="I40" s="1691"/>
      <c r="J40" s="1678"/>
      <c r="K40" s="1714">
        <f>COUNTIF(B40:H40,"——")</f>
        <v>0</v>
      </c>
      <c r="L40" s="1683" t="s">
        <v>1978</v>
      </c>
      <c r="M40" s="1680" t="s">
        <v>1979</v>
      </c>
      <c r="N40" s="1680" t="s">
        <v>1980</v>
      </c>
      <c r="O40" s="1680" t="s">
        <v>1981</v>
      </c>
      <c r="P40" s="1680" t="s">
        <v>1982</v>
      </c>
      <c r="Q40" s="1680" t="s">
        <v>1983</v>
      </c>
      <c r="R40" s="1680" t="s">
        <v>1984</v>
      </c>
      <c r="S40" s="3236" t="s">
        <v>1985</v>
      </c>
      <c r="T40" s="1715" t="str">
        <f>NUMBERSTRING(7-K40,1)&amp;"通"</f>
        <v>七通</v>
      </c>
      <c r="U40" s="1678"/>
    </row>
    <row r="41" spans="1:21">
      <c r="A41" s="1647"/>
      <c r="B41" s="3228" t="s">
        <v>1721</v>
      </c>
      <c r="C41" s="3228"/>
      <c r="D41" s="3228"/>
      <c r="E41" s="3228"/>
      <c r="F41" s="1716" t="str">
        <f>C10</f>
        <v>柳州市</v>
      </c>
      <c r="G41" s="1678"/>
      <c r="H41" s="1678"/>
      <c r="I41" s="1691"/>
      <c r="J41" s="1678"/>
      <c r="K41" s="1683"/>
      <c r="L41" s="1680" t="str">
        <f>B40</f>
        <v>通路</v>
      </c>
      <c r="M41" s="1717" t="str">
        <f>B40&amp;"、"&amp;C40</f>
        <v>通路、通电</v>
      </c>
      <c r="N41" s="1718" t="str">
        <f>B40&amp;"、"&amp;C40&amp;"、"&amp;D40</f>
        <v>通路、通电、通讯</v>
      </c>
      <c r="O41" s="1718" t="str">
        <f>B40&amp;"、"&amp;C40&amp;"、"&amp;D40&amp;"、"&amp;E40</f>
        <v>通路、通电、通讯、通上水</v>
      </c>
      <c r="P41" s="1718" t="str">
        <f>B40&amp;"、"&amp;C40&amp;"、"&amp;D40&amp;"、"&amp;E40&amp;"、"&amp;F40</f>
        <v>通路、通电、通讯、通上水、通下水</v>
      </c>
      <c r="Q41" s="1718" t="str">
        <f>B40&amp;"、"&amp;C40&amp;"、"&amp;D40&amp;"、"&amp;E40&amp;"、"&amp;F40&amp;"、"&amp;G40</f>
        <v>通路、通电、通讯、通上水、通下水、燃气</v>
      </c>
      <c r="R41" s="1718" t="str">
        <f>B40&amp;"、"&amp;C40&amp;"、"&amp;D40&amp;"、"&amp;E40&amp;"、"&amp;F40&amp;"、"&amp;G40&amp;"、"&amp;H40</f>
        <v>通路、通电、通讯、通上水、通下水、燃气、平整</v>
      </c>
      <c r="S41" s="3236"/>
      <c r="T41" s="1717" t="str">
        <f>IF(T40="一通",L41,IF(T40="二通",M41,IF(T40="三通",N41,IF(T40="四通",O41,IF(T40="五通",P41,IF(T40="六通",Q41,R41))))))</f>
        <v>通路、通电、通讯、通上水、通下水、燃气、平整</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2892</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D13" activePane="bottomRight" state="frozen"/>
      <selection pane="topRight" activeCell="E1" sqref="E1"/>
      <selection pane="bottomLeft" activeCell="A12" sqref="A12"/>
      <selection pane="bottomRight" activeCell="AI27" sqref="AI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67772.100000000006</v>
      </c>
      <c r="B3" s="22">
        <f>IF(C3="否",G5-AT5,G5)</f>
        <v>217672.19</v>
      </c>
      <c r="C3" s="23" t="s">
        <v>3006</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217672.19</v>
      </c>
      <c r="H5" s="27">
        <f t="shared" ref="H5:AT5" si="0">SUM(H13:H641)</f>
        <v>152843.82999999999</v>
      </c>
      <c r="I5" s="27">
        <f t="shared" si="0"/>
        <v>148177.82999999999</v>
      </c>
      <c r="J5" s="27">
        <f t="shared" si="0"/>
        <v>0</v>
      </c>
      <c r="K5" s="27">
        <f t="shared" si="0"/>
        <v>4666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64828.36</v>
      </c>
      <c r="AD5" s="27">
        <f t="shared" si="0"/>
        <v>2622</v>
      </c>
      <c r="AE5" s="27">
        <f t="shared" si="0"/>
        <v>0</v>
      </c>
      <c r="AF5" s="27">
        <f t="shared" si="0"/>
        <v>0</v>
      </c>
      <c r="AG5" s="27">
        <f t="shared" si="0"/>
        <v>0</v>
      </c>
      <c r="AH5" s="27">
        <f t="shared" si="0"/>
        <v>0</v>
      </c>
      <c r="AI5" s="27">
        <f t="shared" si="0"/>
        <v>0</v>
      </c>
      <c r="AJ5" s="27">
        <f t="shared" si="0"/>
        <v>0</v>
      </c>
      <c r="AK5" s="27">
        <f t="shared" si="0"/>
        <v>0</v>
      </c>
      <c r="AL5" s="27">
        <f t="shared" si="0"/>
        <v>410</v>
      </c>
      <c r="AM5" s="27">
        <f t="shared" si="0"/>
        <v>0</v>
      </c>
      <c r="AN5" s="27">
        <f t="shared" si="0"/>
        <v>61796.36</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217672.19</v>
      </c>
      <c r="BA5" s="29">
        <f t="shared" si="1"/>
        <v>152843.82999999999</v>
      </c>
      <c r="BB5" s="29">
        <f t="shared" si="1"/>
        <v>148177.82999999999</v>
      </c>
      <c r="BC5" s="29">
        <f t="shared" si="1"/>
        <v>4666</v>
      </c>
      <c r="BD5" s="29">
        <f t="shared" si="1"/>
        <v>0</v>
      </c>
      <c r="BE5" s="29">
        <f t="shared" si="1"/>
        <v>0</v>
      </c>
      <c r="BF5" s="29">
        <f t="shared" si="1"/>
        <v>0</v>
      </c>
      <c r="BG5" s="29">
        <f t="shared" si="1"/>
        <v>0</v>
      </c>
      <c r="BH5" s="29">
        <f t="shared" si="1"/>
        <v>0</v>
      </c>
      <c r="BI5" s="29">
        <f t="shared" si="1"/>
        <v>0</v>
      </c>
      <c r="BJ5" s="29">
        <f t="shared" si="1"/>
        <v>0</v>
      </c>
      <c r="BK5" s="29">
        <f t="shared" si="1"/>
        <v>0</v>
      </c>
      <c r="BL5" s="29">
        <f t="shared" si="1"/>
        <v>64828.36</v>
      </c>
      <c r="BM5" s="29">
        <f t="shared" si="1"/>
        <v>2622</v>
      </c>
      <c r="BN5" s="29">
        <f t="shared" si="1"/>
        <v>0</v>
      </c>
      <c r="BO5" s="29">
        <f t="shared" si="1"/>
        <v>0</v>
      </c>
      <c r="BP5" s="29">
        <f t="shared" si="1"/>
        <v>0</v>
      </c>
      <c r="BQ5" s="29">
        <f t="shared" si="1"/>
        <v>410</v>
      </c>
      <c r="BR5" s="29">
        <f t="shared" si="1"/>
        <v>61796.36</v>
      </c>
      <c r="BS5" s="29">
        <f t="shared" si="1"/>
        <v>0</v>
      </c>
      <c r="BT5" s="30">
        <f t="shared" si="1"/>
        <v>0</v>
      </c>
    </row>
    <row r="6" spans="1:72" s="37" customFormat="1" ht="12.75">
      <c r="A6" s="26" t="s">
        <v>169</v>
      </c>
      <c r="B6" s="31"/>
      <c r="C6" s="31"/>
      <c r="D6" s="32"/>
      <c r="E6" s="27">
        <f>H6+AC6+AT6</f>
        <v>67772.100000000006</v>
      </c>
      <c r="F6" s="27" t="s">
        <v>1</v>
      </c>
      <c r="G6" s="27" t="s">
        <v>2</v>
      </c>
      <c r="H6" s="33">
        <f>SUMIF(I$12:AB$12,"总值",I6:AB6)</f>
        <v>47587.83</v>
      </c>
      <c r="I6" s="27">
        <f t="shared" ref="I6:AB6" si="2">ROUND($A$3*I5/$B$3,2)</f>
        <v>46135.07</v>
      </c>
      <c r="J6" s="27">
        <f t="shared" si="2"/>
        <v>0</v>
      </c>
      <c r="K6" s="27">
        <f t="shared" si="2"/>
        <v>1452.76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20184.269999999997</v>
      </c>
      <c r="AD6" s="27">
        <f t="shared" ref="AD6:AS6" si="3">ROUND($A$3*AD5/$B$3,2)</f>
        <v>816.36</v>
      </c>
      <c r="AE6" s="27">
        <f t="shared" si="3"/>
        <v>0</v>
      </c>
      <c r="AF6" s="27">
        <f t="shared" si="3"/>
        <v>0</v>
      </c>
      <c r="AG6" s="27">
        <f t="shared" si="3"/>
        <v>0</v>
      </c>
      <c r="AH6" s="27">
        <f t="shared" si="3"/>
        <v>0</v>
      </c>
      <c r="AI6" s="27">
        <f t="shared" si="3"/>
        <v>0</v>
      </c>
      <c r="AJ6" s="27">
        <f t="shared" si="3"/>
        <v>0</v>
      </c>
      <c r="AK6" s="27">
        <f t="shared" si="3"/>
        <v>0</v>
      </c>
      <c r="AL6" s="27">
        <f t="shared" si="3"/>
        <v>127.65</v>
      </c>
      <c r="AM6" s="27">
        <f t="shared" si="3"/>
        <v>0</v>
      </c>
      <c r="AN6" s="27">
        <f t="shared" si="3"/>
        <v>19240.259999999998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67772.100000000006</v>
      </c>
      <c r="AZ6" s="27" t="s">
        <v>3</v>
      </c>
      <c r="BA6" s="27">
        <f>ROUND($AY$6*BA5/$AZ$5,2)</f>
        <v>47587.83</v>
      </c>
      <c r="BB6" s="27">
        <f>ROUND($AY$6*BB5/$AZ$5,2)</f>
        <v>46135.07</v>
      </c>
      <c r="BC6" s="27">
        <f t="shared" ref="BC6:BH6" si="4">ROUND($AY$6*BC5/$AZ$5,2)</f>
        <v>1452.76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20184.27</v>
      </c>
      <c r="BM6" s="27">
        <f t="shared" si="5"/>
        <v>816.36</v>
      </c>
      <c r="BN6" s="27">
        <f t="shared" si="5"/>
        <v>0</v>
      </c>
      <c r="BO6" s="27">
        <f t="shared" si="5"/>
        <v>0</v>
      </c>
      <c r="BP6" s="27">
        <f t="shared" si="5"/>
        <v>0</v>
      </c>
      <c r="BQ6" s="27">
        <f t="shared" si="5"/>
        <v>127.65</v>
      </c>
      <c r="BR6" s="27">
        <f t="shared" si="5"/>
        <v>19240.259999999998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3017</v>
      </c>
      <c r="J9" s="51"/>
      <c r="K9" s="2971" t="s">
        <v>3017</v>
      </c>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t="s">
        <v>923</v>
      </c>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t="s">
        <v>3018</v>
      </c>
      <c r="J11" s="71"/>
      <c r="K11" s="2972" t="s">
        <v>3019</v>
      </c>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住宅</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t="s">
        <v>3016</v>
      </c>
      <c r="D13" s="2967" t="s">
        <v>1678</v>
      </c>
      <c r="E13" s="27">
        <f t="shared" ref="E13:E20" si="6">IF($C$3="是",ROUND($A$3*G13/$B$3,2),ROUND($A$3*(G13-AT13)/$B$3,2))</f>
        <v>66319.34</v>
      </c>
      <c r="F13" s="81"/>
      <c r="G13" s="82">
        <f t="shared" ref="G13:G20" si="7">H13+AC13+AT13</f>
        <v>213006.19</v>
      </c>
      <c r="H13" s="33">
        <f t="shared" ref="H13:H20" si="8">SUMIF(I$12:AB$12,"总值",I13:AB13)</f>
        <v>148177.82999999999</v>
      </c>
      <c r="I13" s="2970">
        <v>148177.82999999999</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64828.36</v>
      </c>
      <c r="AD13" s="2974">
        <v>2622</v>
      </c>
      <c r="AE13" s="2974"/>
      <c r="AF13" s="2974"/>
      <c r="AG13" s="2974"/>
      <c r="AH13" s="2974"/>
      <c r="AI13" s="2974"/>
      <c r="AJ13" s="2974"/>
      <c r="AK13" s="2974"/>
      <c r="AL13" s="2974">
        <v>410</v>
      </c>
      <c r="AM13" s="2974"/>
      <c r="AN13" s="2974">
        <v>61796.36</v>
      </c>
      <c r="AO13" s="2974"/>
      <c r="AP13" s="2974"/>
      <c r="AQ13" s="2974"/>
      <c r="AR13" s="2974"/>
      <c r="AS13" s="2974"/>
      <c r="AT13" s="2975"/>
      <c r="AU13" s="2976"/>
      <c r="AV13" s="17">
        <f t="shared" ref="AV13:AX20" si="10">A13</f>
        <v>0</v>
      </c>
      <c r="AW13" s="17">
        <f t="shared" si="10"/>
        <v>0</v>
      </c>
      <c r="AX13" s="17" t="str">
        <f t="shared" si="10"/>
        <v>住宅</v>
      </c>
      <c r="AY13" s="996">
        <f t="shared" ref="AY13:AY20" si="11">ROUND($AY$6*AZ13/$AZ$5,2)</f>
        <v>66319.34</v>
      </c>
      <c r="AZ13" s="27">
        <f t="shared" ref="AZ13:AZ20" si="12">BA13+BL13</f>
        <v>213006.19</v>
      </c>
      <c r="BA13" s="27">
        <f t="shared" ref="BA13:BA20" si="13">SUM(BB13:BK13)</f>
        <v>148177.82999999999</v>
      </c>
      <c r="BB13" s="27">
        <f t="shared" ref="BB13:BB20" si="14">IF($D13="是",I13-J13,0)</f>
        <v>148177.82999999999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64828.36</v>
      </c>
      <c r="BM13" s="27">
        <f t="shared" ref="BM13:BM20" si="25">IF($D13="是",AD13-AE13,0)</f>
        <v>2622</v>
      </c>
      <c r="BN13" s="27">
        <f t="shared" ref="BN13:BN20" si="26">IF($D13="是",AF13-AG13,0)</f>
        <v>0</v>
      </c>
      <c r="BO13" s="27">
        <f t="shared" ref="BO13:BO20" si="27">IF($D13="是",AH13-AI13,0)</f>
        <v>0</v>
      </c>
      <c r="BP13" s="27">
        <f t="shared" ref="BP13:BP20" si="28">IF($D13="是",AJ13-AK13,0)</f>
        <v>0</v>
      </c>
      <c r="BQ13" s="27">
        <f t="shared" ref="BQ13:BQ20" si="29">IF($D13="是",AL13-AM13,0)</f>
        <v>410</v>
      </c>
      <c r="BR13" s="27">
        <f t="shared" ref="BR13:BR20" si="30">IF($D13="是",AN13-AO13,0)</f>
        <v>61796.36</v>
      </c>
      <c r="BS13" s="27">
        <f t="shared" ref="BS13:BS20" si="31">IF($D13="是",AP13-AQ13,0)</f>
        <v>0</v>
      </c>
      <c r="BT13" s="36">
        <f t="shared" ref="BT13:BT20" si="32">IF($D13="是",AR13-AS13,0)</f>
        <v>0</v>
      </c>
    </row>
    <row r="14" spans="1:72" s="18" customFormat="1" ht="12.75">
      <c r="A14" s="2966"/>
      <c r="B14" s="2966"/>
      <c r="C14" s="2968" t="s">
        <v>3020</v>
      </c>
      <c r="D14" s="2967" t="s">
        <v>1678</v>
      </c>
      <c r="E14" s="27">
        <f t="shared" si="6"/>
        <v>1452.76</v>
      </c>
      <c r="F14" s="81"/>
      <c r="G14" s="82">
        <f t="shared" si="7"/>
        <v>4666</v>
      </c>
      <c r="H14" s="33">
        <f t="shared" si="8"/>
        <v>4666</v>
      </c>
      <c r="I14" s="2970"/>
      <c r="J14" s="2970"/>
      <c r="K14" s="2970">
        <v>4666</v>
      </c>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t="str">
        <f t="shared" si="10"/>
        <v>商业</v>
      </c>
      <c r="AY14" s="996">
        <f t="shared" si="11"/>
        <v>1452.76</v>
      </c>
      <c r="AZ14" s="27">
        <f t="shared" si="12"/>
        <v>4666</v>
      </c>
      <c r="BA14" s="27">
        <f t="shared" si="13"/>
        <v>4666</v>
      </c>
      <c r="BB14" s="27">
        <f t="shared" si="14"/>
        <v>0</v>
      </c>
      <c r="BC14" s="27">
        <f t="shared" si="15"/>
        <v>4666</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4" t="s">
        <v>0</v>
      </c>
      <c r="B1" s="3264" t="s">
        <v>4</v>
      </c>
      <c r="C1" s="3264" t="s">
        <v>5</v>
      </c>
      <c r="D1" s="3265" t="s">
        <v>40</v>
      </c>
      <c r="E1" s="3265" t="s">
        <v>41</v>
      </c>
      <c r="F1" s="3265"/>
      <c r="G1" s="3265"/>
      <c r="H1" s="3265"/>
      <c r="I1" s="3265"/>
      <c r="J1" s="3265"/>
      <c r="K1" s="3265"/>
      <c r="L1" s="3265"/>
      <c r="M1" s="3265"/>
    </row>
    <row r="2" spans="1:13" ht="27" customHeight="1">
      <c r="A2" s="3264"/>
      <c r="B2" s="3264"/>
      <c r="C2" s="3264"/>
      <c r="D2" s="3265"/>
      <c r="E2" s="3265" t="s">
        <v>24</v>
      </c>
      <c r="F2" s="3265" t="s">
        <v>25</v>
      </c>
      <c r="G2" s="3265"/>
      <c r="H2" s="3265"/>
      <c r="I2" s="3265"/>
      <c r="J2" s="3265" t="s">
        <v>26</v>
      </c>
      <c r="K2" s="3265"/>
      <c r="L2" s="3265"/>
      <c r="M2" s="3265"/>
    </row>
    <row r="3" spans="1:13" ht="28.5">
      <c r="A3" s="3264"/>
      <c r="B3" s="3264"/>
      <c r="C3" s="3264"/>
      <c r="D3" s="3265"/>
      <c r="E3" s="326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5" t="s">
        <v>42</v>
      </c>
      <c r="B9" s="3265"/>
      <c r="C9" s="32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43" sqref="H4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75" t="s">
        <v>203</v>
      </c>
      <c r="B2" s="3275"/>
      <c r="C2" s="3275"/>
      <c r="D2" s="1960" t="s">
        <v>204</v>
      </c>
      <c r="E2" s="106" t="s">
        <v>205</v>
      </c>
      <c r="F2" s="1969"/>
      <c r="G2" s="1194"/>
      <c r="H2" s="1195"/>
      <c r="I2" s="1196" t="s">
        <v>857</v>
      </c>
      <c r="J2" s="1969"/>
      <c r="K2" s="1969"/>
      <c r="L2" s="1969"/>
    </row>
    <row r="3" spans="1:16" ht="15.75" thickBot="1">
      <c r="A3" s="3276" t="s">
        <v>206</v>
      </c>
      <c r="B3" s="3276"/>
      <c r="C3" s="3276"/>
      <c r="D3" s="107">
        <f>'数据-基础表'!AY6</f>
        <v>67772.100000000006</v>
      </c>
      <c r="E3" s="107">
        <f>'数据-基础表'!AZ5</f>
        <v>217672.19</v>
      </c>
      <c r="F3" s="1969"/>
      <c r="G3" s="280" t="s">
        <v>858</v>
      </c>
      <c r="H3" s="275" t="s">
        <v>859</v>
      </c>
      <c r="I3" s="1961">
        <f>ROUND('数据-基础表'!B3/'数据-基础表'!A3,2)</f>
        <v>3.21</v>
      </c>
      <c r="J3" s="1969"/>
      <c r="K3" s="1969"/>
      <c r="L3" s="1969"/>
    </row>
    <row r="4" spans="1:16" ht="15">
      <c r="A4" s="3277"/>
      <c r="B4" s="3278"/>
      <c r="C4" s="3279"/>
      <c r="D4" s="108" t="s">
        <v>204</v>
      </c>
      <c r="E4" s="109" t="s">
        <v>205</v>
      </c>
      <c r="F4" s="1969"/>
      <c r="G4" s="1197"/>
      <c r="H4" s="275" t="s">
        <v>860</v>
      </c>
      <c r="I4" s="1961">
        <f>ROUND(SUMIF('数据-基础表'!I9:AS9,"地上",'数据-基础表'!I5:AS5)/'数据-基础表'!A3,2)</f>
        <v>2.2999999999999998</v>
      </c>
      <c r="J4" s="1969"/>
      <c r="K4" s="1969"/>
      <c r="L4" s="1969"/>
    </row>
    <row r="5" spans="1:16">
      <c r="A5" s="110" t="s">
        <v>207</v>
      </c>
      <c r="B5" s="3280" t="s">
        <v>230</v>
      </c>
      <c r="C5" s="3280"/>
      <c r="D5" s="111">
        <f>ROUND($D$3*E5/$E$3,2)</f>
        <v>47587.83</v>
      </c>
      <c r="E5" s="112">
        <f>SUMIF('数据-基础表'!$11:$11,"住宅",'数据-基础表'!$5:$5)</f>
        <v>152843.82999999999</v>
      </c>
      <c r="F5" s="1969"/>
      <c r="G5" s="280" t="s">
        <v>861</v>
      </c>
      <c r="H5" s="275" t="s">
        <v>859</v>
      </c>
      <c r="I5" s="1961">
        <f>ROUND(E31/D31,2)</f>
        <v>3.21</v>
      </c>
      <c r="J5" s="1969"/>
      <c r="K5" s="1969"/>
      <c r="L5" s="1969"/>
    </row>
    <row r="6" spans="1:16" ht="15" thickBot="1">
      <c r="A6" s="113"/>
      <c r="B6" s="3280" t="s">
        <v>208</v>
      </c>
      <c r="C6" s="3280"/>
      <c r="D6" s="111">
        <f>ROUND($D$3*E6/$E$3,2)</f>
        <v>20184.27</v>
      </c>
      <c r="E6" s="112">
        <f>E3-E5</f>
        <v>64828.360000000015</v>
      </c>
      <c r="F6" s="1969"/>
      <c r="G6" s="1197"/>
      <c r="H6" s="275" t="s">
        <v>860</v>
      </c>
      <c r="I6" s="1961">
        <f>ROUND(F31/D31,2)</f>
        <v>2.2999999999999998</v>
      </c>
      <c r="J6" s="1969"/>
      <c r="K6" s="1969"/>
      <c r="L6" s="1969"/>
    </row>
    <row r="7" spans="1:16" ht="15">
      <c r="A7" s="3272"/>
      <c r="B7" s="3273"/>
      <c r="C7" s="3274"/>
      <c r="D7" s="108" t="s">
        <v>204</v>
      </c>
      <c r="E7" s="114" t="s">
        <v>231</v>
      </c>
      <c r="F7" s="1969"/>
      <c r="G7" s="1152" t="s">
        <v>1645</v>
      </c>
      <c r="H7" s="1153"/>
      <c r="I7" s="1831">
        <v>2.2999999999999998</v>
      </c>
      <c r="J7" s="1969"/>
      <c r="K7" s="1969"/>
      <c r="L7" s="1969"/>
    </row>
    <row r="8" spans="1:16">
      <c r="A8" s="110" t="s">
        <v>209</v>
      </c>
      <c r="B8" s="115" t="s">
        <v>210</v>
      </c>
      <c r="C8" s="111" t="s">
        <v>211</v>
      </c>
      <c r="D8" s="111">
        <f t="shared" ref="D8:D15" si="0">ROUND($D$3*E8/$E$3,2)</f>
        <v>47587.83</v>
      </c>
      <c r="E8" s="116">
        <f>SUMIF('数据-基础表'!BB10:BK10,"地上",'数据-基础表'!BB5:BK5)</f>
        <v>152843.82999999999</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47587.83</v>
      </c>
      <c r="E16" s="120">
        <f>SUM(E8:E15)</f>
        <v>152843.82999999999</v>
      </c>
      <c r="F16" s="1969"/>
      <c r="G16" s="1971"/>
      <c r="H16" s="968" t="s">
        <v>219</v>
      </c>
      <c r="I16" s="969"/>
      <c r="J16" s="1969"/>
      <c r="K16" s="3266" t="s">
        <v>2566</v>
      </c>
      <c r="L16" s="3267"/>
      <c r="M16" s="3267"/>
      <c r="N16" s="3267"/>
      <c r="O16" s="3267"/>
      <c r="P16" s="3268"/>
    </row>
    <row r="17" spans="1:19" ht="15">
      <c r="A17" s="121" t="s">
        <v>216</v>
      </c>
      <c r="B17" s="122" t="s">
        <v>217</v>
      </c>
      <c r="C17" s="2283" t="s">
        <v>2313</v>
      </c>
      <c r="D17" s="108" t="s">
        <v>204</v>
      </c>
      <c r="E17" s="124" t="s">
        <v>205</v>
      </c>
      <c r="F17" s="125"/>
      <c r="G17" s="1362"/>
      <c r="H17" s="970" t="s">
        <v>218</v>
      </c>
      <c r="I17" s="971" t="s">
        <v>2312</v>
      </c>
      <c r="J17" s="1969"/>
      <c r="K17" s="3269" t="s">
        <v>2567</v>
      </c>
      <c r="L17" s="3270"/>
      <c r="M17" s="3271"/>
      <c r="N17" s="3269" t="s">
        <v>2568</v>
      </c>
      <c r="O17" s="3270"/>
      <c r="P17" s="3271"/>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3021</v>
      </c>
      <c r="D19" s="111">
        <f t="shared" ref="D19:D26" si="1">ROUND($D$3*E19/$E$3,2)</f>
        <v>46135.07</v>
      </c>
      <c r="E19" s="134">
        <f t="shared" ref="E19:E26" si="2">SUM(F19:G19)</f>
        <v>148177.82999999999</v>
      </c>
      <c r="F19" s="135">
        <f>'数据-基础表'!I13</f>
        <v>148177.82999999999</v>
      </c>
      <c r="G19" s="1364"/>
      <c r="H19" s="974">
        <f>ROUND($D$3*I19/$E$3,2)</f>
        <v>19593.009999999998</v>
      </c>
      <c r="I19" s="116">
        <f>IF($I$17="自定义",P19,M19)</f>
        <v>62929.33</v>
      </c>
      <c r="J19" s="1969"/>
      <c r="K19" s="2572">
        <f t="shared" ref="K19:K26" si="3">ROUND(E$28*E19/E$27,2)</f>
        <v>60307.33</v>
      </c>
      <c r="L19" s="275">
        <f t="shared" ref="L19:L26" si="4">ROUND(IF(COUNTIF(C19,"*住宅*")&gt;0,E$29*E19/E$32,0),2)</f>
        <v>2622</v>
      </c>
      <c r="M19" s="2573">
        <f>K19+L19</f>
        <v>62929.33</v>
      </c>
      <c r="N19" s="2574"/>
      <c r="O19" s="2575"/>
      <c r="P19" s="2576">
        <f>N19+O19</f>
        <v>0</v>
      </c>
      <c r="R19" s="275">
        <f t="shared" ref="R19:S26" si="5">D19+H19</f>
        <v>65728.08</v>
      </c>
      <c r="S19" s="2286">
        <f t="shared" si="5"/>
        <v>211107.15999999997</v>
      </c>
    </row>
    <row r="20" spans="1:19">
      <c r="A20" s="138"/>
      <c r="B20" s="115" t="s">
        <v>226</v>
      </c>
      <c r="C20" s="2977" t="s">
        <v>3022</v>
      </c>
      <c r="D20" s="111">
        <f t="shared" si="1"/>
        <v>1452.76</v>
      </c>
      <c r="E20" s="134">
        <f t="shared" si="2"/>
        <v>4666</v>
      </c>
      <c r="F20" s="135">
        <f>'数据-基础表'!K14</f>
        <v>4666</v>
      </c>
      <c r="G20" s="1364"/>
      <c r="H20" s="974">
        <f t="shared" ref="H20:H26" si="6">ROUND($D$3*I20/$E$3,2)</f>
        <v>591.26</v>
      </c>
      <c r="I20" s="116">
        <f t="shared" ref="I20:I26" si="7">IF($I$17="自定义",P20,M20)</f>
        <v>1899.03</v>
      </c>
      <c r="J20" s="1969"/>
      <c r="K20" s="2572">
        <f t="shared" si="3"/>
        <v>1899.03</v>
      </c>
      <c r="L20" s="275">
        <f t="shared" si="4"/>
        <v>0</v>
      </c>
      <c r="M20" s="2573">
        <f t="shared" ref="M20:M26" si="8">K20+L20</f>
        <v>1899.03</v>
      </c>
      <c r="N20" s="2574"/>
      <c r="O20" s="2575"/>
      <c r="P20" s="2576">
        <f t="shared" ref="P20:P26" si="9">N20+O20</f>
        <v>0</v>
      </c>
      <c r="R20" s="275">
        <f t="shared" si="5"/>
        <v>2044.02</v>
      </c>
      <c r="S20" s="2286">
        <f t="shared" si="5"/>
        <v>6565.03</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47587.83</v>
      </c>
      <c r="E27" s="143">
        <f>IF(SUM(E19:E26)='数据-基础表'!BA5,SUM(E19:E26),IF(F27="地上面积有误","面积有误","地下面积有误"))</f>
        <v>152843.82999999999</v>
      </c>
      <c r="F27" s="134">
        <f>IF(SUM(F19:F26)=E8,SUM(F19:F26),"地上面积有误")</f>
        <v>152843.82999999999</v>
      </c>
      <c r="G27" s="112">
        <f>SUM(G19:G26)</f>
        <v>0</v>
      </c>
      <c r="H27" s="975">
        <f>SUM(H19:H26)</f>
        <v>20184.269999999997</v>
      </c>
      <c r="I27" s="976">
        <f>SUM(I19:I26)</f>
        <v>64828.36</v>
      </c>
      <c r="J27" s="1969"/>
      <c r="K27" s="2581">
        <f>SUM(K19:K26)</f>
        <v>62206.36</v>
      </c>
      <c r="L27" s="2582">
        <f>SUM(L19:L26)</f>
        <v>2622</v>
      </c>
      <c r="M27" s="2583">
        <f>SUM(M19:M26)</f>
        <v>64828.36</v>
      </c>
      <c r="N27" s="2581">
        <f t="shared" ref="N27:O27" si="10">SUM(N19:N26)</f>
        <v>0</v>
      </c>
      <c r="O27" s="2582">
        <f t="shared" si="10"/>
        <v>0</v>
      </c>
      <c r="P27" s="2584">
        <f>SUM(P19:P26)</f>
        <v>0</v>
      </c>
      <c r="R27" s="2290">
        <f>IF(SUM(R19:R26)=$D$3,SUM(R19:R26),SUM(R19:R26)&amp;"误差"&amp;ROUND(SUM(R19:R26)-$D$3,2))</f>
        <v>67772.100000000006</v>
      </c>
      <c r="S27" s="275">
        <f>IF(SUM(S19:S26)=$E$3,SUM(S19:S26),SUM(S19:S26)&amp;"误差"&amp;ROUND(SUM(S19:S26)-E3,2))</f>
        <v>217672.18999999997</v>
      </c>
    </row>
    <row r="28" spans="1:19">
      <c r="A28" s="138"/>
      <c r="B28" s="115" t="s">
        <v>227</v>
      </c>
      <c r="C28" s="136" t="s">
        <v>228</v>
      </c>
      <c r="D28" s="111">
        <f>ROUND($D$3*E28/$E$3,2)</f>
        <v>19367.91</v>
      </c>
      <c r="E28" s="134">
        <f>SUM(F28:G28)</f>
        <v>62206.36</v>
      </c>
      <c r="F28" s="144">
        <f>'数据-基础表'!BQ5+'数据-基础表'!BS5</f>
        <v>410</v>
      </c>
      <c r="G28" s="145">
        <f>'数据-基础表'!BR5+'数据-基础表'!BT5</f>
        <v>61796.36</v>
      </c>
      <c r="H28" s="1969"/>
      <c r="I28" s="1969"/>
      <c r="J28" s="1969"/>
      <c r="K28" s="1969"/>
      <c r="L28" s="1969"/>
    </row>
    <row r="29" spans="1:19">
      <c r="A29" s="138"/>
      <c r="B29" s="115" t="s">
        <v>227</v>
      </c>
      <c r="C29" s="2298" t="s">
        <v>2320</v>
      </c>
      <c r="D29" s="111">
        <f>ROUND($D$3*E29/$E$3,2)</f>
        <v>816.36</v>
      </c>
      <c r="E29" s="134">
        <f>SUM(F29:G29)</f>
        <v>2622</v>
      </c>
      <c r="F29" s="144">
        <f>'数据-基础表'!BM5+'数据-基础表'!BO5</f>
        <v>2622</v>
      </c>
      <c r="G29" s="146">
        <f>'数据-基础表'!BN5+'数据-基础表'!BP5</f>
        <v>0</v>
      </c>
      <c r="H29" s="1969"/>
      <c r="I29" s="1969"/>
      <c r="J29" s="1969"/>
      <c r="K29" s="1969"/>
      <c r="L29" s="1969"/>
    </row>
    <row r="30" spans="1:19">
      <c r="A30" s="138"/>
      <c r="B30" s="111"/>
      <c r="C30" s="147" t="s">
        <v>215</v>
      </c>
      <c r="D30" s="134">
        <f>SUM(D28:D29)</f>
        <v>20184.27</v>
      </c>
      <c r="E30" s="134">
        <f>SUM(E28:E29)</f>
        <v>64828.36</v>
      </c>
      <c r="F30" s="134">
        <f>SUM(F28:F29)</f>
        <v>3032</v>
      </c>
      <c r="G30" s="112">
        <f>SUM(G28:G29)</f>
        <v>61796.36</v>
      </c>
      <c r="H30" s="1969"/>
      <c r="I30" s="1969"/>
      <c r="J30" s="1969"/>
      <c r="K30" s="1969"/>
      <c r="L30" s="1969"/>
    </row>
    <row r="31" spans="1:19" ht="32.25" customHeight="1" thickBot="1">
      <c r="A31" s="1366"/>
      <c r="B31" s="1367" t="s">
        <v>229</v>
      </c>
      <c r="C31" s="2315" t="s">
        <v>2322</v>
      </c>
      <c r="D31" s="1368">
        <f>D27+D30</f>
        <v>67772.100000000006</v>
      </c>
      <c r="E31" s="1368">
        <f>E27+E30</f>
        <v>217672.19</v>
      </c>
      <c r="F31" s="1369">
        <f>F27+F30</f>
        <v>155875.82999999999</v>
      </c>
      <c r="G31" s="1370">
        <f>G27+G30</f>
        <v>61796.36</v>
      </c>
      <c r="H31" s="1969"/>
      <c r="I31" s="1969"/>
      <c r="J31" s="1969"/>
      <c r="K31" s="1969"/>
      <c r="L31" s="1969"/>
    </row>
    <row r="32" spans="1:19">
      <c r="A32" s="1969"/>
      <c r="B32" s="2327" t="s">
        <v>2321</v>
      </c>
      <c r="C32" s="2611"/>
      <c r="D32" s="1197"/>
      <c r="E32" s="1197">
        <f>SUMIF(C19:C26,"*住宅*",E19:E26)</f>
        <v>148177.82999999999</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9" activePane="bottomRight" state="frozen"/>
      <selection pane="topRight" activeCell="D1" sqref="D1"/>
      <selection pane="bottomLeft" activeCell="A4" sqref="A4"/>
      <selection pane="bottomRight" activeCell="O43" sqref="O43"/>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43698</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2827</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66200</v>
      </c>
      <c r="F6" s="174">
        <f>SUMIF(项目基本情况!D$15:I$15,C6,项目基本情况!D$19:I$19)</f>
        <v>61.64</v>
      </c>
      <c r="G6" s="175">
        <f>IF(ISERROR(ROUND(POWER(1+H6,D6-F6)*(POWER(1+H6,F6)-1)/(POWER(1+H6,D6)-1),3)),0,ROUND(POWER(1+H6,D6-F6)*(POWER(1+H6,F6)-1)/(POWER(1+H6,D6)-1),3))</f>
        <v>0.97899999999999998</v>
      </c>
      <c r="H6" s="2978">
        <v>4.4999999999999998E-2</v>
      </c>
      <c r="I6" s="2978">
        <v>0.05</v>
      </c>
      <c r="J6" s="176">
        <v>8.5000000000000006E-2</v>
      </c>
      <c r="K6" s="179">
        <f>SUMIF('数据-汇总表'!C$19:C$33,'数据-取费表'!A6,'数据-汇总表'!E$19:E$33)</f>
        <v>148177.82999999999</v>
      </c>
      <c r="L6" s="2979">
        <v>2200</v>
      </c>
      <c r="M6" s="177">
        <f t="shared" ref="M6:M14" si="0">ROUND(K6*L6/10000,0)</f>
        <v>32599</v>
      </c>
      <c r="N6" s="2980">
        <v>0</v>
      </c>
      <c r="O6" s="177">
        <f>IF($N$5="成新度","——",ROUND(M6*N6,0))</f>
        <v>0</v>
      </c>
      <c r="P6" s="178">
        <f>IF($N$5="成新度","——",M6-O6)</f>
        <v>32599</v>
      </c>
      <c r="Q6" s="2981">
        <v>0.1</v>
      </c>
      <c r="R6" s="179">
        <f>SUMIF('数据-汇总表'!C$19:C$33,A6,'数据-汇总表'!R$19:R$33)</f>
        <v>65728.08</v>
      </c>
      <c r="S6" s="132">
        <f>IF('数据-汇总表'!$I$17="按面积比例",SUMIF('数据-汇总表'!C$19:C$33,A6,'数据-汇总表'!K$19:K$33),SUMIF('数据-汇总表'!C$19:C$33,A6,'数据-汇总表'!N$19:N$33))</f>
        <v>60307.33</v>
      </c>
      <c r="T6" s="2219">
        <f>IF($T$4="按面积比例",IF(ISERROR(ROUND($M$14*S6/S$16,0)),"0",ROUND($M$14*S6/S$16,0)),"需自行计算录入")</f>
        <v>12061</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t="s">
        <v>3037</v>
      </c>
      <c r="AO6" s="1985"/>
      <c r="AP6" s="1200">
        <f>ROUND(1-1/(1+H6)^F6,3)</f>
        <v>0.93400000000000005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3004</v>
      </c>
      <c r="D7" s="2293">
        <f>SUMIF(项目基本情况!D$15:I$15,C7,项目基本情况!D$18:I$18)</f>
        <v>40</v>
      </c>
      <c r="E7" s="2294">
        <f>IF(B7="","",SUMIF(项目基本情况!D$15:I$15,C7,项目基本情况!D$17:I$17))</f>
        <v>55242</v>
      </c>
      <c r="F7" s="174">
        <f>SUMIF(项目基本情况!D$15:I$15,C7,项目基本情况!D$19:I$19)</f>
        <v>31.62</v>
      </c>
      <c r="G7" s="175">
        <f t="shared" ref="G7:G11" si="2">IF(ISERROR(ROUND(POWER(1+H7,D7-F7)*(POWER(1+H7,F7)-1)/(POWER(1+H7,D7)-1),3)),0,ROUND(POWER(1+H7,D7-F7)*(POWER(1+H7,F7)-1)/(POWER(1+H7,D7)-1),3))</f>
        <v>0.91600000000000004</v>
      </c>
      <c r="H7" s="2978">
        <v>0.05</v>
      </c>
      <c r="I7" s="2978">
        <v>5.5E-2</v>
      </c>
      <c r="J7" s="176">
        <v>8.5000000000000006E-2</v>
      </c>
      <c r="K7" s="179">
        <f>SUMIF('数据-汇总表'!C$19:C$33,'数据-取费表'!A7,'数据-汇总表'!E$19:E$33)</f>
        <v>4666</v>
      </c>
      <c r="L7" s="2979">
        <v>2200</v>
      </c>
      <c r="M7" s="177">
        <f t="shared" si="0"/>
        <v>1027</v>
      </c>
      <c r="N7" s="2980">
        <v>0</v>
      </c>
      <c r="O7" s="177">
        <f t="shared" ref="O7:O14" si="3">IF($N$5="成新度","——",ROUND(M7*N7,0))</f>
        <v>0</v>
      </c>
      <c r="P7" s="178">
        <f t="shared" ref="P7:P14" si="4">IF($N$5="成新度","——",M7-O7)</f>
        <v>1027</v>
      </c>
      <c r="Q7" s="2981">
        <v>0.15</v>
      </c>
      <c r="R7" s="179">
        <f>SUMIF('数据-汇总表'!C$19:C$33,A7,'数据-汇总表'!R$19:R$33)</f>
        <v>2044.02</v>
      </c>
      <c r="S7" s="132">
        <f>IF('数据-汇总表'!$I$17="按面积比例",SUMIF('数据-汇总表'!C$19:C$33,A7,'数据-汇总表'!K$19:K$33),SUMIF('数据-汇总表'!C$19:C$33,A7,'数据-汇总表'!N$19:N$33))</f>
        <v>1899.03</v>
      </c>
      <c r="T7" s="2219">
        <f t="shared" ref="T7:T13" si="5">IF($T$4="按面积比例",IF(ISERROR(ROUND($M$14*S7/S$16,0)),"0",ROUND($M$14*S7/S$16,0)),"需自行计算录入")</f>
        <v>380</v>
      </c>
      <c r="U7" s="3493">
        <v>1.5</v>
      </c>
      <c r="V7" s="181">
        <v>0.02</v>
      </c>
      <c r="W7" s="181">
        <v>0.1</v>
      </c>
      <c r="X7" s="2306"/>
      <c r="Y7" s="182"/>
      <c r="Z7" s="183"/>
      <c r="AA7" s="176"/>
      <c r="AB7" s="176"/>
      <c r="AC7" s="2309"/>
      <c r="AD7" s="184"/>
      <c r="AE7" s="972">
        <f t="shared" ref="AE7:AE13" ca="1" si="6">IF(AN7="",0,SUMIF(INDIRECT("'"&amp;AN7&amp;"'"&amp;"!E:E"),$AE$5,INDIRECT("'"&amp;AN7&amp;"'"&amp;"!F:F")))</f>
        <v>29.62</v>
      </c>
      <c r="AF7" s="141"/>
      <c r="AG7" s="1209">
        <f t="shared" ref="AG7:AG13" si="7">IF(AF7="",0,AE7-AF7)</f>
        <v>0</v>
      </c>
      <c r="AH7" s="141"/>
      <c r="AI7" s="187">
        <v>365</v>
      </c>
      <c r="AJ7" s="188"/>
      <c r="AK7" s="189">
        <v>1.4999999999999999E-2</v>
      </c>
      <c r="AL7" s="190">
        <v>1.5E-3</v>
      </c>
      <c r="AM7" s="2992">
        <v>0.01</v>
      </c>
      <c r="AN7" s="2356" t="s">
        <v>3023</v>
      </c>
      <c r="AO7" s="1985"/>
      <c r="AP7" s="1200">
        <f t="shared" ref="AP7:AP13" si="8">ROUND(1-1/(1+H7)^F7,3)</f>
        <v>0.78600000000000003</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62206.36</v>
      </c>
      <c r="L14" s="193">
        <v>2000</v>
      </c>
      <c r="M14" s="177">
        <f t="shared" si="0"/>
        <v>12441</v>
      </c>
      <c r="N14" s="194"/>
      <c r="O14" s="177">
        <f t="shared" si="3"/>
        <v>0</v>
      </c>
      <c r="P14" s="178">
        <f t="shared" si="4"/>
        <v>12441</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2622</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0.97699999999999998</v>
      </c>
      <c r="H16" s="203">
        <f>ROUND(SUMPRODUCT(H6:H13,K6:K13)/SUMPRODUCT((H6:H13&gt;0)*(K6:K13)),3)</f>
        <v>4.4999999999999998E-2</v>
      </c>
      <c r="I16" s="204"/>
      <c r="J16" s="204"/>
      <c r="K16" s="205">
        <f>SUM(K6:K15)</f>
        <v>217672.19</v>
      </c>
      <c r="L16" s="206">
        <f>ROUND(M16*10000/SUM(K6:K14),0)</f>
        <v>2142</v>
      </c>
      <c r="M16" s="206">
        <f>SUM(M6:M14)</f>
        <v>46067</v>
      </c>
      <c r="N16" s="207">
        <f>ROUND(SUMPRODUCT(M6:M14,N6:N14)/M16,3)</f>
        <v>0</v>
      </c>
      <c r="O16" s="206">
        <f>SUM(O6:O14)</f>
        <v>0</v>
      </c>
      <c r="P16" s="206">
        <f>SUM(P6:P14)</f>
        <v>46067</v>
      </c>
      <c r="Q16" s="208">
        <f>ROUND(SUMPRODUCT(Q6:Q13,K6:K13)/SUMPRODUCT((Q6:Q13&gt;0)*(K6:K13)),2)</f>
        <v>0.1</v>
      </c>
      <c r="R16" s="2296">
        <f>SUM(R6:R13)</f>
        <v>67772.100000000006</v>
      </c>
      <c r="S16" s="209">
        <f>SUM(S6:S13)</f>
        <v>62206.36</v>
      </c>
      <c r="T16" s="210">
        <f>IF(SUMIF(T6:T13,"&lt;9E307")=M14,SUMIF(T6:T13,"&lt;9E307"),"有误，请检查")</f>
        <v>12441</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0.92900000000000005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2</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2</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0</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19</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19</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0.04</v>
      </c>
      <c r="C33" s="2329" t="s">
        <v>2893</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2894</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2895</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2896</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2897</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2897</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2898</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2899</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2900</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2901</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2902</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2903</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c r="C53" s="3028" t="s">
        <v>2904</v>
      </c>
      <c r="D53" s="3029" t="s">
        <v>2905</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2906</v>
      </c>
      <c r="B54" s="186">
        <v>11</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2907</v>
      </c>
      <c r="B55" s="186">
        <v>8.5</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2908</v>
      </c>
      <c r="B56" s="186">
        <v>7.5</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2909</v>
      </c>
      <c r="B57" s="186">
        <v>6.5</v>
      </c>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2910</v>
      </c>
      <c r="B58" s="186">
        <v>5.5</v>
      </c>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2911</v>
      </c>
      <c r="B59" s="186">
        <v>5</v>
      </c>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2912</v>
      </c>
      <c r="B60" s="186">
        <v>3</v>
      </c>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2913</v>
      </c>
      <c r="B61" s="186">
        <v>2</v>
      </c>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2914</v>
      </c>
      <c r="B62" s="186">
        <v>1</v>
      </c>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2915</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81" t="s">
        <v>1663</v>
      </c>
      <c r="B1" s="3282"/>
      <c r="C1" s="3282"/>
      <c r="D1" s="3282"/>
      <c r="E1" s="3282"/>
      <c r="F1" s="3282"/>
      <c r="G1" s="3282"/>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2922</v>
      </c>
      <c r="D3" s="1994"/>
      <c r="E3" s="1225" t="s">
        <v>1666</v>
      </c>
      <c r="F3" s="1226" t="s">
        <v>1654</v>
      </c>
      <c r="G3" s="3037" t="s">
        <v>2921</v>
      </c>
      <c r="H3" s="1993"/>
      <c r="I3" s="1993"/>
      <c r="J3" s="1993"/>
      <c r="K3" s="1993"/>
      <c r="L3" s="1993"/>
      <c r="M3" s="1993"/>
      <c r="N3" s="1993"/>
      <c r="O3" s="1993"/>
      <c r="P3" s="1993"/>
      <c r="Q3" s="1993"/>
      <c r="R3" s="1993"/>
    </row>
    <row r="4" spans="1:18" ht="41.25">
      <c r="A4" s="1225"/>
      <c r="B4" s="1227" t="s">
        <v>1667</v>
      </c>
      <c r="C4" s="3034" t="s">
        <v>2923</v>
      </c>
      <c r="D4" s="1994"/>
      <c r="E4" s="1228"/>
      <c r="F4" s="1229" t="s">
        <v>1668</v>
      </c>
      <c r="G4" s="3035" t="s">
        <v>2918</v>
      </c>
      <c r="H4" s="1993"/>
      <c r="I4" s="1993"/>
      <c r="J4" s="1993"/>
      <c r="K4" s="1993"/>
      <c r="L4" s="1993"/>
      <c r="M4" s="1993"/>
      <c r="N4" s="1993"/>
      <c r="O4" s="1993"/>
      <c r="P4" s="1993"/>
      <c r="Q4" s="1993"/>
      <c r="R4" s="1993"/>
    </row>
    <row r="5" spans="1:18" ht="41.25">
      <c r="A5" s="1225"/>
      <c r="B5" s="1227" t="s">
        <v>1669</v>
      </c>
      <c r="C5" s="3034" t="s">
        <v>2924</v>
      </c>
      <c r="D5" s="1994"/>
      <c r="E5" s="1228"/>
      <c r="F5" s="1227" t="s">
        <v>2546</v>
      </c>
      <c r="G5" s="3035" t="s">
        <v>2919</v>
      </c>
      <c r="H5" s="1993"/>
      <c r="I5" s="1993"/>
      <c r="J5" s="1993"/>
      <c r="K5" s="1993"/>
      <c r="L5" s="1993"/>
      <c r="M5" s="1993"/>
      <c r="N5" s="1993"/>
      <c r="O5" s="1993"/>
      <c r="P5" s="1993"/>
      <c r="Q5" s="1993"/>
      <c r="R5" s="1993"/>
    </row>
    <row r="6" spans="1:18" ht="54">
      <c r="A6" s="1225"/>
      <c r="B6" s="1227" t="s">
        <v>1655</v>
      </c>
      <c r="C6" s="3035" t="s">
        <v>2918</v>
      </c>
      <c r="D6" s="1994"/>
      <c r="E6" s="1228"/>
      <c r="F6" s="1227" t="s">
        <v>2547</v>
      </c>
      <c r="G6" s="3035" t="s">
        <v>2916</v>
      </c>
      <c r="H6" s="1993"/>
      <c r="I6" s="1993"/>
      <c r="J6" s="1993"/>
      <c r="K6" s="1993"/>
      <c r="L6" s="1993"/>
      <c r="M6" s="1993"/>
      <c r="N6" s="1993"/>
      <c r="O6" s="1993"/>
      <c r="P6" s="1993"/>
      <c r="Q6" s="1993"/>
      <c r="R6" s="1993"/>
    </row>
    <row r="7" spans="1:18" ht="41.25" thickBot="1">
      <c r="A7" s="1225"/>
      <c r="B7" s="1227" t="s">
        <v>2546</v>
      </c>
      <c r="C7" s="3035" t="s">
        <v>2919</v>
      </c>
      <c r="D7" s="1995"/>
      <c r="E7" s="1230"/>
      <c r="F7" s="1231" t="s">
        <v>1670</v>
      </c>
      <c r="G7" s="3038" t="s">
        <v>2920</v>
      </c>
      <c r="H7" s="1993"/>
      <c r="I7" s="1993"/>
      <c r="J7" s="1993"/>
      <c r="K7" s="1993"/>
      <c r="L7" s="1993"/>
      <c r="M7" s="1993"/>
      <c r="N7" s="1993"/>
      <c r="O7" s="1993"/>
      <c r="P7" s="1993"/>
      <c r="Q7" s="1993"/>
      <c r="R7" s="1993"/>
    </row>
    <row r="8" spans="1:18" ht="27">
      <c r="A8" s="1225"/>
      <c r="B8" s="1227" t="s">
        <v>2547</v>
      </c>
      <c r="C8" s="3035" t="s">
        <v>2916</v>
      </c>
      <c r="D8" s="1995"/>
      <c r="E8" s="1995"/>
      <c r="F8" s="1540"/>
      <c r="G8" s="1540"/>
      <c r="H8" s="1993"/>
      <c r="I8" s="1993"/>
      <c r="J8" s="1993"/>
      <c r="K8" s="1993"/>
      <c r="L8" s="1993"/>
      <c r="M8" s="1993"/>
      <c r="N8" s="1993"/>
      <c r="O8" s="1993"/>
      <c r="P8" s="1993"/>
      <c r="Q8" s="1993"/>
      <c r="R8" s="1993"/>
    </row>
    <row r="9" spans="1:18" ht="40.5">
      <c r="A9" s="1225"/>
      <c r="B9" s="1227" t="s">
        <v>1656</v>
      </c>
      <c r="C9" s="3034" t="s">
        <v>2917</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9"/>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2843</v>
      </c>
      <c r="B1" s="2997">
        <f>SUM(B14:B23)</f>
        <v>217672.19</v>
      </c>
      <c r="C1" s="2998"/>
      <c r="D1" s="2998"/>
      <c r="E1" s="2998"/>
      <c r="F1" s="2998"/>
    </row>
    <row r="2" spans="1:9" ht="16.5">
      <c r="A2" s="2997" t="s">
        <v>2844</v>
      </c>
      <c r="B2" s="2997">
        <f>SUM(C14:C23)</f>
        <v>67772.100000000006</v>
      </c>
      <c r="C2" s="2998"/>
      <c r="D2" s="2998"/>
      <c r="E2" s="2998"/>
      <c r="F2" s="2998"/>
    </row>
    <row r="3" spans="1:9" ht="16.5">
      <c r="A3" s="2997" t="s">
        <v>2845</v>
      </c>
      <c r="B3" s="2999">
        <f>项目基本情况!D3</f>
        <v>43698</v>
      </c>
      <c r="C3" s="2998"/>
      <c r="D3" s="2998"/>
      <c r="E3" s="2998"/>
      <c r="F3" s="2998"/>
    </row>
    <row r="4" spans="1:9" ht="33">
      <c r="A4" s="2997" t="s">
        <v>2846</v>
      </c>
      <c r="B4" s="2997" t="s">
        <v>2847</v>
      </c>
      <c r="C4" s="2997" t="s">
        <v>2848</v>
      </c>
      <c r="D4" s="2997" t="s">
        <v>2849</v>
      </c>
      <c r="E4" s="2998"/>
      <c r="F4" s="2998"/>
    </row>
    <row r="5" spans="1:9" ht="16.5">
      <c r="A5" s="2997" t="s">
        <v>2850</v>
      </c>
      <c r="B5" s="2997">
        <f ca="1">SUM(D14:D23)</f>
        <v>51038</v>
      </c>
      <c r="C5" s="2997">
        <f ca="1">ROUND(B5*10000/$B$1,0)</f>
        <v>2345</v>
      </c>
      <c r="D5" s="2997">
        <f ca="1">ROUND(B5*10000/$B$2,0)</f>
        <v>7531</v>
      </c>
      <c r="E5" s="2998"/>
      <c r="F5" s="2998"/>
    </row>
    <row r="6" spans="1:9" ht="16.5">
      <c r="A6" s="2997" t="s">
        <v>2851</v>
      </c>
      <c r="B6" s="2997">
        <f ca="1">SUM(G14:G23)</f>
        <v>51038</v>
      </c>
      <c r="C6" s="2997">
        <f t="shared" ref="C6:C8" ca="1" si="0">ROUND(B6*10000/$B$1,0)</f>
        <v>2345</v>
      </c>
      <c r="D6" s="2997">
        <f t="shared" ref="D6:D8" ca="1" si="1">ROUND(B6*10000/$B$2,0)</f>
        <v>7531</v>
      </c>
      <c r="E6" s="2998"/>
      <c r="F6" s="2998"/>
    </row>
    <row r="7" spans="1:9" ht="16.5">
      <c r="A7" s="2997" t="s">
        <v>2852</v>
      </c>
      <c r="B7" s="2997">
        <f>SUM(H14:H23)</f>
        <v>0</v>
      </c>
      <c r="C7" s="2997">
        <f t="shared" si="0"/>
        <v>0</v>
      </c>
      <c r="D7" s="2997">
        <f t="shared" si="1"/>
        <v>0</v>
      </c>
      <c r="E7" s="2998"/>
      <c r="F7" s="2998"/>
    </row>
    <row r="8" spans="1:9" ht="16.5">
      <c r="A8" s="2997" t="s">
        <v>2853</v>
      </c>
      <c r="B8" s="2997">
        <f>SUM(I14:I23)</f>
        <v>0</v>
      </c>
      <c r="C8" s="2997">
        <f t="shared" si="0"/>
        <v>0</v>
      </c>
      <c r="D8" s="2997">
        <f t="shared" si="1"/>
        <v>0</v>
      </c>
      <c r="E8" s="2998"/>
      <c r="F8" s="2998"/>
    </row>
    <row r="9" spans="1:9" ht="16.5">
      <c r="A9" s="2997" t="s">
        <v>2854</v>
      </c>
      <c r="B9" s="3000"/>
      <c r="C9" s="2998"/>
      <c r="D9" s="2998"/>
      <c r="E9" s="2998"/>
      <c r="F9" s="2998"/>
    </row>
    <row r="10" spans="1:9" ht="16.5">
      <c r="A10" s="2997" t="s">
        <v>2855</v>
      </c>
      <c r="B10" s="3000"/>
      <c r="C10" s="2998"/>
      <c r="D10" s="2998"/>
      <c r="E10" s="2998"/>
      <c r="F10" s="2998"/>
    </row>
    <row r="11" spans="1:9" ht="16.5">
      <c r="A11" s="2997" t="s">
        <v>2872</v>
      </c>
      <c r="B11" s="3000"/>
      <c r="C11" s="2998"/>
      <c r="D11" s="2998"/>
      <c r="E11" s="2998"/>
      <c r="F11" s="2998"/>
    </row>
    <row r="12" spans="1:9" ht="16.5">
      <c r="A12" s="2998"/>
      <c r="B12" s="2998"/>
      <c r="C12" s="2998"/>
      <c r="D12" s="2998"/>
      <c r="E12" s="2998"/>
      <c r="F12" s="2998"/>
    </row>
    <row r="13" spans="1:9" ht="33">
      <c r="A13" s="3003" t="s">
        <v>2871</v>
      </c>
      <c r="B13" s="3001" t="s">
        <v>2843</v>
      </c>
      <c r="C13" s="3001" t="s">
        <v>2844</v>
      </c>
      <c r="D13" s="3001" t="s">
        <v>2856</v>
      </c>
      <c r="E13" s="2997" t="s">
        <v>2870</v>
      </c>
      <c r="F13" s="2997" t="s">
        <v>2849</v>
      </c>
      <c r="G13" s="3001" t="s">
        <v>2857</v>
      </c>
      <c r="H13" s="3001" t="s">
        <v>2858</v>
      </c>
      <c r="I13" s="3001" t="s">
        <v>2859</v>
      </c>
    </row>
    <row r="14" spans="1:9" ht="16.5">
      <c r="A14" s="3004" t="s">
        <v>2869</v>
      </c>
      <c r="B14" s="3001">
        <f>结果表!L38</f>
        <v>217672.19</v>
      </c>
      <c r="C14" s="3001">
        <f>结果表!K38</f>
        <v>67772.100000000006</v>
      </c>
      <c r="D14" s="3001">
        <f ca="1">结果表!C42</f>
        <v>51038</v>
      </c>
      <c r="E14" s="3001">
        <f ca="1">ROUND(D14*10000/B14,0)</f>
        <v>2345</v>
      </c>
      <c r="F14" s="3001">
        <f ca="1">ROUND(D14*10000/C14,0)</f>
        <v>7531</v>
      </c>
      <c r="G14" s="3001">
        <f ca="1">结果表!C44</f>
        <v>51038</v>
      </c>
      <c r="H14" s="3001" t="str">
        <f>结果表!C45</f>
        <v>——</v>
      </c>
      <c r="I14" s="3001" t="str">
        <f>结果表!C46</f>
        <v>——</v>
      </c>
    </row>
    <row r="15" spans="1:9" ht="16.5">
      <c r="A15" s="3004" t="s">
        <v>2860</v>
      </c>
      <c r="B15" s="3005"/>
      <c r="C15" s="3005"/>
      <c r="D15" s="3005"/>
      <c r="E15" s="3001" t="e">
        <f t="shared" ref="E15:E23" si="2">ROUND(D15*10000/B15,0)</f>
        <v>#DIV/0!</v>
      </c>
      <c r="F15" s="3001" t="e">
        <f t="shared" ref="F15:F23" si="3">ROUND(D15*10000/C15,0)</f>
        <v>#DIV/0!</v>
      </c>
      <c r="G15" s="3002"/>
      <c r="H15" s="3002"/>
      <c r="I15" s="3005"/>
    </row>
    <row r="16" spans="1:9" ht="16.5">
      <c r="A16" s="3004" t="s">
        <v>2861</v>
      </c>
      <c r="B16" s="3005"/>
      <c r="C16" s="3005"/>
      <c r="D16" s="3005"/>
      <c r="E16" s="3001" t="e">
        <f t="shared" si="2"/>
        <v>#DIV/0!</v>
      </c>
      <c r="F16" s="3001" t="e">
        <f t="shared" si="3"/>
        <v>#DIV/0!</v>
      </c>
      <c r="G16" s="3002"/>
      <c r="H16" s="3002"/>
      <c r="I16" s="3005"/>
    </row>
    <row r="17" spans="1:9" ht="16.5">
      <c r="A17" s="3004" t="s">
        <v>2862</v>
      </c>
      <c r="B17" s="3005"/>
      <c r="C17" s="3005"/>
      <c r="D17" s="3005"/>
      <c r="E17" s="3001" t="e">
        <f t="shared" si="2"/>
        <v>#DIV/0!</v>
      </c>
      <c r="F17" s="3001" t="e">
        <f t="shared" si="3"/>
        <v>#DIV/0!</v>
      </c>
      <c r="G17" s="3002"/>
      <c r="H17" s="3002"/>
      <c r="I17" s="3005"/>
    </row>
    <row r="18" spans="1:9" ht="16.5">
      <c r="A18" s="3004" t="s">
        <v>2863</v>
      </c>
      <c r="B18" s="3005"/>
      <c r="C18" s="3005"/>
      <c r="D18" s="3005"/>
      <c r="E18" s="3001" t="e">
        <f t="shared" si="2"/>
        <v>#DIV/0!</v>
      </c>
      <c r="F18" s="3001" t="e">
        <f t="shared" si="3"/>
        <v>#DIV/0!</v>
      </c>
      <c r="G18" s="3005"/>
      <c r="H18" s="3005"/>
      <c r="I18" s="3005"/>
    </row>
    <row r="19" spans="1:9" ht="16.5">
      <c r="A19" s="3004" t="s">
        <v>2864</v>
      </c>
      <c r="B19" s="3005"/>
      <c r="C19" s="3005"/>
      <c r="D19" s="3005"/>
      <c r="E19" s="3001" t="e">
        <f t="shared" si="2"/>
        <v>#DIV/0!</v>
      </c>
      <c r="F19" s="3001" t="e">
        <f t="shared" si="3"/>
        <v>#DIV/0!</v>
      </c>
      <c r="G19" s="3005"/>
      <c r="H19" s="3005"/>
      <c r="I19" s="3005"/>
    </row>
    <row r="20" spans="1:9" ht="16.5">
      <c r="A20" s="3004" t="s">
        <v>2865</v>
      </c>
      <c r="B20" s="3005"/>
      <c r="C20" s="3005"/>
      <c r="D20" s="3005"/>
      <c r="E20" s="3001" t="e">
        <f t="shared" si="2"/>
        <v>#DIV/0!</v>
      </c>
      <c r="F20" s="3001" t="e">
        <f t="shared" si="3"/>
        <v>#DIV/0!</v>
      </c>
      <c r="G20" s="3005"/>
      <c r="H20" s="3005"/>
      <c r="I20" s="3005"/>
    </row>
    <row r="21" spans="1:9" ht="16.5">
      <c r="A21" s="3004" t="s">
        <v>2866</v>
      </c>
      <c r="B21" s="3005"/>
      <c r="C21" s="3005"/>
      <c r="D21" s="3005"/>
      <c r="E21" s="3001" t="e">
        <f t="shared" si="2"/>
        <v>#DIV/0!</v>
      </c>
      <c r="F21" s="3001" t="e">
        <f t="shared" si="3"/>
        <v>#DIV/0!</v>
      </c>
      <c r="G21" s="3005"/>
      <c r="H21" s="3005"/>
      <c r="I21" s="3005"/>
    </row>
    <row r="22" spans="1:9" ht="16.5">
      <c r="A22" s="3004" t="s">
        <v>2867</v>
      </c>
      <c r="B22" s="3005"/>
      <c r="C22" s="3005"/>
      <c r="D22" s="3005"/>
      <c r="E22" s="3001" t="e">
        <f t="shared" si="2"/>
        <v>#DIV/0!</v>
      </c>
      <c r="F22" s="3001" t="e">
        <f t="shared" si="3"/>
        <v>#DIV/0!</v>
      </c>
      <c r="G22" s="3005"/>
      <c r="H22" s="3005"/>
      <c r="I22" s="3005"/>
    </row>
    <row r="23" spans="1:9" ht="16.5">
      <c r="A23" s="3004" t="s">
        <v>2868</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M20" sqref="M20"/>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19" t="str">
        <f>项目基本情况!K2</f>
        <v>柳州市出让国有建设用地使用权</v>
      </c>
      <c r="B2" s="3320"/>
      <c r="C2" s="3321"/>
      <c r="D2" s="3321"/>
      <c r="E2" s="3321"/>
      <c r="F2" s="3321"/>
      <c r="G2" s="3320"/>
      <c r="H2" s="3320"/>
      <c r="I2" s="3322"/>
      <c r="J2" s="2015"/>
      <c r="K2" s="2014"/>
      <c r="L2" s="2014"/>
      <c r="M2" s="2014"/>
      <c r="N2" s="2014"/>
      <c r="O2" s="2014"/>
      <c r="P2" s="2014"/>
      <c r="Q2" s="2014"/>
      <c r="R2" s="2014"/>
      <c r="S2" s="2014"/>
      <c r="T2" s="2014"/>
      <c r="U2" s="2014"/>
      <c r="V2" s="2014"/>
    </row>
    <row r="3" spans="1:22" ht="14.25">
      <c r="A3" s="3312" t="s">
        <v>298</v>
      </c>
      <c r="B3" s="3313"/>
      <c r="C3" s="3313"/>
      <c r="D3" s="3313"/>
      <c r="E3" s="3313"/>
      <c r="F3" s="3313"/>
      <c r="G3" s="3313"/>
      <c r="H3" s="3313"/>
      <c r="I3" s="3313"/>
      <c r="J3" s="2015"/>
      <c r="K3" s="2014"/>
      <c r="L3" s="2014"/>
      <c r="M3" s="2014"/>
      <c r="N3" s="2014"/>
      <c r="O3" s="2014"/>
      <c r="P3" s="2014"/>
      <c r="Q3" s="2014"/>
      <c r="R3" s="2014"/>
      <c r="S3" s="2014"/>
      <c r="T3" s="2014"/>
      <c r="U3" s="2014"/>
      <c r="V3" s="2014"/>
    </row>
    <row r="4" spans="1:22" ht="14.25">
      <c r="A4" s="258" t="s">
        <v>299</v>
      </c>
      <c r="B4" s="259" t="s">
        <v>300</v>
      </c>
      <c r="C4" s="260" t="s">
        <v>3199</v>
      </c>
      <c r="D4" s="260" t="s">
        <v>3200</v>
      </c>
      <c r="E4" s="3284" t="s">
        <v>301</v>
      </c>
      <c r="F4" s="3285"/>
      <c r="G4" s="3285"/>
      <c r="H4" s="3285"/>
      <c r="I4" s="3314"/>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283" t="s">
        <v>302</v>
      </c>
      <c r="B5" s="3309">
        <v>25</v>
      </c>
      <c r="C5" s="3307"/>
      <c r="D5" s="3311"/>
      <c r="E5" s="261" t="s">
        <v>303</v>
      </c>
      <c r="F5" s="262"/>
      <c r="G5" s="262"/>
      <c r="H5" s="262"/>
      <c r="I5" s="263"/>
      <c r="J5" s="2015"/>
      <c r="K5" s="2014"/>
      <c r="L5" s="2014"/>
      <c r="M5" s="2014"/>
      <c r="N5" s="2014"/>
      <c r="O5" s="2014"/>
      <c r="P5" s="2014"/>
      <c r="Q5" s="2014"/>
      <c r="R5" s="2014"/>
      <c r="S5" s="2014"/>
      <c r="T5" s="2014"/>
      <c r="U5" s="2014"/>
      <c r="V5" s="2014"/>
    </row>
    <row r="6" spans="1:22" ht="14.25">
      <c r="A6" s="3283"/>
      <c r="B6" s="3309"/>
      <c r="C6" s="3310"/>
      <c r="D6" s="3311"/>
      <c r="E6" s="261" t="s">
        <v>304</v>
      </c>
      <c r="F6" s="262"/>
      <c r="G6" s="262"/>
      <c r="H6" s="262"/>
      <c r="I6" s="263"/>
      <c r="J6" s="2015"/>
      <c r="K6" s="2014"/>
      <c r="L6" s="2014"/>
      <c r="M6" s="2014"/>
      <c r="N6" s="2014"/>
      <c r="O6" s="2014"/>
      <c r="P6" s="2014"/>
      <c r="Q6" s="2014"/>
      <c r="R6" s="2014"/>
      <c r="S6" s="2014"/>
      <c r="T6" s="2014"/>
      <c r="U6" s="2014"/>
      <c r="V6" s="2014"/>
    </row>
    <row r="7" spans="1:22" ht="14.25">
      <c r="A7" s="3283"/>
      <c r="B7" s="3309"/>
      <c r="C7" s="3308"/>
      <c r="D7" s="3311"/>
      <c r="E7" s="261" t="s">
        <v>305</v>
      </c>
      <c r="F7" s="262"/>
      <c r="G7" s="262"/>
      <c r="H7" s="262"/>
      <c r="I7" s="263"/>
      <c r="J7" s="2015"/>
      <c r="K7" s="2014"/>
      <c r="L7" s="2014"/>
      <c r="M7" s="2014"/>
      <c r="N7" s="2014"/>
      <c r="O7" s="2014"/>
      <c r="P7" s="2014"/>
      <c r="Q7" s="2014"/>
      <c r="R7" s="2014"/>
      <c r="S7" s="2014"/>
      <c r="T7" s="2014"/>
      <c r="U7" s="2014"/>
      <c r="V7" s="2014"/>
    </row>
    <row r="8" spans="1:22" ht="14.25">
      <c r="A8" s="3283" t="s">
        <v>306</v>
      </c>
      <c r="B8" s="3309">
        <v>15</v>
      </c>
      <c r="C8" s="3307"/>
      <c r="D8" s="3311"/>
      <c r="E8" s="261" t="s">
        <v>307</v>
      </c>
      <c r="F8" s="262"/>
      <c r="G8" s="262"/>
      <c r="H8" s="262"/>
      <c r="I8" s="263"/>
      <c r="J8" s="2015"/>
      <c r="K8" s="2014"/>
      <c r="L8" s="2014"/>
      <c r="M8" s="2014"/>
      <c r="N8" s="2014"/>
      <c r="O8" s="2014"/>
      <c r="P8" s="2014"/>
      <c r="Q8" s="2014"/>
      <c r="R8" s="2014"/>
      <c r="S8" s="2014"/>
      <c r="T8" s="2014"/>
      <c r="U8" s="2014"/>
      <c r="V8" s="2014"/>
    </row>
    <row r="9" spans="1:22" ht="14.25">
      <c r="A9" s="3283"/>
      <c r="B9" s="3309"/>
      <c r="C9" s="3308"/>
      <c r="D9" s="3311"/>
      <c r="E9" s="261" t="s">
        <v>308</v>
      </c>
      <c r="F9" s="262"/>
      <c r="G9" s="262"/>
      <c r="H9" s="262"/>
      <c r="I9" s="263"/>
      <c r="J9" s="2015"/>
      <c r="K9" s="2014"/>
      <c r="L9" s="2014"/>
      <c r="M9" s="2014"/>
      <c r="N9" s="2014"/>
      <c r="O9" s="2014"/>
      <c r="P9" s="2014"/>
      <c r="Q9" s="2014"/>
      <c r="R9" s="2014"/>
      <c r="S9" s="2014"/>
      <c r="T9" s="2014"/>
      <c r="U9" s="2014"/>
      <c r="V9" s="2014"/>
    </row>
    <row r="10" spans="1:22" ht="14.25">
      <c r="A10" s="3283" t="s">
        <v>309</v>
      </c>
      <c r="B10" s="3309">
        <v>15</v>
      </c>
      <c r="C10" s="3307"/>
      <c r="D10" s="3311"/>
      <c r="E10" s="261" t="s">
        <v>310</v>
      </c>
      <c r="F10" s="262"/>
      <c r="G10" s="262"/>
      <c r="H10" s="262"/>
      <c r="I10" s="263"/>
      <c r="J10" s="2015"/>
      <c r="K10" s="2014"/>
      <c r="L10" s="2014"/>
      <c r="M10" s="2014"/>
      <c r="N10" s="2014"/>
      <c r="O10" s="2014"/>
      <c r="P10" s="2014"/>
      <c r="Q10" s="2014"/>
      <c r="R10" s="2014"/>
      <c r="S10" s="2014"/>
      <c r="T10" s="2014"/>
      <c r="U10" s="2014"/>
      <c r="V10" s="2014"/>
    </row>
    <row r="11" spans="1:22" ht="14.25">
      <c r="A11" s="3283"/>
      <c r="B11" s="3309"/>
      <c r="C11" s="3308"/>
      <c r="D11" s="3311"/>
      <c r="E11" s="261" t="s">
        <v>311</v>
      </c>
      <c r="F11" s="262"/>
      <c r="G11" s="262"/>
      <c r="H11" s="262"/>
      <c r="I11" s="263"/>
      <c r="J11" s="2015"/>
      <c r="K11" s="2014"/>
      <c r="L11" s="2014"/>
      <c r="M11" s="2014"/>
      <c r="N11" s="2014"/>
      <c r="O11" s="2014"/>
      <c r="P11" s="2014"/>
      <c r="Q11" s="2014"/>
      <c r="R11" s="2014"/>
      <c r="S11" s="2014"/>
      <c r="T11" s="2014"/>
      <c r="U11" s="2014"/>
      <c r="V11" s="2014"/>
    </row>
    <row r="12" spans="1:22" ht="14.25">
      <c r="A12" s="3283" t="s">
        <v>312</v>
      </c>
      <c r="B12" s="3309">
        <v>15</v>
      </c>
      <c r="C12" s="3307"/>
      <c r="D12" s="3311"/>
      <c r="E12" s="261" t="s">
        <v>313</v>
      </c>
      <c r="F12" s="262"/>
      <c r="G12" s="262"/>
      <c r="H12" s="262"/>
      <c r="I12" s="263"/>
      <c r="J12" s="2015"/>
      <c r="K12" s="2014"/>
      <c r="L12" s="2014"/>
      <c r="M12" s="2014"/>
      <c r="N12" s="2014"/>
      <c r="O12" s="2014"/>
      <c r="P12" s="2014"/>
      <c r="Q12" s="2014"/>
      <c r="R12" s="2014"/>
      <c r="S12" s="2014"/>
      <c r="T12" s="2014"/>
      <c r="U12" s="2014"/>
      <c r="V12" s="2014"/>
    </row>
    <row r="13" spans="1:22" ht="14.25">
      <c r="A13" s="3283"/>
      <c r="B13" s="3309"/>
      <c r="C13" s="3308"/>
      <c r="D13" s="3311"/>
      <c r="E13" s="261" t="s">
        <v>314</v>
      </c>
      <c r="F13" s="262"/>
      <c r="G13" s="262"/>
      <c r="H13" s="262"/>
      <c r="I13" s="263"/>
      <c r="J13" s="2015"/>
      <c r="K13" s="2014"/>
      <c r="L13" s="2014"/>
      <c r="M13" s="2014"/>
      <c r="N13" s="2014"/>
      <c r="O13" s="2014"/>
      <c r="P13" s="2014"/>
      <c r="Q13" s="2014"/>
      <c r="R13" s="2014"/>
      <c r="S13" s="2014"/>
      <c r="T13" s="2014"/>
      <c r="U13" s="2014"/>
      <c r="V13" s="2014"/>
    </row>
    <row r="14" spans="1:22" ht="14.25">
      <c r="A14" s="3283" t="s">
        <v>315</v>
      </c>
      <c r="B14" s="3309">
        <v>30</v>
      </c>
      <c r="C14" s="3307">
        <v>5</v>
      </c>
      <c r="D14" s="3311">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283"/>
      <c r="B15" s="3309"/>
      <c r="C15" s="3310"/>
      <c r="D15" s="3311"/>
      <c r="E15" s="261" t="s">
        <v>317</v>
      </c>
      <c r="F15" s="262"/>
      <c r="G15" s="262"/>
      <c r="H15" s="262"/>
      <c r="I15" s="263"/>
      <c r="J15" s="2015"/>
      <c r="K15" s="2014"/>
      <c r="L15" s="2014"/>
      <c r="M15" s="2014"/>
      <c r="N15" s="2014"/>
      <c r="O15" s="2014"/>
      <c r="P15" s="2014"/>
      <c r="Q15" s="2014"/>
      <c r="R15" s="2014"/>
      <c r="S15" s="2014"/>
      <c r="T15" s="2014"/>
      <c r="U15" s="2014"/>
      <c r="V15" s="2014"/>
    </row>
    <row r="16" spans="1:22" ht="14.25">
      <c r="A16" s="3283"/>
      <c r="B16" s="3309"/>
      <c r="C16" s="3308"/>
      <c r="D16" s="3311"/>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51386</v>
      </c>
      <c r="D19" s="271">
        <f ca="1">SUMIF(INDIRECT("'"&amp;D4&amp;"'"&amp;"!A:A"),结果表!B19,INDIRECT("'"&amp;D4&amp;"'"&amp;"!B:B"))</f>
        <v>50690</v>
      </c>
      <c r="E19" s="268" t="s">
        <v>323</v>
      </c>
      <c r="F19" s="269" t="s">
        <v>322</v>
      </c>
      <c r="G19" s="272">
        <f ca="1">ROUND(C19*$C$18+D19*$D$18,0)</f>
        <v>51038</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2361</v>
      </c>
      <c r="D20" s="277">
        <f ca="1">SUMIF(INDIRECT("'"&amp;D4&amp;"'"&amp;"!A:A"),结果表!B20,INDIRECT("'"&amp;D4&amp;"'"&amp;"!B:B"))</f>
        <v>2329</v>
      </c>
      <c r="E20" s="274"/>
      <c r="F20" s="275" t="s">
        <v>325</v>
      </c>
      <c r="G20" s="278">
        <f ca="1">ROUND(C20*$C$18+D20*$D$18,0)</f>
        <v>2345</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7582</v>
      </c>
      <c r="D21" s="151">
        <f ca="1">SUMIF(INDIRECT("'"&amp;D4&amp;"'"&amp;"!A:A"),结果表!B21,INDIRECT("'"&amp;D4&amp;"'"&amp;"!B:B"))</f>
        <v>7479</v>
      </c>
      <c r="E21" s="274"/>
      <c r="F21" s="280" t="s">
        <v>327</v>
      </c>
      <c r="G21" s="282">
        <f ca="1">ROUND(C21*$C$18+D21*$D$18,0)</f>
        <v>7531</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1.3730518840007866E-2</v>
      </c>
      <c r="E22" s="284"/>
      <c r="F22" s="285"/>
      <c r="G22" s="286">
        <f ca="1">ROUND(G19/('数据-汇总表'!D3/666.67),0)</f>
        <v>502</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89"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290"/>
      <c r="B25" s="1317" t="s">
        <v>331</v>
      </c>
      <c r="C25" s="290">
        <f>IF(B30=0,0,C30)</f>
        <v>0</v>
      </c>
      <c r="D25" s="291"/>
      <c r="E25" s="311"/>
      <c r="F25" s="311"/>
      <c r="G25" s="311"/>
      <c r="H25" s="311"/>
      <c r="I25" s="311"/>
      <c r="J25" s="2014"/>
      <c r="K25" s="1251" t="str">
        <f ca="1">项目基本情况!B16&amp;"国有建设用地使用权价格："&amp;O38&amp;"万元"</f>
        <v>出让国有建设用地使用权价格：51038万元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大写金额：人民币伍亿壹仟零叁拾捌万元整</v>
      </c>
      <c r="L26" s="1248"/>
      <c r="M26" s="1248"/>
      <c r="N26" s="1248"/>
      <c r="O26" s="1247"/>
      <c r="P26" s="2014"/>
      <c r="Q26" s="2014"/>
      <c r="R26" s="2014"/>
      <c r="S26" s="2014"/>
      <c r="T26" s="2014"/>
      <c r="U26" s="2014"/>
      <c r="V26" s="2014"/>
      <c r="W26" s="292"/>
      <c r="X26" s="292"/>
      <c r="Y26" s="292"/>
      <c r="Z26" s="292"/>
    </row>
    <row r="27" spans="1:26" ht="18">
      <c r="A27" s="293"/>
      <c r="B27" s="294"/>
      <c r="C27" s="294"/>
      <c r="D27" s="295">
        <f ca="1">G19/'数据-汇总表'!F31*10000</f>
        <v>3274.2728619311929</v>
      </c>
      <c r="E27" s="311"/>
      <c r="F27" s="311"/>
      <c r="G27" s="311"/>
      <c r="H27" s="311"/>
      <c r="I27" s="311"/>
      <c r="J27" s="2014"/>
      <c r="K27" s="1254" t="str">
        <f ca="1">"单位面积地价："&amp;M38&amp;"元/平方米"</f>
        <v>单位面积地价：7531元/平方米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楼面地价：2345元/平方米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抵押价格：51038万元</v>
      </c>
      <c r="L29" s="1248"/>
      <c r="M29" s="1248"/>
      <c r="N29" s="1248"/>
      <c r="O29" s="1247"/>
      <c r="P29" s="2014"/>
      <c r="V29" s="2014"/>
    </row>
    <row r="30" spans="1:26" ht="18.75" thickBot="1">
      <c r="A30" s="3082" t="s">
        <v>336</v>
      </c>
      <c r="B30" s="309"/>
      <c r="C30" s="309"/>
      <c r="D30" s="310"/>
      <c r="E30" s="3083" t="s">
        <v>2968</v>
      </c>
      <c r="F30" s="311"/>
      <c r="G30" s="311"/>
      <c r="H30" s="311"/>
      <c r="I30" s="311"/>
      <c r="J30" s="2014"/>
      <c r="K30" s="1254" t="str">
        <f ca="1">IF(K29="——","——","大写金额：人民币"&amp;NUMBERSTRING(INT(O39*10000),2)&amp;"元整")</f>
        <v>大写金额：人民币伍亿壹仟零叁拾捌万元整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51038</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2345</v>
      </c>
      <c r="D33" s="1382" t="s">
        <v>1691</v>
      </c>
      <c r="E33" s="3289"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7531</v>
      </c>
      <c r="D34" s="1384" t="s">
        <v>1691</v>
      </c>
      <c r="E34" s="3330"/>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502</v>
      </c>
      <c r="D35" s="1387" t="s">
        <v>1693</v>
      </c>
      <c r="E35" s="3331"/>
      <c r="F35" s="301" t="s">
        <v>342</v>
      </c>
      <c r="G35" s="982"/>
      <c r="H35" s="981" t="s">
        <v>343</v>
      </c>
      <c r="I35" s="311"/>
      <c r="J35" s="2014"/>
      <c r="K35" s="3304" t="s">
        <v>350</v>
      </c>
      <c r="L35" s="3304" t="s">
        <v>351</v>
      </c>
      <c r="M35" s="1260" t="s">
        <v>352</v>
      </c>
      <c r="N35" s="3304" t="s">
        <v>353</v>
      </c>
      <c r="O35" s="3304" t="s">
        <v>354</v>
      </c>
      <c r="P35" s="2014"/>
      <c r="V35" s="2014"/>
    </row>
    <row r="36" spans="1:26" ht="16.5" customHeight="1">
      <c r="A36" s="303" t="s">
        <v>344</v>
      </c>
      <c r="B36" s="304" t="s">
        <v>333</v>
      </c>
      <c r="C36" s="305" t="s">
        <v>345</v>
      </c>
      <c r="D36" s="305" t="s">
        <v>346</v>
      </c>
      <c r="E36" s="306" t="s">
        <v>347</v>
      </c>
      <c r="F36" s="311"/>
      <c r="G36" s="311"/>
      <c r="H36" s="311"/>
      <c r="I36" s="311"/>
      <c r="J36" s="2016"/>
      <c r="K36" s="3305"/>
      <c r="L36" s="3305"/>
      <c r="M36" s="1262" t="s">
        <v>355</v>
      </c>
      <c r="N36" s="3305"/>
      <c r="O36" s="3305"/>
      <c r="P36" s="2014"/>
      <c r="V36" s="2014"/>
    </row>
    <row r="37" spans="1:26" ht="16.5" customHeight="1" thickBot="1">
      <c r="A37" s="1256" t="s">
        <v>348</v>
      </c>
      <c r="B37" s="307"/>
      <c r="C37" s="294"/>
      <c r="D37" s="294"/>
      <c r="E37" s="295"/>
      <c r="F37" s="311"/>
      <c r="G37" s="311"/>
      <c r="H37" s="311"/>
      <c r="I37" s="311"/>
      <c r="J37" s="2016"/>
      <c r="K37" s="3306"/>
      <c r="L37" s="3306"/>
      <c r="M37" s="1263"/>
      <c r="N37" s="3306"/>
      <c r="O37" s="3306"/>
      <c r="P37" s="2014"/>
      <c r="V37" s="2014"/>
    </row>
    <row r="38" spans="1:26" ht="16.5" customHeight="1" thickBot="1">
      <c r="A38" s="1256" t="s">
        <v>349</v>
      </c>
      <c r="B38" s="307"/>
      <c r="C38" s="294"/>
      <c r="D38" s="294"/>
      <c r="E38" s="295"/>
      <c r="F38" s="311"/>
      <c r="G38" s="311"/>
      <c r="H38" s="311"/>
      <c r="I38" s="311"/>
      <c r="J38" s="2016"/>
      <c r="K38" s="1264">
        <f>'数据-汇总表'!D3</f>
        <v>67772.100000000006</v>
      </c>
      <c r="L38" s="1265">
        <f>'数据-汇总表'!E3</f>
        <v>217672.19</v>
      </c>
      <c r="M38" s="1265">
        <f ca="1">C34</f>
        <v>7531</v>
      </c>
      <c r="N38" s="1265">
        <f ca="1">C33</f>
        <v>2345</v>
      </c>
      <c r="O38" s="1266">
        <f ca="1">C32</f>
        <v>51038</v>
      </c>
      <c r="P38" s="2014"/>
      <c r="V38" s="2014"/>
    </row>
    <row r="39" spans="1:26" ht="16.5" customHeight="1" thickBot="1">
      <c r="A39" s="1261"/>
      <c r="B39" s="308"/>
      <c r="C39" s="309"/>
      <c r="D39" s="309"/>
      <c r="E39" s="310"/>
      <c r="F39" s="311"/>
      <c r="G39" s="311"/>
      <c r="H39" s="311"/>
      <c r="I39" s="311"/>
      <c r="J39" s="2016"/>
      <c r="K39" s="3349" t="str">
        <f>MID(A44,3,LEN(A44)-2)</f>
        <v>抵押价格</v>
      </c>
      <c r="L39" s="3350"/>
      <c r="M39" s="3350"/>
      <c r="N39" s="3351"/>
      <c r="O39" s="1389">
        <f ca="1">C44</f>
        <v>51038</v>
      </c>
      <c r="P39" s="2014"/>
      <c r="V39" s="2014"/>
    </row>
    <row r="40" spans="1:26" ht="19.5" thickBot="1">
      <c r="A40" s="104" t="s">
        <v>873</v>
      </c>
      <c r="B40" s="311"/>
      <c r="C40" s="311"/>
      <c r="D40" s="311"/>
      <c r="E40" s="311"/>
      <c r="F40" s="311"/>
      <c r="G40" s="311"/>
      <c r="H40" s="311"/>
      <c r="I40" s="311"/>
      <c r="J40" s="2016"/>
      <c r="K40" s="3349" t="str">
        <f t="shared" ref="K40:K41" si="0">MID(A45,3,LEN(A45)-2)</f>
        <v/>
      </c>
      <c r="L40" s="3350"/>
      <c r="M40" s="3350"/>
      <c r="N40" s="3351"/>
      <c r="O40" s="1389" t="str">
        <f>C45</f>
        <v>——</v>
      </c>
      <c r="P40" s="2014"/>
      <c r="V40" s="2014"/>
    </row>
    <row r="41" spans="1:26" ht="16.5" thickBot="1">
      <c r="A41" s="312" t="s">
        <v>356</v>
      </c>
      <c r="B41" s="313"/>
      <c r="C41" s="314" t="s">
        <v>357</v>
      </c>
      <c r="D41" s="315" t="s">
        <v>358</v>
      </c>
      <c r="E41" s="315" t="s">
        <v>359</v>
      </c>
      <c r="F41" s="316" t="s">
        <v>360</v>
      </c>
      <c r="G41" s="311"/>
      <c r="H41" s="311"/>
      <c r="I41" s="311"/>
      <c r="J41" s="2016"/>
      <c r="K41" s="3349" t="str">
        <f t="shared" si="0"/>
        <v/>
      </c>
      <c r="L41" s="3350"/>
      <c r="M41" s="3350"/>
      <c r="N41" s="3351"/>
      <c r="O41" s="1389" t="str">
        <f>C46</f>
        <v>——</v>
      </c>
      <c r="P41" s="2014"/>
      <c r="V41" s="2014"/>
    </row>
    <row r="42" spans="1:26" ht="29.25">
      <c r="A42" s="3291" t="s">
        <v>2067</v>
      </c>
      <c r="B42" s="3292"/>
      <c r="C42" s="264">
        <f ca="1">C32</f>
        <v>51038</v>
      </c>
      <c r="D42" s="317">
        <f ca="1">C33</f>
        <v>2345</v>
      </c>
      <c r="E42" s="317">
        <f ca="1">C34</f>
        <v>7531</v>
      </c>
      <c r="F42" s="318">
        <f ca="1">C35</f>
        <v>502</v>
      </c>
      <c r="G42" s="311"/>
      <c r="H42" s="311"/>
      <c r="I42" s="319"/>
      <c r="J42" s="2016"/>
      <c r="K42" s="1267" t="s">
        <v>361</v>
      </c>
      <c r="L42" s="2033" t="s">
        <v>362</v>
      </c>
      <c r="M42" s="1268" t="s">
        <v>363</v>
      </c>
      <c r="N42" s="2034" t="s">
        <v>364</v>
      </c>
      <c r="O42" s="2035" t="s">
        <v>365</v>
      </c>
      <c r="P42" s="2014"/>
      <c r="V42" s="2014"/>
    </row>
    <row r="43" spans="1:26" ht="30">
      <c r="A43" s="3302" t="s">
        <v>2729</v>
      </c>
      <c r="B43" s="3303"/>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51386</v>
      </c>
      <c r="M43" s="1271">
        <f>C18</f>
        <v>0.5</v>
      </c>
      <c r="N43" s="1272">
        <f ca="1">IF(N42="测算结果/万元",G19,G20)</f>
        <v>51038</v>
      </c>
      <c r="O43" s="1273">
        <f ca="1">IF(O42="最终结果/万元",C32,C33)</f>
        <v>51038</v>
      </c>
      <c r="P43" s="2014"/>
      <c r="V43" s="2014"/>
    </row>
    <row r="44" spans="1:26" ht="30.75" thickBot="1">
      <c r="A44" s="3291" t="str">
        <f>IF(OR(项目基本情况!E8="抵押价格",项目基本情况!E8="已注销及未注销"),"3.抵押价格","——")</f>
        <v>3.抵押价格</v>
      </c>
      <c r="B44" s="3292"/>
      <c r="C44" s="264">
        <f ca="1">IF(A44="——","——",C42-C43)</f>
        <v>51038</v>
      </c>
      <c r="D44" s="317">
        <f ca="1">ROUND(C44*10000/'数据-汇总表'!E3,0)</f>
        <v>2345</v>
      </c>
      <c r="E44" s="317">
        <f ca="1">ROUND(C44*10000/'数据-汇总表'!D3,0)</f>
        <v>7531</v>
      </c>
      <c r="F44" s="318">
        <f ca="1">ROUND(C44/('数据-汇总表'!D3/666.67),0)</f>
        <v>502</v>
      </c>
      <c r="G44" s="311"/>
      <c r="H44" s="311"/>
      <c r="I44" s="319"/>
      <c r="J44" s="2016"/>
      <c r="K44" s="1274" t="str">
        <f>D4</f>
        <v>剩余法-待开发</v>
      </c>
      <c r="L44" s="1275">
        <f ca="1">IF(L42="估价结果/万元",D19,D20)</f>
        <v>50690</v>
      </c>
      <c r="M44" s="1276">
        <f>D18</f>
        <v>0.5</v>
      </c>
      <c r="N44" s="1277"/>
      <c r="O44" s="1278"/>
      <c r="P44" s="2014"/>
      <c r="V44" s="2014"/>
    </row>
    <row r="45" spans="1:26" ht="15">
      <c r="A45" s="3297" t="str">
        <f>IF(项目基本情况!E8="已注销及未注销","4.抵押担保权已注销时的抵押价格",IF(项目基本情况!E8="已注销","3.抵押担保权已注销时的抵押价格","——"))</f>
        <v>——</v>
      </c>
      <c r="B45" s="3298"/>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293" t="str">
        <f>IF(项目基本情况!E9="抵押净值",IF(A45="——","4.抵押净值","5.抵押净值"),"——")</f>
        <v>——</v>
      </c>
      <c r="B46" s="3294"/>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38" t="s">
        <v>374</v>
      </c>
      <c r="B63" s="3339"/>
      <c r="C63" s="3340"/>
      <c r="D63" s="341">
        <f ca="1">ROUND(C42*F63,0)</f>
        <v>30623</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299" t="s">
        <v>378</v>
      </c>
      <c r="B64" s="3300"/>
      <c r="C64" s="3300"/>
      <c r="D64" s="3300"/>
      <c r="E64" s="3300"/>
      <c r="F64" s="3300"/>
      <c r="G64" s="3301"/>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295" t="s">
        <v>386</v>
      </c>
      <c r="B66" s="3296"/>
      <c r="C66" s="3296"/>
      <c r="D66" s="261">
        <f ca="1">IF(H66="情况1",0,IF(H66="情况2",D70,IF(H66="情况3",D71,IF(H66="情况4",D72))))</f>
        <v>1633</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53" t="s">
        <v>385</v>
      </c>
      <c r="M66" s="3354"/>
      <c r="N66" s="2423"/>
      <c r="O66" s="2424"/>
      <c r="P66" s="2425"/>
      <c r="Q66" s="2014"/>
      <c r="R66" s="2014"/>
      <c r="S66" s="2014"/>
      <c r="T66" s="2014"/>
      <c r="U66" s="2014"/>
      <c r="V66" s="2014"/>
    </row>
    <row r="67" spans="1:22" ht="25.5" customHeight="1">
      <c r="A67" s="352" t="s">
        <v>390</v>
      </c>
      <c r="B67" s="3286" t="s">
        <v>391</v>
      </c>
      <c r="C67" s="3286"/>
      <c r="D67" s="353">
        <v>0</v>
      </c>
      <c r="E67" s="41" t="s">
        <v>392</v>
      </c>
      <c r="F67" s="62" t="s">
        <v>21</v>
      </c>
      <c r="G67" s="3341"/>
      <c r="H67" s="311"/>
      <c r="I67" s="1288"/>
      <c r="J67" s="2021"/>
      <c r="K67" s="1962">
        <v>2</v>
      </c>
      <c r="L67" s="3352" t="s">
        <v>389</v>
      </c>
      <c r="M67" s="3352"/>
      <c r="N67" s="1321">
        <f>'数据-取费表'!B2</f>
        <v>43698</v>
      </c>
      <c r="O67" s="1321"/>
      <c r="P67" s="1321"/>
      <c r="Q67" s="2014"/>
      <c r="R67" s="2014"/>
      <c r="S67" s="2014"/>
      <c r="T67" s="2014"/>
      <c r="U67" s="2014"/>
      <c r="V67" s="2014"/>
    </row>
    <row r="68" spans="1:22" ht="25.5" customHeight="1">
      <c r="A68" s="354"/>
      <c r="B68" s="3286" t="s">
        <v>394</v>
      </c>
      <c r="C68" s="3286"/>
      <c r="D68" s="355"/>
      <c r="E68" s="77"/>
      <c r="F68" s="356"/>
      <c r="G68" s="3342"/>
      <c r="H68" s="311"/>
      <c r="I68" s="1288"/>
      <c r="J68" s="2021"/>
      <c r="K68" s="1962">
        <v>3</v>
      </c>
      <c r="L68" s="3352" t="s">
        <v>393</v>
      </c>
      <c r="M68" s="3352"/>
      <c r="N68" s="1289">
        <f ca="1">C42</f>
        <v>51038</v>
      </c>
      <c r="O68" s="1289"/>
      <c r="P68" s="1289"/>
      <c r="Q68" s="2014"/>
      <c r="R68" s="2014"/>
      <c r="S68" s="2014"/>
      <c r="T68" s="2014"/>
      <c r="U68" s="2014"/>
      <c r="V68" s="2014"/>
    </row>
    <row r="69" spans="1:22" ht="12" customHeight="1">
      <c r="A69" s="357"/>
      <c r="B69" s="3286" t="s">
        <v>395</v>
      </c>
      <c r="C69" s="3286"/>
      <c r="D69" s="358"/>
      <c r="E69" s="73"/>
      <c r="F69" s="356"/>
      <c r="G69" s="3343"/>
      <c r="H69" s="311"/>
      <c r="I69" s="1288"/>
      <c r="J69" s="2021"/>
      <c r="K69" s="1290">
        <v>4</v>
      </c>
      <c r="L69" s="3357" t="s">
        <v>2882</v>
      </c>
      <c r="M69" s="3358"/>
      <c r="N69" s="1291">
        <f ca="1">C44</f>
        <v>51038</v>
      </c>
      <c r="O69" s="1291"/>
      <c r="P69" s="1291"/>
      <c r="Q69" s="2014"/>
      <c r="R69" s="2014"/>
      <c r="S69" s="2014"/>
      <c r="T69" s="2014"/>
      <c r="U69" s="2014"/>
      <c r="V69" s="2014"/>
    </row>
    <row r="70" spans="1:22" ht="24" customHeight="1">
      <c r="A70" s="359" t="s">
        <v>396</v>
      </c>
      <c r="B70" s="3286" t="s">
        <v>397</v>
      </c>
      <c r="C70" s="3286"/>
      <c r="D70" s="358">
        <f ca="1">ROUND(D63*'数据-取费表'!B41/(1+'数据-取费表'!C42),0)</f>
        <v>1633</v>
      </c>
      <c r="E70" s="17" t="s">
        <v>398</v>
      </c>
      <c r="F70" s="360">
        <f>'数据-取费表'!B41</f>
        <v>5.6000000000000001E-2</v>
      </c>
      <c r="G70" s="361"/>
      <c r="H70" s="311"/>
      <c r="I70" s="1288"/>
      <c r="J70" s="2021"/>
      <c r="K70" s="3014"/>
      <c r="L70" s="3015"/>
      <c r="M70" s="3015"/>
      <c r="N70" s="3016" t="s">
        <v>2887</v>
      </c>
      <c r="O70" s="3015"/>
      <c r="P70" s="3017"/>
      <c r="Q70" s="2014"/>
      <c r="R70" s="2014"/>
      <c r="S70" s="2014"/>
      <c r="T70" s="2014"/>
      <c r="U70" s="2014"/>
      <c r="V70" s="2014"/>
    </row>
    <row r="71" spans="1:22" ht="12" customHeight="1">
      <c r="A71" s="359" t="s">
        <v>404</v>
      </c>
      <c r="B71" s="3287" t="s">
        <v>405</v>
      </c>
      <c r="C71" s="3288"/>
      <c r="D71" s="358">
        <f ca="1">ROUND(D63*'数据-取费表'!B41/(1+'数据-取费表'!C42),0)</f>
        <v>1633</v>
      </c>
      <c r="E71" s="17" t="s">
        <v>398</v>
      </c>
      <c r="F71" s="360">
        <f>'数据-取费表'!B41</f>
        <v>5.6000000000000001E-2</v>
      </c>
      <c r="G71" s="361"/>
      <c r="H71" s="311"/>
      <c r="I71" s="1288"/>
      <c r="J71" s="2021"/>
      <c r="K71" s="3013" t="s">
        <v>399</v>
      </c>
      <c r="L71" s="3359" t="s">
        <v>400</v>
      </c>
      <c r="M71" s="3359"/>
      <c r="N71" s="3013" t="s">
        <v>401</v>
      </c>
      <c r="O71" s="3013" t="s">
        <v>402</v>
      </c>
      <c r="P71" s="3013" t="s">
        <v>403</v>
      </c>
      <c r="Q71" s="2014"/>
      <c r="R71" s="2014"/>
      <c r="S71" s="2014"/>
      <c r="T71" s="2014"/>
      <c r="U71" s="2014"/>
      <c r="V71" s="2014"/>
    </row>
    <row r="72" spans="1:22" ht="12" customHeight="1">
      <c r="A72" s="359" t="s">
        <v>407</v>
      </c>
      <c r="B72" s="3287" t="s">
        <v>408</v>
      </c>
      <c r="C72" s="3288"/>
      <c r="D72" s="358">
        <f ca="1">C86</f>
        <v>1521</v>
      </c>
      <c r="E72" s="73" t="s">
        <v>409</v>
      </c>
      <c r="F72" s="360">
        <f>'数据-取费表'!B41</f>
        <v>5.6000000000000001E-2</v>
      </c>
      <c r="G72" s="361"/>
      <c r="H72" s="1294"/>
      <c r="I72" s="1288"/>
      <c r="J72" s="2021"/>
      <c r="K72" s="1962">
        <v>1</v>
      </c>
      <c r="L72" s="3334" t="s">
        <v>406</v>
      </c>
      <c r="M72" s="3334"/>
      <c r="N72" s="1292">
        <f ca="1">D66</f>
        <v>1633</v>
      </c>
      <c r="O72" s="1845" t="str">
        <f>E66</f>
        <v>销售额×税（费）率</v>
      </c>
      <c r="P72" s="1293">
        <f>F66</f>
        <v>5.6000000000000001E-2</v>
      </c>
      <c r="Q72" s="2014"/>
      <c r="R72" s="2014"/>
      <c r="S72" s="2014"/>
      <c r="T72" s="2014"/>
      <c r="U72" s="2014"/>
      <c r="V72" s="2014"/>
    </row>
    <row r="73" spans="1:22" ht="24" customHeight="1">
      <c r="A73" s="3328" t="s">
        <v>411</v>
      </c>
      <c r="B73" s="3296"/>
      <c r="C73" s="3296"/>
      <c r="D73" s="362">
        <f>IF(H73="个人住宅",0,ROUND(D63*I73,0))</f>
        <v>0</v>
      </c>
      <c r="E73" s="17" t="s">
        <v>412</v>
      </c>
      <c r="F73" s="360" t="str">
        <f>IF(H73="正常",I73,"免征")</f>
        <v>免征</v>
      </c>
      <c r="G73" s="361"/>
      <c r="H73" s="191" t="s">
        <v>2455</v>
      </c>
      <c r="I73" s="360">
        <f>'数据-取费表'!B49</f>
        <v>5.0000000000000001E-4</v>
      </c>
      <c r="J73" s="2021"/>
      <c r="K73" s="1962">
        <v>2</v>
      </c>
      <c r="L73" s="3334" t="s">
        <v>410</v>
      </c>
      <c r="M73" s="3334"/>
      <c r="N73" s="1292">
        <f t="shared" ref="N73:P74" si="1">D73</f>
        <v>0</v>
      </c>
      <c r="O73" s="1845" t="str">
        <f t="shared" si="1"/>
        <v>销售额×税（费）率</v>
      </c>
      <c r="P73" s="1293" t="str">
        <f t="shared" si="1"/>
        <v>免征</v>
      </c>
      <c r="Q73" s="2014"/>
      <c r="R73" s="2014"/>
      <c r="S73" s="2014"/>
      <c r="T73" s="2014"/>
      <c r="U73" s="2014"/>
      <c r="V73" s="2014"/>
    </row>
    <row r="74" spans="1:22" ht="24.75">
      <c r="A74" s="3328" t="s">
        <v>415</v>
      </c>
      <c r="B74" s="3296"/>
      <c r="C74" s="3296"/>
      <c r="D74" s="362">
        <f ca="1">IF(H74="个人住宅",D75,D76)</f>
        <v>16677</v>
      </c>
      <c r="E74" s="17" t="s">
        <v>416</v>
      </c>
      <c r="F74" s="360" t="str">
        <f>IF(H74="正常",F76,"免征")</f>
        <v>——</v>
      </c>
      <c r="G74" s="983" t="s">
        <v>417</v>
      </c>
      <c r="H74" s="363" t="s">
        <v>413</v>
      </c>
      <c r="I74" s="42"/>
      <c r="J74" s="2021"/>
      <c r="K74" s="1962">
        <v>3</v>
      </c>
      <c r="L74" s="3334" t="s">
        <v>414</v>
      </c>
      <c r="M74" s="3334"/>
      <c r="N74" s="1292">
        <f t="shared" ca="1" si="1"/>
        <v>16677</v>
      </c>
      <c r="O74" s="1845" t="str">
        <f t="shared" si="1"/>
        <v>增值额×税（费）率</v>
      </c>
      <c r="P74" s="1295" t="str">
        <f t="shared" si="1"/>
        <v>——</v>
      </c>
      <c r="Q74" s="2014"/>
      <c r="R74" s="2014"/>
      <c r="S74" s="2014"/>
      <c r="T74" s="2014"/>
      <c r="U74" s="2014"/>
      <c r="V74" s="2014"/>
    </row>
    <row r="75" spans="1:22" ht="24">
      <c r="A75" s="359" t="s">
        <v>418</v>
      </c>
      <c r="B75" s="3284" t="s">
        <v>419</v>
      </c>
      <c r="C75" s="3314"/>
      <c r="D75" s="364">
        <v>0</v>
      </c>
      <c r="E75" s="41" t="s">
        <v>420</v>
      </c>
      <c r="F75" s="365"/>
      <c r="G75" s="361"/>
      <c r="H75" s="42"/>
      <c r="I75" s="42"/>
      <c r="J75" s="2021"/>
      <c r="K75" s="3006">
        <f>IF(H77="非个人房产","",4)</f>
        <v>4</v>
      </c>
      <c r="L75" s="3334" t="str">
        <f>IF(H77="非个人房产","——","个人所得税")</f>
        <v>个人所得税</v>
      </c>
      <c r="M75" s="3334"/>
      <c r="N75" s="1296">
        <f ca="1">D77</f>
        <v>306</v>
      </c>
      <c r="O75" s="1858" t="str">
        <f>E77</f>
        <v>销售额×税（费）率</v>
      </c>
      <c r="P75" s="1297">
        <f>F77</f>
        <v>0.01</v>
      </c>
      <c r="Q75" s="2014"/>
      <c r="R75" s="2014"/>
      <c r="S75" s="2014"/>
      <c r="T75" s="2014"/>
      <c r="U75" s="2014"/>
      <c r="V75" s="2014"/>
    </row>
    <row r="76" spans="1:22" ht="24.75">
      <c r="A76" s="359" t="s">
        <v>396</v>
      </c>
      <c r="B76" s="3284" t="s">
        <v>422</v>
      </c>
      <c r="C76" s="3285"/>
      <c r="D76" s="362">
        <f ca="1">IF(H76="转让取得",C99,C115)</f>
        <v>16677</v>
      </c>
      <c r="E76" s="17" t="s">
        <v>423</v>
      </c>
      <c r="F76" s="53" t="s">
        <v>21</v>
      </c>
      <c r="G76" s="361"/>
      <c r="H76" s="363" t="s">
        <v>424</v>
      </c>
      <c r="I76" s="42"/>
      <c r="J76" s="2021"/>
      <c r="K76" s="3006" t="str">
        <f>IF(项目基本情况!K6="上海银行",IF(K75="",4,K75+1),"")</f>
        <v/>
      </c>
      <c r="L76" s="3345" t="str">
        <f>IF(项目基本情况!K6="上海银行","其他处置费用","")</f>
        <v/>
      </c>
      <c r="M76" s="3346"/>
      <c r="N76" s="1292" t="str">
        <f>IF(项目基本情况!K6="上海银行",N89,"")</f>
        <v/>
      </c>
      <c r="O76" s="3347" t="str">
        <f>IF(项目基本情况!K6="上海银行","包含处置中涉及的律师、诉讼、拍卖、评估等费用","")</f>
        <v/>
      </c>
      <c r="P76" s="3348"/>
      <c r="Q76" s="2014"/>
      <c r="R76" s="2014"/>
      <c r="S76" s="2014"/>
      <c r="T76" s="2014"/>
      <c r="U76" s="2014"/>
      <c r="V76" s="2014"/>
    </row>
    <row r="77" spans="1:22" ht="26.25" thickBot="1">
      <c r="A77" s="3336" t="s">
        <v>426</v>
      </c>
      <c r="B77" s="3337"/>
      <c r="C77" s="3337"/>
      <c r="D77" s="366">
        <f ca="1">IF(H77="非个人房产","——",IF(H77="个人住宅",0,ROUND(D63*I77,0)))</f>
        <v>306</v>
      </c>
      <c r="E77" s="367" t="str">
        <f>IF(H77="非个人房产","——","销售额×税（费）率")</f>
        <v>销售额×税（费）率</v>
      </c>
      <c r="F77" s="368">
        <f>IF(H77="非个人房产","——",IF(H77="个人住宅","免征",I77))</f>
        <v>0.01</v>
      </c>
      <c r="G77" s="984" t="s">
        <v>417</v>
      </c>
      <c r="H77" s="363" t="s">
        <v>2883</v>
      </c>
      <c r="I77" s="369">
        <v>0.01</v>
      </c>
      <c r="J77" s="2021"/>
      <c r="K77" s="3335">
        <f>IF(AND(K75="",K76=""),4,IF(项目基本情况!K6="上海银行",K76+1,K75+1))</f>
        <v>5</v>
      </c>
      <c r="L77" s="3334" t="s">
        <v>2884</v>
      </c>
      <c r="M77" s="3012" t="s">
        <v>421</v>
      </c>
      <c r="N77" s="1298"/>
      <c r="O77" s="1299">
        <f ca="1">SUMIF(N72:N76,"&lt;9e307")</f>
        <v>18616</v>
      </c>
      <c r="P77" s="1300"/>
      <c r="Q77" s="3010">
        <f ca="1">O77/N69</f>
        <v>0.36474783494651042</v>
      </c>
      <c r="R77" s="2014"/>
      <c r="S77" s="2014"/>
      <c r="T77" s="2014"/>
      <c r="U77" s="2014"/>
      <c r="V77" s="2014"/>
    </row>
    <row r="78" spans="1:22" ht="12" customHeight="1">
      <c r="A78" s="1301"/>
      <c r="B78" s="311"/>
      <c r="C78" s="311"/>
      <c r="D78" s="311"/>
      <c r="E78" s="42"/>
      <c r="F78" s="42"/>
      <c r="G78" s="42"/>
      <c r="H78" s="1003"/>
      <c r="I78" s="311"/>
      <c r="J78" s="2021"/>
      <c r="K78" s="3335"/>
      <c r="L78" s="3334"/>
      <c r="M78" s="3012" t="s">
        <v>425</v>
      </c>
      <c r="N78" s="1298"/>
      <c r="O78" s="1299" t="str">
        <f ca="1">NUMBERSTRING(INT(O77*10000),2)&amp;"元整"</f>
        <v>壹亿捌仟陆佰壹拾陆万元整</v>
      </c>
      <c r="P78" s="1300"/>
      <c r="Q78" s="2014"/>
      <c r="R78" s="2014"/>
      <c r="S78" s="2014"/>
      <c r="T78" s="2014"/>
      <c r="U78" s="2014"/>
      <c r="V78" s="2014"/>
    </row>
    <row r="79" spans="1:22" ht="13.5" thickBot="1">
      <c r="A79" s="3329" t="s">
        <v>427</v>
      </c>
      <c r="B79" s="3329"/>
      <c r="C79" s="3329"/>
      <c r="D79" s="3329"/>
      <c r="E79" s="3329"/>
      <c r="F79" s="42"/>
      <c r="G79" s="42"/>
      <c r="H79" s="1003"/>
      <c r="I79" s="311"/>
      <c r="J79" s="2021"/>
      <c r="K79" s="3355">
        <f>K77+1</f>
        <v>6</v>
      </c>
      <c r="L79" s="3334" t="s">
        <v>2885</v>
      </c>
      <c r="M79" s="3012" t="s">
        <v>421</v>
      </c>
      <c r="N79" s="1298"/>
      <c r="O79" s="1299">
        <f ca="1">N69-O77</f>
        <v>32422</v>
      </c>
      <c r="P79" s="1300"/>
      <c r="Q79" s="2014"/>
      <c r="R79" s="2014"/>
      <c r="S79" s="2014"/>
      <c r="T79" s="2014"/>
      <c r="U79" s="2014"/>
      <c r="V79" s="2014"/>
    </row>
    <row r="80" spans="1:22" ht="25.5">
      <c r="A80" s="3324" t="s">
        <v>428</v>
      </c>
      <c r="B80" s="3325"/>
      <c r="C80" s="994"/>
      <c r="D80" s="994" t="s">
        <v>429</v>
      </c>
      <c r="E80" s="370" t="s">
        <v>430</v>
      </c>
      <c r="F80" s="42"/>
      <c r="G80" s="42"/>
      <c r="H80" s="1003"/>
      <c r="I80" s="311"/>
      <c r="J80" s="2014"/>
      <c r="K80" s="3356"/>
      <c r="L80" s="3334"/>
      <c r="M80" s="3012" t="s">
        <v>425</v>
      </c>
      <c r="N80" s="1298"/>
      <c r="O80" s="1299" t="str">
        <f ca="1">NUMBERSTRING(INT(O79*10000),2)&amp;"元整"</f>
        <v>叁亿贰仟肆佰贰拾贰万元整</v>
      </c>
      <c r="P80" s="1300"/>
      <c r="Q80" s="2014"/>
      <c r="R80" s="2014"/>
      <c r="S80" s="2014"/>
      <c r="T80" s="2014"/>
      <c r="U80" s="2014"/>
      <c r="V80" s="2014"/>
    </row>
    <row r="81" spans="1:26" ht="13.5" thickBot="1">
      <c r="A81" s="381" t="s">
        <v>1823</v>
      </c>
      <c r="B81" s="371" t="s">
        <v>431</v>
      </c>
      <c r="C81" s="372">
        <f ca="1">ROUND((C82+C83)/(1+'数据-取费表'!C42),0)</f>
        <v>29165</v>
      </c>
      <c r="D81" s="373"/>
      <c r="E81" s="374"/>
      <c r="F81" s="42"/>
      <c r="G81" s="42"/>
      <c r="H81" s="1003"/>
      <c r="I81" s="311"/>
      <c r="J81" s="2014"/>
      <c r="K81" s="3006">
        <f>K79+1</f>
        <v>7</v>
      </c>
      <c r="L81" s="3332" t="s">
        <v>2886</v>
      </c>
      <c r="M81" s="3333"/>
      <c r="N81" s="1302"/>
      <c r="O81" s="1303">
        <f ca="1">ROUND(O79*10000/'数据-汇总表'!E3,0)</f>
        <v>1489</v>
      </c>
      <c r="P81" s="1304"/>
      <c r="Q81" s="2014"/>
      <c r="R81" s="2014"/>
      <c r="S81" s="2014"/>
      <c r="T81" s="2014"/>
      <c r="U81" s="2014"/>
      <c r="V81" s="2014"/>
    </row>
    <row r="82" spans="1:26" ht="13.5" thickTop="1">
      <c r="A82" s="375" t="s">
        <v>1824</v>
      </c>
      <c r="B82" s="376" t="s">
        <v>432</v>
      </c>
      <c r="C82" s="377">
        <f ca="1">D63</f>
        <v>30623</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44" t="s">
        <v>2873</v>
      </c>
      <c r="L83" s="3018" t="s">
        <v>2874</v>
      </c>
      <c r="M83" s="3008">
        <f ca="1">IF(N69&gt;10000,N69*0.5%,IF(AND(N69&gt;1000,N69&lt;=10000),N69*1%,IF(AND(N69&gt;100,N69&lt;=1000),N69*3%,IF(AND(N69&gt;10,N69&lt;=100),N69*5%,N69*8%))))</f>
        <v>255.19</v>
      </c>
      <c r="N83" s="53">
        <f ca="1">ROUND(M83,1)</f>
        <v>255.2</v>
      </c>
      <c r="O83" s="3011"/>
      <c r="P83" s="2014"/>
      <c r="Q83" s="2014"/>
      <c r="R83" s="2014"/>
      <c r="S83" s="2014"/>
      <c r="T83" s="2014"/>
      <c r="U83" s="2014"/>
      <c r="V83" s="2014"/>
    </row>
    <row r="84" spans="1:26" ht="12.75">
      <c r="A84" s="381" t="s">
        <v>1826</v>
      </c>
      <c r="B84" s="382" t="s">
        <v>434</v>
      </c>
      <c r="C84" s="383">
        <v>2000</v>
      </c>
      <c r="D84" s="384" t="s">
        <v>19</v>
      </c>
      <c r="E84" s="3053" t="s">
        <v>2941</v>
      </c>
      <c r="F84" s="42"/>
      <c r="G84" s="42"/>
      <c r="H84" s="1003"/>
      <c r="I84" s="311"/>
      <c r="J84" s="2014"/>
      <c r="K84" s="3344"/>
      <c r="L84" s="3018" t="s">
        <v>2875</v>
      </c>
      <c r="M84" s="3008">
        <f ca="1">IF(N69&gt;2000,N69*0.5%,IF(AND(N69&gt;1000,N69&lt;=2000),N69*0.6%,IF(AND(N69&gt;500,N69&lt;=1000),N69*0.7%,IF(AND(N69&gt;200,N69&lt;=500),N69*0.8%,IF(AND(N69&gt;100,N69&lt;=200),N69*0.9%,IF(AND(N69&gt;50,N69&lt;=100),N69*1%,IF(AND(N69&gt;20,N69&lt;=50),N69*1.5%,IF(AND(N69&gt;10,N69&lt;=20),N69*2%,IF(AND(N69&gt;1,N69&lt;=10),N69*2.5%)))))))))</f>
        <v>255.19</v>
      </c>
      <c r="N84" s="53">
        <f t="shared" ref="N84:N85" ca="1" si="2">ROUND(M84,1)</f>
        <v>255.2</v>
      </c>
      <c r="O84" s="2014" t="s">
        <v>2876</v>
      </c>
      <c r="P84" s="2014"/>
      <c r="Q84" s="2014"/>
      <c r="R84" s="2014"/>
      <c r="S84" s="2014"/>
      <c r="T84" s="2014"/>
      <c r="U84" s="2014"/>
      <c r="V84" s="2014"/>
    </row>
    <row r="85" spans="1:26" ht="12.75">
      <c r="A85" s="381" t="s">
        <v>1827</v>
      </c>
      <c r="B85" s="382" t="s">
        <v>435</v>
      </c>
      <c r="C85" s="385">
        <f ca="1">C81-C84</f>
        <v>27165</v>
      </c>
      <c r="D85" s="378" t="s">
        <v>19</v>
      </c>
      <c r="E85" s="379"/>
      <c r="F85" s="42"/>
      <c r="G85" s="42"/>
      <c r="H85" s="1003"/>
      <c r="I85" s="311"/>
      <c r="J85" s="2014"/>
      <c r="K85" s="3344"/>
      <c r="L85" s="3018" t="s">
        <v>2877</v>
      </c>
      <c r="M85" s="3008">
        <f ca="1">IF(N69&gt;1000,N69*0.1%,IF(AND(N69&gt;500,N69&lt;=1000),N69*0.5%,IF(AND(N69&gt;50,N69&lt;=500),N69*1%,IF(AND(N69&gt;1,N69&lt;=50),N69*1.5%))))</f>
        <v>51.038000000000004</v>
      </c>
      <c r="N85" s="53">
        <f t="shared" ca="1" si="2"/>
        <v>51</v>
      </c>
      <c r="O85" s="2014" t="s">
        <v>2876</v>
      </c>
      <c r="P85" s="2014"/>
      <c r="Q85" s="2014"/>
      <c r="R85" s="2014"/>
      <c r="S85" s="2014"/>
      <c r="T85" s="2014"/>
      <c r="U85" s="2014"/>
      <c r="V85" s="2014"/>
    </row>
    <row r="86" spans="1:26" ht="13.5" thickBot="1">
      <c r="A86" s="386" t="s">
        <v>1828</v>
      </c>
      <c r="B86" s="387" t="s">
        <v>436</v>
      </c>
      <c r="C86" s="388">
        <f ca="1">IF(C85&lt;=0,0,ROUND(C85*D86,0))</f>
        <v>1521</v>
      </c>
      <c r="D86" s="389">
        <f>'数据-取费表'!B41</f>
        <v>5.6000000000000001E-2</v>
      </c>
      <c r="E86" s="390"/>
      <c r="F86" s="42"/>
      <c r="G86" s="42"/>
      <c r="H86" s="1003"/>
      <c r="I86" s="311"/>
      <c r="J86" s="2014"/>
      <c r="K86" s="3344"/>
      <c r="L86" s="3018" t="s">
        <v>2878</v>
      </c>
      <c r="M86" s="3008">
        <f ca="1">N69*0.5%</f>
        <v>255.19</v>
      </c>
      <c r="N86" s="53">
        <f ca="1">IF(M86&gt;0.5,0.5,ROUND(M86,0))</f>
        <v>0.5</v>
      </c>
      <c r="O86" s="2014" t="s">
        <v>2879</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44"/>
      <c r="L87" s="3018" t="s">
        <v>2880</v>
      </c>
      <c r="M87" s="3008">
        <f ca="1">IF(N69&gt;=10000,(8.25+(N69-10000)*0.01%),IF(AND(N69&gt;=8000,N69&lt;10000),(7.85+(N69-8000)*0.02%),IF(AND(N69&gt;=5000,N69&lt;8000),(6.65+(N69-5000)*0.04%),IF(AND(N69&gt;=2000,N69&lt;5000),(4.25+(PN69-2000)*0.08%),IF(AND(N69&gt;=1000,N69&lt;2000),(2.75+(N69-1000)*0.15%),IF(AND(N69&gt;=100,N69&lt;1000),(0.5+(N69-100)*0.25%),IF(AND(N69&gt;0,N69&lt;100),N69*0.5%)))))))</f>
        <v>12.3538</v>
      </c>
      <c r="N87" s="53">
        <f ca="1">ROUND(M87*0.9,1)</f>
        <v>11.1</v>
      </c>
      <c r="O87" s="3011"/>
      <c r="P87" s="311"/>
      <c r="Q87" s="2014"/>
      <c r="R87" s="2014"/>
      <c r="S87" s="2014"/>
      <c r="T87" s="2014"/>
      <c r="U87" s="2014"/>
      <c r="V87" s="2014"/>
      <c r="W87" s="292"/>
      <c r="X87" s="292"/>
      <c r="Y87" s="292"/>
      <c r="Z87" s="292"/>
    </row>
    <row r="88" spans="1:26" s="1310" customFormat="1" ht="15" thickBot="1">
      <c r="A88" s="3326" t="s">
        <v>437</v>
      </c>
      <c r="B88" s="3327"/>
      <c r="C88" s="3327"/>
      <c r="D88" s="3327"/>
      <c r="E88" s="3327"/>
      <c r="F88" s="3327"/>
      <c r="G88" s="3327"/>
      <c r="H88" s="3327"/>
      <c r="I88" s="1311"/>
      <c r="J88" s="2022"/>
      <c r="K88" s="3344"/>
      <c r="L88" s="3018" t="s">
        <v>2881</v>
      </c>
      <c r="M88" s="3008">
        <f ca="1">IF(N69&gt;10000,N69*0.5%,IF(AND(N69&gt;5000,N69&lt;=10000),N69*1%,IF(AND(N69&gt;1000,N69&lt;=5000),N69*2%,IF(AND(N69&gt;200,N69&lt;=1000),N69*3%,N69*5%))))</f>
        <v>255.19</v>
      </c>
      <c r="N88" s="53">
        <f ca="1">ROUND(M88,1)</f>
        <v>255.2</v>
      </c>
      <c r="O88" s="3011"/>
      <c r="P88" s="11"/>
      <c r="Q88" s="2019"/>
      <c r="R88" s="2019"/>
      <c r="S88" s="2019"/>
      <c r="T88" s="2019"/>
      <c r="U88" s="2019"/>
      <c r="V88" s="2019"/>
      <c r="W88" s="2023"/>
      <c r="X88" s="2023"/>
      <c r="Y88" s="2023"/>
      <c r="Z88" s="2023"/>
    </row>
    <row r="89" spans="1:26" s="1310" customFormat="1" ht="14.25">
      <c r="A89" s="3324" t="s">
        <v>428</v>
      </c>
      <c r="B89" s="3325"/>
      <c r="C89" s="994"/>
      <c r="D89" s="994" t="s">
        <v>429</v>
      </c>
      <c r="E89" s="391" t="s">
        <v>438</v>
      </c>
      <c r="F89" s="392"/>
      <c r="G89" s="392"/>
      <c r="H89" s="393"/>
      <c r="I89" s="1312"/>
      <c r="J89" s="2024"/>
      <c r="K89" s="3344"/>
      <c r="L89" s="3018" t="s">
        <v>27</v>
      </c>
      <c r="M89" s="3009"/>
      <c r="N89" s="53">
        <f ca="1">ROUND(SUM(N83:N88),0)</f>
        <v>828</v>
      </c>
      <c r="O89" s="3019">
        <f ca="1">N89/N69</f>
        <v>1.6223206238488969E-2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29165</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2736</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287" t="s">
        <v>447</v>
      </c>
      <c r="F94" s="3286"/>
      <c r="G94" s="3286"/>
      <c r="H94" s="3323"/>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175</v>
      </c>
      <c r="D96" s="406">
        <f>'数据-取费表'!B43</f>
        <v>6.000000000000001E-3</v>
      </c>
      <c r="E96" s="3315" t="s">
        <v>2428</v>
      </c>
      <c r="F96" s="3316"/>
      <c r="G96" s="3316"/>
      <c r="H96" s="3317"/>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26429</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9.6597222222222214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14900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26" t="s">
        <v>454</v>
      </c>
      <c r="B101" s="3327"/>
      <c r="C101" s="3327"/>
      <c r="D101" s="3327"/>
      <c r="E101" s="3327"/>
      <c r="F101" s="3327"/>
      <c r="G101" s="3327"/>
      <c r="H101" s="3327"/>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24" t="s">
        <v>428</v>
      </c>
      <c r="B102" s="3325"/>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29165</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865</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18" t="s">
        <v>462</v>
      </c>
      <c r="F109" s="3316"/>
      <c r="G109" s="3316"/>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18" t="s">
        <v>464</v>
      </c>
      <c r="F110" s="3316"/>
      <c r="G110" s="3316"/>
      <c r="H110" s="3317"/>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175</v>
      </c>
      <c r="D111" s="406">
        <f>'数据-取费表'!B43</f>
        <v>6.000000000000001E-3</v>
      </c>
      <c r="E111" s="3315" t="s">
        <v>2428</v>
      </c>
      <c r="F111" s="3316"/>
      <c r="G111" s="3316"/>
      <c r="H111" s="3317"/>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18" t="s">
        <v>2453</v>
      </c>
      <c r="F112" s="3316"/>
      <c r="G112" s="3316"/>
      <c r="H112" s="3317"/>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28300</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32.716763005780344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16677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80" zoomScaleNormal="95" zoomScaleSheetLayoutView="80" workbookViewId="0">
      <selection activeCell="E58" sqref="E58"/>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51386</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2361</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7582</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505</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69" t="s">
        <v>522</v>
      </c>
      <c r="D6" s="3370"/>
      <c r="E6" s="3369" t="s">
        <v>523</v>
      </c>
      <c r="F6" s="3370"/>
      <c r="G6" s="3369" t="s">
        <v>524</v>
      </c>
      <c r="H6" s="3370"/>
      <c r="I6" s="3369" t="s">
        <v>525</v>
      </c>
      <c r="J6" s="3370"/>
      <c r="K6" s="514" t="s">
        <v>526</v>
      </c>
      <c r="L6" s="2119"/>
      <c r="M6" s="2118"/>
      <c r="N6" s="2118"/>
      <c r="O6" s="2120"/>
      <c r="P6" s="3371" t="s">
        <v>527</v>
      </c>
      <c r="Q6" s="3372"/>
      <c r="R6" s="3377" t="s">
        <v>523</v>
      </c>
      <c r="S6" s="3378"/>
      <c r="T6" s="3377" t="s">
        <v>524</v>
      </c>
      <c r="U6" s="3378"/>
      <c r="V6" s="3364" t="s">
        <v>525</v>
      </c>
      <c r="W6" s="3364"/>
      <c r="X6" s="1554"/>
      <c r="Y6" s="3377" t="s">
        <v>527</v>
      </c>
      <c r="Z6" s="3378"/>
      <c r="AA6" s="3366" t="s">
        <v>523</v>
      </c>
      <c r="AB6" s="3367" t="s">
        <v>524</v>
      </c>
      <c r="AC6" s="3366" t="s">
        <v>525</v>
      </c>
    </row>
    <row r="7" spans="1:30" ht="20.25">
      <c r="A7" s="515"/>
      <c r="B7" s="516"/>
      <c r="C7" s="3385" t="s">
        <v>2930</v>
      </c>
      <c r="D7" s="3386"/>
      <c r="E7" s="3389" t="str">
        <f>Sheet1!A6</f>
        <v>航五路与航银路交界处西南角地块</v>
      </c>
      <c r="F7" s="3386"/>
      <c r="G7" s="3385" t="str">
        <f>Sheet1!A7</f>
        <v>西鹅路东侧北一路南侧地块</v>
      </c>
      <c r="H7" s="3386"/>
      <c r="I7" s="3385" t="str">
        <f>Sheet1!A8</f>
        <v>西鹅路与北一路东南侧</v>
      </c>
      <c r="J7" s="3386"/>
      <c r="K7" s="514"/>
      <c r="L7" s="2119"/>
      <c r="M7" s="2118"/>
      <c r="N7" s="2118"/>
      <c r="O7" s="2120"/>
      <c r="P7" s="3373"/>
      <c r="Q7" s="3374"/>
      <c r="R7" s="3379"/>
      <c r="S7" s="3380"/>
      <c r="T7" s="3379"/>
      <c r="U7" s="3380"/>
      <c r="V7" s="3364"/>
      <c r="W7" s="3364"/>
      <c r="X7" s="1554"/>
      <c r="Y7" s="3379"/>
      <c r="Z7" s="3380"/>
      <c r="AA7" s="3367"/>
      <c r="AB7" s="3367"/>
      <c r="AC7" s="3367"/>
    </row>
    <row r="8" spans="1:30" ht="21" thickBot="1">
      <c r="A8" s="515"/>
      <c r="B8" s="516"/>
      <c r="C8" s="3387" t="s">
        <v>2934</v>
      </c>
      <c r="D8" s="3388"/>
      <c r="E8" s="3387"/>
      <c r="F8" s="3388"/>
      <c r="G8" s="3383"/>
      <c r="H8" s="3384"/>
      <c r="I8" s="3383"/>
      <c r="J8" s="3384"/>
      <c r="K8" s="514" t="s">
        <v>528</v>
      </c>
      <c r="L8" s="2119"/>
      <c r="M8" s="2118"/>
      <c r="N8" s="2118"/>
      <c r="O8" s="2120"/>
      <c r="P8" s="3375"/>
      <c r="Q8" s="3376"/>
      <c r="R8" s="3379"/>
      <c r="S8" s="3380"/>
      <c r="T8" s="3381"/>
      <c r="U8" s="3382"/>
      <c r="V8" s="3364"/>
      <c r="W8" s="3364"/>
      <c r="X8" s="1554"/>
      <c r="Y8" s="3381"/>
      <c r="Z8" s="3382"/>
      <c r="AA8" s="3368"/>
      <c r="AB8" s="3368"/>
      <c r="AC8" s="3368"/>
    </row>
    <row r="9" spans="1:30" s="1216" customFormat="1" ht="21" thickBot="1">
      <c r="A9" s="2868"/>
      <c r="B9" s="2875" t="s">
        <v>529</v>
      </c>
      <c r="C9" s="2867">
        <f>'数据-取费表'!B2</f>
        <v>43698</v>
      </c>
      <c r="D9" s="520">
        <v>100</v>
      </c>
      <c r="E9" s="521" t="str">
        <f>Sheet1!K6</f>
        <v>2018-09-28</v>
      </c>
      <c r="F9" s="522">
        <f>SUMIF(72:72,YEAR(E9)&amp;"-"&amp;INT((MONTH(E9)+2)/3),73:73)</f>
        <v>98</v>
      </c>
      <c r="G9" s="523" t="str">
        <f>Sheet1!K7</f>
        <v>2018-08-17</v>
      </c>
      <c r="H9" s="520">
        <f>SUMIF(72:72,YEAR(G9)&amp;"-"&amp;INT((MONTH(G9)+2)/3),73:73)</f>
        <v>98</v>
      </c>
      <c r="I9" s="523" t="str">
        <f>Sheet1!K8</f>
        <v>2017-12-14</v>
      </c>
      <c r="J9" s="520">
        <f>SUMIF(72:72,YEAR(I9)&amp;"-"&amp;INT((MONTH(I9)+2)/3),73:73)</f>
        <v>96.5</v>
      </c>
      <c r="K9" s="524"/>
      <c r="L9" s="2121"/>
      <c r="M9" s="2118"/>
      <c r="N9" s="2118"/>
      <c r="O9" s="2122"/>
      <c r="P9" s="3395" t="s">
        <v>530</v>
      </c>
      <c r="Q9" s="3397"/>
      <c r="R9" s="1555" t="s">
        <v>8</v>
      </c>
      <c r="S9" s="1556">
        <f t="shared" ref="S9:S17" si="0">F9</f>
        <v>98</v>
      </c>
      <c r="T9" s="1555" t="s">
        <v>8</v>
      </c>
      <c r="U9" s="1556">
        <f t="shared" ref="U9:U17" si="1">H9</f>
        <v>98</v>
      </c>
      <c r="V9" s="1555" t="s">
        <v>8</v>
      </c>
      <c r="W9" s="1556">
        <f t="shared" ref="W9:W17" si="2">J9</f>
        <v>96.5</v>
      </c>
      <c r="X9" s="1557"/>
      <c r="Y9" s="3395" t="s">
        <v>530</v>
      </c>
      <c r="Z9" s="3396"/>
      <c r="AA9" s="1558">
        <f>D9/F9</f>
        <v>1.0204081632653061</v>
      </c>
      <c r="AB9" s="1558">
        <f>D9/H9</f>
        <v>1.0204081632653061</v>
      </c>
      <c r="AC9" s="1558">
        <f>D9/J9</f>
        <v>1.0362694300518134</v>
      </c>
    </row>
    <row r="10" spans="1:30" s="1216" customFormat="1" ht="21" thickBot="1">
      <c r="A10" s="2869"/>
      <c r="B10" s="2876" t="s">
        <v>531</v>
      </c>
      <c r="C10" s="856" t="s">
        <v>532</v>
      </c>
      <c r="D10" s="520">
        <v>100</v>
      </c>
      <c r="E10" s="525" t="s">
        <v>3024</v>
      </c>
      <c r="F10" s="522">
        <f>SUMIF(75:75,E10,76:76)-SUMIF(75:75,C10,76:76)+100</f>
        <v>100</v>
      </c>
      <c r="G10" s="525" t="s">
        <v>3024</v>
      </c>
      <c r="H10" s="520">
        <f>SUMIF(75:75,G10,76:76)-SUMIF(75:75,C10,76:76)+100</f>
        <v>100</v>
      </c>
      <c r="I10" s="525" t="s">
        <v>3024</v>
      </c>
      <c r="J10" s="520">
        <f>SUMIF(75:75,I10,76:76)-SUMIF(75:75,C10,76:76)+100</f>
        <v>100</v>
      </c>
      <c r="K10" s="524"/>
      <c r="L10" s="2121"/>
      <c r="M10" s="2118"/>
      <c r="N10" s="2118"/>
      <c r="O10" s="2122"/>
      <c r="P10" s="3395" t="s">
        <v>533</v>
      </c>
      <c r="Q10" s="3396"/>
      <c r="R10" s="1555" t="s">
        <v>8</v>
      </c>
      <c r="S10" s="1556">
        <f t="shared" si="0"/>
        <v>100</v>
      </c>
      <c r="T10" s="1555" t="s">
        <v>8</v>
      </c>
      <c r="U10" s="1556">
        <f t="shared" si="1"/>
        <v>100</v>
      </c>
      <c r="V10" s="1555" t="s">
        <v>8</v>
      </c>
      <c r="W10" s="1556">
        <f t="shared" si="2"/>
        <v>100</v>
      </c>
      <c r="X10" s="1557"/>
      <c r="Y10" s="3395" t="s">
        <v>533</v>
      </c>
      <c r="Z10" s="3396"/>
      <c r="AA10" s="1558">
        <f t="shared" ref="AA10:AA47" si="3">D10/F10</f>
        <v>1</v>
      </c>
      <c r="AB10" s="1558">
        <f t="shared" ref="AB10:AB47" si="4">D10/H10</f>
        <v>1</v>
      </c>
      <c r="AC10" s="1558">
        <f t="shared" ref="AC10:AC47" si="5">D10/J10</f>
        <v>1</v>
      </c>
    </row>
    <row r="11" spans="1:30" s="1216" customFormat="1" ht="20.25">
      <c r="A11" s="2870"/>
      <c r="B11" s="2877" t="s">
        <v>2755</v>
      </c>
      <c r="C11" s="2864"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21"/>
      <c r="M11" s="2118"/>
      <c r="N11" s="2118"/>
      <c r="O11" s="2123"/>
      <c r="P11" s="3363" t="s">
        <v>535</v>
      </c>
      <c r="Q11" s="1147" t="str">
        <f t="shared" ref="Q11:Q17" si="6">B11</f>
        <v>用途</v>
      </c>
      <c r="R11" s="1555" t="s">
        <v>8</v>
      </c>
      <c r="S11" s="1556">
        <f t="shared" si="0"/>
        <v>100</v>
      </c>
      <c r="T11" s="1555" t="s">
        <v>8</v>
      </c>
      <c r="U11" s="1556">
        <f t="shared" si="1"/>
        <v>100</v>
      </c>
      <c r="V11" s="1555" t="s">
        <v>8</v>
      </c>
      <c r="W11" s="1556">
        <f t="shared" si="2"/>
        <v>100</v>
      </c>
      <c r="X11" s="1557"/>
      <c r="Y11" s="3309" t="s">
        <v>536</v>
      </c>
      <c r="Z11" s="1146" t="str">
        <f t="shared" ref="Z11:Z17" si="7">Q11</f>
        <v>用途</v>
      </c>
      <c r="AA11" s="1558">
        <f t="shared" si="3"/>
        <v>1</v>
      </c>
      <c r="AB11" s="1558">
        <f t="shared" si="4"/>
        <v>1</v>
      </c>
      <c r="AC11" s="1558">
        <f t="shared" si="5"/>
        <v>1</v>
      </c>
    </row>
    <row r="12" spans="1:30" s="1334" customFormat="1" ht="27">
      <c r="A12" s="2871"/>
      <c r="B12" s="2876" t="s">
        <v>2756</v>
      </c>
      <c r="C12" s="910">
        <f>项目基本情况!D19</f>
        <v>61.64</v>
      </c>
      <c r="D12" s="255">
        <v>100</v>
      </c>
      <c r="E12" s="529" t="s">
        <v>3218</v>
      </c>
      <c r="F12" s="255">
        <f>ROUND(100/'数据-取费表'!G16,0)</f>
        <v>102</v>
      </c>
      <c r="G12" s="530" t="s">
        <v>3218</v>
      </c>
      <c r="H12" s="255">
        <f>ROUND(100/'数据-取费表'!G16,0)</f>
        <v>102</v>
      </c>
      <c r="I12" s="530" t="s">
        <v>3219</v>
      </c>
      <c r="J12" s="255">
        <f>ROUND(100/'数据-取费表'!G16,0)</f>
        <v>102</v>
      </c>
      <c r="K12" s="531"/>
      <c r="L12" s="2124"/>
      <c r="M12" s="2118"/>
      <c r="N12" s="2118"/>
      <c r="O12" s="2125"/>
      <c r="P12" s="3363"/>
      <c r="Q12" s="1147" t="str">
        <f t="shared" si="6"/>
        <v>土地使用年限（年）</v>
      </c>
      <c r="R12" s="1555" t="s">
        <v>8</v>
      </c>
      <c r="S12" s="1556">
        <f t="shared" si="0"/>
        <v>102</v>
      </c>
      <c r="T12" s="1555" t="s">
        <v>8</v>
      </c>
      <c r="U12" s="1556">
        <f t="shared" si="1"/>
        <v>102</v>
      </c>
      <c r="V12" s="1555" t="s">
        <v>8</v>
      </c>
      <c r="W12" s="1556">
        <f t="shared" si="2"/>
        <v>102</v>
      </c>
      <c r="X12" s="1557"/>
      <c r="Y12" s="3309"/>
      <c r="Z12" s="1146" t="str">
        <f t="shared" si="7"/>
        <v>土地使用年限（年）</v>
      </c>
      <c r="AA12" s="1558">
        <f t="shared" si="3"/>
        <v>0.98039215686274506</v>
      </c>
      <c r="AB12" s="1558">
        <f t="shared" si="4"/>
        <v>0.98039215686274506</v>
      </c>
      <c r="AC12" s="1558">
        <f t="shared" si="5"/>
        <v>0.98039215686274506</v>
      </c>
    </row>
    <row r="13" spans="1:30" ht="20.25">
      <c r="A13" s="2872"/>
      <c r="B13" s="2876" t="s">
        <v>2757</v>
      </c>
      <c r="C13" s="534">
        <v>2.2999999999999998</v>
      </c>
      <c r="D13" s="255">
        <v>100</v>
      </c>
      <c r="E13" s="533">
        <v>2</v>
      </c>
      <c r="F13" s="255">
        <f>LOOKUP(E13,82:82,83:83)-LOOKUP(C13,82:82,83:83)+100</f>
        <v>100</v>
      </c>
      <c r="G13" s="534">
        <v>2</v>
      </c>
      <c r="H13" s="255">
        <f>LOOKUP(G13,82:82,83:83)-LOOKUP(C13,82:82,83:83)+100</f>
        <v>100</v>
      </c>
      <c r="I13" s="533">
        <v>2</v>
      </c>
      <c r="J13" s="255">
        <f>LOOKUP(I13,82:82,83:83)-LOOKUP(C13,82:82,83:83)+100</f>
        <v>100</v>
      </c>
      <c r="K13" s="535">
        <v>1</v>
      </c>
      <c r="L13" s="2126"/>
      <c r="M13" s="2118"/>
      <c r="N13" s="2118"/>
      <c r="O13" s="2127"/>
      <c r="P13" s="3363"/>
      <c r="Q13" s="1147" t="str">
        <f t="shared" si="6"/>
        <v>容积率</v>
      </c>
      <c r="R13" s="1555" t="s">
        <v>8</v>
      </c>
      <c r="S13" s="1556">
        <f t="shared" si="0"/>
        <v>100</v>
      </c>
      <c r="T13" s="1555" t="s">
        <v>8</v>
      </c>
      <c r="U13" s="1556">
        <f t="shared" si="1"/>
        <v>100</v>
      </c>
      <c r="V13" s="1555" t="s">
        <v>8</v>
      </c>
      <c r="W13" s="1556">
        <f t="shared" si="2"/>
        <v>100</v>
      </c>
      <c r="X13" s="1557"/>
      <c r="Y13" s="3309"/>
      <c r="Z13" s="1146" t="str">
        <f t="shared" si="7"/>
        <v>容积率</v>
      </c>
      <c r="AA13" s="1558">
        <f t="shared" si="3"/>
        <v>1</v>
      </c>
      <c r="AB13" s="1558">
        <f t="shared" si="4"/>
        <v>1</v>
      </c>
      <c r="AC13" s="1558">
        <f t="shared" si="5"/>
        <v>1</v>
      </c>
    </row>
    <row r="14" spans="1:30" s="1216" customFormat="1" ht="20.25">
      <c r="A14" s="2869"/>
      <c r="B14" s="2878" t="s">
        <v>2758</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63"/>
      <c r="Q14" s="1147" t="str">
        <f t="shared" si="6"/>
        <v>配建</v>
      </c>
      <c r="R14" s="1555" t="s">
        <v>8</v>
      </c>
      <c r="S14" s="1556">
        <f t="shared" si="0"/>
        <v>100</v>
      </c>
      <c r="T14" s="1555" t="s">
        <v>8</v>
      </c>
      <c r="U14" s="1556">
        <f t="shared" si="1"/>
        <v>100</v>
      </c>
      <c r="V14" s="1555" t="s">
        <v>8</v>
      </c>
      <c r="W14" s="1556">
        <f t="shared" si="2"/>
        <v>100</v>
      </c>
      <c r="X14" s="1557"/>
      <c r="Y14" s="3309"/>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63"/>
      <c r="Q15" s="1147">
        <f t="shared" si="6"/>
        <v>111</v>
      </c>
      <c r="R15" s="1555" t="s">
        <v>8</v>
      </c>
      <c r="S15" s="1556">
        <f t="shared" si="0"/>
        <v>100</v>
      </c>
      <c r="T15" s="1555" t="s">
        <v>8</v>
      </c>
      <c r="U15" s="1556">
        <f t="shared" si="1"/>
        <v>100</v>
      </c>
      <c r="V15" s="1555" t="s">
        <v>8</v>
      </c>
      <c r="W15" s="1556">
        <f t="shared" si="2"/>
        <v>100</v>
      </c>
      <c r="X15" s="1557"/>
      <c r="Y15" s="3309"/>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63"/>
      <c r="Q16" s="1147">
        <f t="shared" si="6"/>
        <v>111</v>
      </c>
      <c r="R16" s="1555" t="s">
        <v>8</v>
      </c>
      <c r="S16" s="1556">
        <f t="shared" si="0"/>
        <v>100</v>
      </c>
      <c r="T16" s="1555" t="s">
        <v>8</v>
      </c>
      <c r="U16" s="1556">
        <f t="shared" si="1"/>
        <v>100</v>
      </c>
      <c r="V16" s="1555" t="s">
        <v>8</v>
      </c>
      <c r="W16" s="1556">
        <f t="shared" si="2"/>
        <v>100</v>
      </c>
      <c r="X16" s="1557"/>
      <c r="Y16" s="3309"/>
      <c r="Z16" s="1146">
        <f t="shared" si="7"/>
        <v>111</v>
      </c>
      <c r="AA16" s="1558">
        <f>D16/F16</f>
        <v>1</v>
      </c>
      <c r="AB16" s="1558">
        <f>D16/H16</f>
        <v>1</v>
      </c>
      <c r="AC16" s="1558">
        <f>D16/J16</f>
        <v>1</v>
      </c>
    </row>
    <row r="17" spans="1:29" ht="99.75">
      <c r="A17" s="286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98" t="s">
        <v>540</v>
      </c>
      <c r="Q17" s="1559" t="str">
        <f t="shared" si="6"/>
        <v>居住社区成熟度</v>
      </c>
      <c r="R17" s="1560" t="s">
        <v>8</v>
      </c>
      <c r="S17" s="1561">
        <f t="shared" si="0"/>
        <v>100</v>
      </c>
      <c r="T17" s="1560" t="s">
        <v>8</v>
      </c>
      <c r="U17" s="1561">
        <f t="shared" si="1"/>
        <v>100</v>
      </c>
      <c r="V17" s="1560" t="s">
        <v>8</v>
      </c>
      <c r="W17" s="1561">
        <f t="shared" si="2"/>
        <v>100</v>
      </c>
      <c r="X17" s="1554"/>
      <c r="Y17" s="3398" t="s">
        <v>540</v>
      </c>
      <c r="Z17" s="1562" t="str">
        <f t="shared" si="7"/>
        <v>居住社区成熟度</v>
      </c>
      <c r="AA17" s="1563">
        <f t="shared" si="3"/>
        <v>1</v>
      </c>
      <c r="AB17" s="1563">
        <f t="shared" si="4"/>
        <v>1</v>
      </c>
      <c r="AC17" s="1563">
        <f t="shared" si="5"/>
        <v>1</v>
      </c>
    </row>
    <row r="18" spans="1:29" ht="20.25">
      <c r="A18" s="532"/>
      <c r="B18" s="553"/>
      <c r="C18" s="554" t="s">
        <v>3203</v>
      </c>
      <c r="D18" s="557"/>
      <c r="E18" s="554" t="s">
        <v>3203</v>
      </c>
      <c r="F18" s="555"/>
      <c r="G18" s="554" t="s">
        <v>3203</v>
      </c>
      <c r="H18" s="559"/>
      <c r="I18" s="554" t="s">
        <v>3203</v>
      </c>
      <c r="J18" s="555"/>
      <c r="K18" s="531"/>
      <c r="L18" s="2128"/>
      <c r="M18" s="2118"/>
      <c r="N18" s="2118"/>
      <c r="O18" s="2127"/>
      <c r="P18" s="3399"/>
      <c r="Q18" s="1559"/>
      <c r="R18" s="1560"/>
      <c r="S18" s="1561"/>
      <c r="T18" s="1560"/>
      <c r="U18" s="1561"/>
      <c r="V18" s="1560"/>
      <c r="W18" s="1561"/>
      <c r="X18" s="1554"/>
      <c r="Y18" s="3399"/>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99"/>
      <c r="Q19" s="1559" t="str">
        <f>B19</f>
        <v>商业繁华度</v>
      </c>
      <c r="R19" s="1560" t="s">
        <v>8</v>
      </c>
      <c r="S19" s="1561">
        <f>F19</f>
        <v>100</v>
      </c>
      <c r="T19" s="1560" t="s">
        <v>8</v>
      </c>
      <c r="U19" s="1561">
        <f>H19</f>
        <v>100</v>
      </c>
      <c r="V19" s="1560" t="s">
        <v>8</v>
      </c>
      <c r="W19" s="1561">
        <f>J19</f>
        <v>100</v>
      </c>
      <c r="X19" s="1554"/>
      <c r="Y19" s="3399"/>
      <c r="Z19" s="1562" t="str">
        <f>Q19</f>
        <v>商业繁华度</v>
      </c>
      <c r="AA19" s="1563">
        <f t="shared" si="3"/>
        <v>1</v>
      </c>
      <c r="AB19" s="1563">
        <f t="shared" si="4"/>
        <v>1</v>
      </c>
      <c r="AC19" s="1563">
        <f t="shared" si="5"/>
        <v>1</v>
      </c>
    </row>
    <row r="20" spans="1:29" ht="20.25">
      <c r="A20" s="532"/>
      <c r="B20" s="566"/>
      <c r="C20" s="567" t="s">
        <v>3204</v>
      </c>
      <c r="D20" s="563"/>
      <c r="E20" s="554" t="s">
        <v>3204</v>
      </c>
      <c r="F20" s="559"/>
      <c r="G20" s="554" t="s">
        <v>3204</v>
      </c>
      <c r="H20" s="555"/>
      <c r="I20" s="554" t="s">
        <v>3204</v>
      </c>
      <c r="J20" s="555"/>
      <c r="K20" s="531"/>
      <c r="L20" s="2128"/>
      <c r="M20" s="2118"/>
      <c r="N20" s="2118"/>
      <c r="O20" s="2127"/>
      <c r="P20" s="3399"/>
      <c r="Q20" s="1559"/>
      <c r="R20" s="1560"/>
      <c r="S20" s="1561"/>
      <c r="T20" s="1560"/>
      <c r="U20" s="1561"/>
      <c r="V20" s="1560"/>
      <c r="W20" s="1561"/>
      <c r="X20" s="1554"/>
      <c r="Y20" s="3399"/>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99"/>
      <c r="Q21" s="1559" t="str">
        <f>B21</f>
        <v>办公集聚程度</v>
      </c>
      <c r="R21" s="1560" t="s">
        <v>8</v>
      </c>
      <c r="S21" s="1561">
        <f>F21</f>
        <v>100</v>
      </c>
      <c r="T21" s="1560" t="s">
        <v>8</v>
      </c>
      <c r="U21" s="1561">
        <f>H21</f>
        <v>100</v>
      </c>
      <c r="V21" s="1560" t="s">
        <v>8</v>
      </c>
      <c r="W21" s="1561">
        <f>J21</f>
        <v>100</v>
      </c>
      <c r="X21" s="1554"/>
      <c r="Y21" s="3399"/>
      <c r="Z21" s="1562" t="str">
        <f>Q21</f>
        <v>办公集聚程度</v>
      </c>
      <c r="AA21" s="1563">
        <f t="shared" si="3"/>
        <v>1</v>
      </c>
      <c r="AB21" s="1563">
        <f t="shared" si="4"/>
        <v>1</v>
      </c>
      <c r="AC21" s="1563">
        <f t="shared" si="5"/>
        <v>1</v>
      </c>
    </row>
    <row r="22" spans="1:29" ht="20.25">
      <c r="A22" s="532"/>
      <c r="B22" s="566"/>
      <c r="C22" s="554" t="s">
        <v>3204</v>
      </c>
      <c r="D22" s="557"/>
      <c r="E22" s="554" t="s">
        <v>3204</v>
      </c>
      <c r="F22" s="555"/>
      <c r="G22" s="554" t="s">
        <v>3204</v>
      </c>
      <c r="H22" s="555"/>
      <c r="I22" s="554" t="s">
        <v>3204</v>
      </c>
      <c r="J22" s="555"/>
      <c r="K22" s="531"/>
      <c r="L22" s="2128"/>
      <c r="M22" s="2118"/>
      <c r="N22" s="2118"/>
      <c r="O22" s="2127"/>
      <c r="P22" s="3399"/>
      <c r="Q22" s="1559"/>
      <c r="R22" s="1560"/>
      <c r="S22" s="1561"/>
      <c r="T22" s="1560"/>
      <c r="U22" s="1561"/>
      <c r="V22" s="1560"/>
      <c r="W22" s="1561"/>
      <c r="X22" s="1554"/>
      <c r="Y22" s="3399"/>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399"/>
      <c r="Q23" s="1559" t="str">
        <f>B23</f>
        <v>交通便捷度</v>
      </c>
      <c r="R23" s="1560" t="s">
        <v>8</v>
      </c>
      <c r="S23" s="1561">
        <f>F23</f>
        <v>100</v>
      </c>
      <c r="T23" s="1560" t="s">
        <v>8</v>
      </c>
      <c r="U23" s="1561">
        <f>H23</f>
        <v>100</v>
      </c>
      <c r="V23" s="1560" t="s">
        <v>8</v>
      </c>
      <c r="W23" s="1561">
        <f>J23</f>
        <v>100</v>
      </c>
      <c r="X23" s="1554"/>
      <c r="Y23" s="3399"/>
      <c r="Z23" s="1562" t="str">
        <f>Q23</f>
        <v>交通便捷度</v>
      </c>
      <c r="AA23" s="1563">
        <f t="shared" si="3"/>
        <v>1</v>
      </c>
      <c r="AB23" s="1563">
        <f t="shared" si="4"/>
        <v>1</v>
      </c>
      <c r="AC23" s="1563">
        <f t="shared" si="5"/>
        <v>1</v>
      </c>
    </row>
    <row r="24" spans="1:29" ht="20.25">
      <c r="A24" s="532"/>
      <c r="B24" s="578"/>
      <c r="C24" s="554" t="s">
        <v>3203</v>
      </c>
      <c r="D24" s="557"/>
      <c r="E24" s="554" t="s">
        <v>3203</v>
      </c>
      <c r="F24" s="555"/>
      <c r="G24" s="554" t="s">
        <v>3203</v>
      </c>
      <c r="H24" s="555"/>
      <c r="I24" s="554" t="s">
        <v>3203</v>
      </c>
      <c r="J24" s="555"/>
      <c r="K24" s="531"/>
      <c r="L24" s="2128"/>
      <c r="M24" s="2118"/>
      <c r="N24" s="2118"/>
      <c r="O24" s="2127"/>
      <c r="P24" s="3399"/>
      <c r="Q24" s="1559"/>
      <c r="R24" s="1560"/>
      <c r="S24" s="1561"/>
      <c r="T24" s="1560"/>
      <c r="U24" s="1561"/>
      <c r="V24" s="1560"/>
      <c r="W24" s="1561"/>
      <c r="X24" s="1554"/>
      <c r="Y24" s="3399"/>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399"/>
      <c r="Q25" s="1559" t="str">
        <f t="shared" ref="Q25:Q39" si="8">B25</f>
        <v>区域土地利用方向</v>
      </c>
      <c r="R25" s="1560" t="s">
        <v>8</v>
      </c>
      <c r="S25" s="1561">
        <f>F25</f>
        <v>100</v>
      </c>
      <c r="T25" s="1560" t="s">
        <v>8</v>
      </c>
      <c r="U25" s="1561">
        <f>H25</f>
        <v>100</v>
      </c>
      <c r="V25" s="1560" t="s">
        <v>8</v>
      </c>
      <c r="W25" s="1561">
        <f>J25</f>
        <v>100</v>
      </c>
      <c r="X25" s="1554"/>
      <c r="Y25" s="3399"/>
      <c r="Z25" s="1562" t="str">
        <f>Q25</f>
        <v>区域土地利用方向</v>
      </c>
      <c r="AA25" s="1563">
        <f t="shared" si="3"/>
        <v>1</v>
      </c>
      <c r="AB25" s="1563">
        <f t="shared" si="4"/>
        <v>1</v>
      </c>
      <c r="AC25" s="1563">
        <f t="shared" si="5"/>
        <v>1</v>
      </c>
    </row>
    <row r="26" spans="1:29" ht="20.25">
      <c r="A26" s="515"/>
      <c r="B26" s="1007"/>
      <c r="C26" s="554" t="s">
        <v>3203</v>
      </c>
      <c r="D26" s="557"/>
      <c r="E26" s="554" t="s">
        <v>3203</v>
      </c>
      <c r="F26" s="555"/>
      <c r="G26" s="554" t="s">
        <v>3203</v>
      </c>
      <c r="H26" s="555"/>
      <c r="I26" s="554" t="s">
        <v>3203</v>
      </c>
      <c r="J26" s="555"/>
      <c r="K26" s="531"/>
      <c r="L26" s="2128"/>
      <c r="M26" s="2118"/>
      <c r="N26" s="2118"/>
      <c r="O26" s="2127"/>
      <c r="P26" s="3399"/>
      <c r="Q26" s="1559"/>
      <c r="R26" s="1560"/>
      <c r="S26" s="1561"/>
      <c r="T26" s="1560"/>
      <c r="U26" s="1561"/>
      <c r="V26" s="1560"/>
      <c r="W26" s="1561"/>
      <c r="X26" s="1554"/>
      <c r="Y26" s="3399"/>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399"/>
      <c r="Q27" s="1559" t="str">
        <f t="shared" si="8"/>
        <v>自然及人文环境状况</v>
      </c>
      <c r="R27" s="1560" t="s">
        <v>8</v>
      </c>
      <c r="S27" s="1561">
        <f>F27</f>
        <v>100</v>
      </c>
      <c r="T27" s="1560" t="s">
        <v>8</v>
      </c>
      <c r="U27" s="1561">
        <f>H27</f>
        <v>100</v>
      </c>
      <c r="V27" s="1560" t="s">
        <v>8</v>
      </c>
      <c r="W27" s="1561">
        <f>J27</f>
        <v>100</v>
      </c>
      <c r="X27" s="1554"/>
      <c r="Y27" s="3399"/>
      <c r="Z27" s="1562" t="str">
        <f>Q27</f>
        <v>自然及人文环境状况</v>
      </c>
      <c r="AA27" s="1563">
        <f t="shared" si="3"/>
        <v>1</v>
      </c>
      <c r="AB27" s="1563">
        <f t="shared" si="4"/>
        <v>1</v>
      </c>
      <c r="AC27" s="1563">
        <f t="shared" si="5"/>
        <v>1</v>
      </c>
    </row>
    <row r="28" spans="1:29" ht="20.25">
      <c r="A28" s="515"/>
      <c r="B28" s="566"/>
      <c r="C28" s="554" t="s">
        <v>3204</v>
      </c>
      <c r="D28" s="557"/>
      <c r="E28" s="554" t="s">
        <v>3204</v>
      </c>
      <c r="F28" s="555"/>
      <c r="G28" s="554" t="s">
        <v>3204</v>
      </c>
      <c r="H28" s="555"/>
      <c r="I28" s="554" t="s">
        <v>3204</v>
      </c>
      <c r="J28" s="555"/>
      <c r="K28" s="531"/>
      <c r="L28" s="2128"/>
      <c r="M28" s="2118"/>
      <c r="N28" s="2118"/>
      <c r="O28" s="2127"/>
      <c r="P28" s="3399"/>
      <c r="Q28" s="1559"/>
      <c r="R28" s="1560"/>
      <c r="S28" s="1561"/>
      <c r="T28" s="1560"/>
      <c r="U28" s="1561"/>
      <c r="V28" s="1560"/>
      <c r="W28" s="1561"/>
      <c r="X28" s="1554"/>
      <c r="Y28" s="3399"/>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399"/>
      <c r="Q29" s="1147" t="str">
        <f t="shared" si="8"/>
        <v>公共配套设施</v>
      </c>
      <c r="R29" s="1555" t="s">
        <v>8</v>
      </c>
      <c r="S29" s="1556">
        <f>F29</f>
        <v>100</v>
      </c>
      <c r="T29" s="1555" t="s">
        <v>8</v>
      </c>
      <c r="U29" s="1556">
        <f>H29</f>
        <v>100</v>
      </c>
      <c r="V29" s="1555" t="s">
        <v>8</v>
      </c>
      <c r="W29" s="1556">
        <f>J29</f>
        <v>100</v>
      </c>
      <c r="X29" s="1557"/>
      <c r="Y29" s="3399"/>
      <c r="Z29" s="1146" t="str">
        <f>Q29</f>
        <v>公共配套设施</v>
      </c>
      <c r="AA29" s="1563">
        <f>D29/F29</f>
        <v>1</v>
      </c>
      <c r="AB29" s="1563">
        <f>D29/H29</f>
        <v>1</v>
      </c>
      <c r="AC29" s="1563">
        <f>D29/J29</f>
        <v>1</v>
      </c>
    </row>
    <row r="30" spans="1:29" s="1216" customFormat="1" ht="20.25">
      <c r="A30" s="577"/>
      <c r="B30" s="566"/>
      <c r="C30" s="579" t="s">
        <v>3203</v>
      </c>
      <c r="D30" s="557"/>
      <c r="E30" s="579" t="s">
        <v>3203</v>
      </c>
      <c r="F30" s="555"/>
      <c r="G30" s="579" t="s">
        <v>3203</v>
      </c>
      <c r="H30" s="555"/>
      <c r="I30" s="579" t="s">
        <v>3203</v>
      </c>
      <c r="J30" s="555"/>
      <c r="K30" s="531"/>
      <c r="L30" s="2121"/>
      <c r="M30" s="2118"/>
      <c r="N30" s="2118"/>
      <c r="O30" s="2123"/>
      <c r="P30" s="3399"/>
      <c r="Q30" s="1147"/>
      <c r="R30" s="1555"/>
      <c r="S30" s="1556"/>
      <c r="T30" s="1555"/>
      <c r="U30" s="1556"/>
      <c r="V30" s="1555"/>
      <c r="W30" s="1556"/>
      <c r="X30" s="1557"/>
      <c r="Y30" s="3399"/>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399"/>
      <c r="Q31" s="2543" t="str">
        <f t="shared" ref="Q31" si="9">B31</f>
        <v>基础设施水平</v>
      </c>
      <c r="R31" s="1555" t="s">
        <v>8</v>
      </c>
      <c r="S31" s="1556">
        <f>F31</f>
        <v>100</v>
      </c>
      <c r="T31" s="1555" t="s">
        <v>8</v>
      </c>
      <c r="U31" s="1556">
        <f>H31</f>
        <v>100</v>
      </c>
      <c r="V31" s="1555" t="s">
        <v>8</v>
      </c>
      <c r="W31" s="1556">
        <f>J31</f>
        <v>100</v>
      </c>
      <c r="X31" s="1557"/>
      <c r="Y31" s="3399"/>
      <c r="Z31" s="2540" t="str">
        <f>Q31</f>
        <v>基础设施水平</v>
      </c>
      <c r="AA31" s="1563">
        <f>D31/F31</f>
        <v>1</v>
      </c>
      <c r="AB31" s="1563">
        <f>D31/H31</f>
        <v>1</v>
      </c>
      <c r="AC31" s="1563">
        <f>D31/J31</f>
        <v>1</v>
      </c>
    </row>
    <row r="32" spans="1:29" s="1216" customFormat="1" ht="20.25">
      <c r="A32" s="577"/>
      <c r="B32" s="566"/>
      <c r="C32" s="579" t="s">
        <v>3211</v>
      </c>
      <c r="D32" s="557"/>
      <c r="E32" s="579" t="s">
        <v>3211</v>
      </c>
      <c r="F32" s="555"/>
      <c r="G32" s="579" t="s">
        <v>3211</v>
      </c>
      <c r="H32" s="555"/>
      <c r="I32" s="579" t="s">
        <v>3211</v>
      </c>
      <c r="J32" s="555"/>
      <c r="K32" s="531"/>
      <c r="L32" s="2121"/>
      <c r="M32" s="2118"/>
      <c r="N32" s="2118"/>
      <c r="O32" s="2123"/>
      <c r="P32" s="3399"/>
      <c r="Q32" s="2543"/>
      <c r="R32" s="1555"/>
      <c r="S32" s="1556"/>
      <c r="T32" s="1555"/>
      <c r="U32" s="1556"/>
      <c r="V32" s="1555"/>
      <c r="W32" s="1556"/>
      <c r="X32" s="1557"/>
      <c r="Y32" s="3399"/>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99"/>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99"/>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99"/>
      <c r="Q34" s="1559" t="str">
        <f t="shared" si="8"/>
        <v>毗邻道路的类型与等级</v>
      </c>
      <c r="R34" s="1560" t="s">
        <v>8</v>
      </c>
      <c r="S34" s="1561">
        <f t="shared" si="10"/>
        <v>100</v>
      </c>
      <c r="T34" s="1560" t="s">
        <v>8</v>
      </c>
      <c r="U34" s="1561">
        <f t="shared" si="11"/>
        <v>100</v>
      </c>
      <c r="V34" s="1560" t="s">
        <v>8</v>
      </c>
      <c r="W34" s="1561">
        <f t="shared" si="12"/>
        <v>100</v>
      </c>
      <c r="X34" s="1554"/>
      <c r="Y34" s="3399"/>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399"/>
      <c r="Q35" s="1559"/>
      <c r="R35" s="1560"/>
      <c r="S35" s="1561"/>
      <c r="T35" s="1560"/>
      <c r="U35" s="1561"/>
      <c r="V35" s="1560"/>
      <c r="W35" s="1561"/>
      <c r="X35" s="1554"/>
      <c r="Y35" s="3399"/>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99"/>
      <c r="Q36" s="1559" t="str">
        <f t="shared" si="8"/>
        <v>土地级别</v>
      </c>
      <c r="R36" s="1560" t="s">
        <v>8</v>
      </c>
      <c r="S36" s="1561">
        <f t="shared" si="10"/>
        <v>100</v>
      </c>
      <c r="T36" s="1560" t="s">
        <v>8</v>
      </c>
      <c r="U36" s="1561">
        <f t="shared" si="11"/>
        <v>100</v>
      </c>
      <c r="V36" s="1560" t="s">
        <v>8</v>
      </c>
      <c r="W36" s="1561">
        <f t="shared" si="12"/>
        <v>100</v>
      </c>
      <c r="X36" s="1554"/>
      <c r="Y36" s="3399"/>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99"/>
      <c r="Q37" s="1559">
        <f t="shared" si="8"/>
        <v>111</v>
      </c>
      <c r="R37" s="1560" t="s">
        <v>8</v>
      </c>
      <c r="S37" s="1561">
        <f t="shared" si="10"/>
        <v>100</v>
      </c>
      <c r="T37" s="1560" t="s">
        <v>8</v>
      </c>
      <c r="U37" s="1561">
        <f t="shared" si="11"/>
        <v>100</v>
      </c>
      <c r="V37" s="1560" t="s">
        <v>8</v>
      </c>
      <c r="W37" s="1561">
        <f t="shared" si="12"/>
        <v>100</v>
      </c>
      <c r="X37" s="1554"/>
      <c r="Y37" s="3399"/>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00" t="s">
        <v>550</v>
      </c>
      <c r="Q38" s="1559">
        <f t="shared" si="8"/>
        <v>111</v>
      </c>
      <c r="R38" s="1560" t="s">
        <v>8</v>
      </c>
      <c r="S38" s="1561">
        <f t="shared" si="10"/>
        <v>100</v>
      </c>
      <c r="T38" s="1560" t="s">
        <v>8</v>
      </c>
      <c r="U38" s="1561">
        <f t="shared" si="11"/>
        <v>100</v>
      </c>
      <c r="V38" s="1560" t="s">
        <v>8</v>
      </c>
      <c r="W38" s="1561">
        <f t="shared" si="12"/>
        <v>100</v>
      </c>
      <c r="X38" s="1554"/>
      <c r="Y38" s="3401"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01"/>
      <c r="Q39" s="1559">
        <f t="shared" si="8"/>
        <v>111</v>
      </c>
      <c r="R39" s="1564" t="s">
        <v>8</v>
      </c>
      <c r="S39" s="1565">
        <f t="shared" si="10"/>
        <v>100</v>
      </c>
      <c r="T39" s="1564" t="s">
        <v>8</v>
      </c>
      <c r="U39" s="1565">
        <f t="shared" si="11"/>
        <v>100</v>
      </c>
      <c r="V39" s="1564" t="s">
        <v>8</v>
      </c>
      <c r="W39" s="1565">
        <f t="shared" si="12"/>
        <v>100</v>
      </c>
      <c r="X39" s="1566"/>
      <c r="Y39" s="3401"/>
      <c r="Z39" s="1567">
        <f t="shared" si="13"/>
        <v>111</v>
      </c>
      <c r="AA39" s="1563">
        <f t="shared" si="3"/>
        <v>1</v>
      </c>
      <c r="AB39" s="1563">
        <f t="shared" si="4"/>
        <v>1</v>
      </c>
      <c r="AC39" s="1563">
        <f t="shared" si="5"/>
        <v>1</v>
      </c>
    </row>
    <row r="40" spans="1:29" ht="20.25">
      <c r="A40" s="2863" t="s">
        <v>2754</v>
      </c>
      <c r="B40" s="595" t="s">
        <v>552</v>
      </c>
      <c r="C40" s="596">
        <f>'数据-汇总表'!D8</f>
        <v>47587.83</v>
      </c>
      <c r="D40" s="597">
        <v>100</v>
      </c>
      <c r="E40" s="596">
        <f>Sheet1!$G$11</f>
        <v>48369.83</v>
      </c>
      <c r="F40" s="597">
        <f>LOOKUP(E40,119:119,120:120)-LOOKUP(C40,119:119,120:120)+100</f>
        <v>100</v>
      </c>
      <c r="G40" s="596">
        <f>Sheet1!G7</f>
        <v>23001.87</v>
      </c>
      <c r="H40" s="597">
        <f>LOOKUP(G40,119:119,120:120)-LOOKUP(C40,119:119,120:120)+100</f>
        <v>101</v>
      </c>
      <c r="I40" s="598">
        <f>Sheet1!G8</f>
        <v>87163.82</v>
      </c>
      <c r="J40" s="597">
        <f>LOOKUP(I40,119:119,120:120)-LOOKUP(C40,119:119,120:120)+100</f>
        <v>98</v>
      </c>
      <c r="K40" s="581"/>
      <c r="L40" s="2128"/>
      <c r="M40" s="2118"/>
      <c r="N40" s="2118"/>
      <c r="O40" s="2127"/>
      <c r="P40" s="3401"/>
      <c r="Q40" s="1559" t="str">
        <f>B40</f>
        <v>宗地面积</v>
      </c>
      <c r="R40" s="1560" t="s">
        <v>8</v>
      </c>
      <c r="S40" s="1561">
        <f t="shared" si="10"/>
        <v>100</v>
      </c>
      <c r="T40" s="1560" t="s">
        <v>8</v>
      </c>
      <c r="U40" s="1561">
        <f t="shared" si="11"/>
        <v>101</v>
      </c>
      <c r="V40" s="1560" t="s">
        <v>8</v>
      </c>
      <c r="W40" s="1561">
        <f t="shared" si="12"/>
        <v>98</v>
      </c>
      <c r="X40" s="1554"/>
      <c r="Y40" s="3401"/>
      <c r="Z40" s="1562" t="str">
        <f t="shared" si="13"/>
        <v>宗地面积</v>
      </c>
      <c r="AA40" s="1563">
        <f t="shared" si="3"/>
        <v>1</v>
      </c>
      <c r="AB40" s="1563">
        <f t="shared" si="4"/>
        <v>0.99009900990099009</v>
      </c>
      <c r="AC40" s="1563">
        <f t="shared" si="5"/>
        <v>1.0204081632653061</v>
      </c>
    </row>
    <row r="41" spans="1:29" ht="20.25">
      <c r="A41" s="594"/>
      <c r="B41" s="527" t="s">
        <v>553</v>
      </c>
      <c r="C41" s="599" t="s">
        <v>3206</v>
      </c>
      <c r="D41" s="540">
        <v>100</v>
      </c>
      <c r="E41" s="599" t="s">
        <v>3206</v>
      </c>
      <c r="F41" s="540">
        <f>SUMIF(121:121,E41,122:122)-SUMIF(121:121,C41,122:122)+100</f>
        <v>100</v>
      </c>
      <c r="G41" s="599" t="s">
        <v>3206</v>
      </c>
      <c r="H41" s="540">
        <f>SUMIF(121:121,G41,122:122)-SUMIF(121:121,C41,122:122)+100</f>
        <v>100</v>
      </c>
      <c r="I41" s="599" t="s">
        <v>3206</v>
      </c>
      <c r="J41" s="540">
        <f>SUMIF(121:121,I41,122:122)-SUMIF(121:121,C41,122:122)+100</f>
        <v>100</v>
      </c>
      <c r="K41" s="584"/>
      <c r="L41" s="2128"/>
      <c r="M41" s="2118"/>
      <c r="N41" s="2118"/>
      <c r="O41" s="2127"/>
      <c r="P41" s="3401"/>
      <c r="Q41" s="1559" t="str">
        <f t="shared" ref="Q41:Q47" si="14">B41</f>
        <v>宗地形状</v>
      </c>
      <c r="R41" s="1560" t="s">
        <v>8</v>
      </c>
      <c r="S41" s="1561">
        <f t="shared" si="10"/>
        <v>100</v>
      </c>
      <c r="T41" s="1560" t="s">
        <v>8</v>
      </c>
      <c r="U41" s="1561">
        <f t="shared" si="11"/>
        <v>100</v>
      </c>
      <c r="V41" s="1560" t="s">
        <v>8</v>
      </c>
      <c r="W41" s="1561">
        <f t="shared" si="12"/>
        <v>100</v>
      </c>
      <c r="X41" s="1554"/>
      <c r="Y41" s="3401"/>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01"/>
      <c r="Q42" s="1559" t="str">
        <f t="shared" si="14"/>
        <v>临街宽度及深度</v>
      </c>
      <c r="R42" s="1560" t="s">
        <v>8</v>
      </c>
      <c r="S42" s="1561">
        <f t="shared" si="10"/>
        <v>100</v>
      </c>
      <c r="T42" s="1560" t="s">
        <v>8</v>
      </c>
      <c r="U42" s="1561">
        <f t="shared" si="11"/>
        <v>100</v>
      </c>
      <c r="V42" s="1560" t="s">
        <v>8</v>
      </c>
      <c r="W42" s="1561">
        <f t="shared" si="12"/>
        <v>100</v>
      </c>
      <c r="X42" s="1554"/>
      <c r="Y42" s="3401"/>
      <c r="Z42" s="1562" t="str">
        <f t="shared" si="13"/>
        <v>临街宽度及深度</v>
      </c>
      <c r="AA42" s="1563">
        <f t="shared" si="3"/>
        <v>1</v>
      </c>
      <c r="AB42" s="1563">
        <f t="shared" si="4"/>
        <v>1</v>
      </c>
      <c r="AC42" s="1563">
        <f t="shared" si="5"/>
        <v>1</v>
      </c>
    </row>
    <row r="43" spans="1:29" s="1216" customFormat="1" ht="20.25">
      <c r="A43" s="600"/>
      <c r="B43" s="1881" t="s">
        <v>2424</v>
      </c>
      <c r="C43" s="601" t="s">
        <v>3211</v>
      </c>
      <c r="D43" s="255">
        <v>100</v>
      </c>
      <c r="E43" s="601" t="s">
        <v>3211</v>
      </c>
      <c r="F43" s="540">
        <f>SUMIF(125:125,E43,126:126)-SUMIF(125:125,C43,126:126)+100</f>
        <v>100</v>
      </c>
      <c r="G43" s="601" t="s">
        <v>3211</v>
      </c>
      <c r="H43" s="540">
        <f>SUMIF(125:125,G43,126:126)-SUMIF(125:125,C43,126:126)+100</f>
        <v>100</v>
      </c>
      <c r="I43" s="601" t="s">
        <v>3211</v>
      </c>
      <c r="J43" s="540">
        <f>SUMIF(125:125,I43,126:126)-SUMIF(125:125,C43,126:126)+100</f>
        <v>100</v>
      </c>
      <c r="K43" s="584"/>
      <c r="L43" s="2121"/>
      <c r="M43" s="2118"/>
      <c r="N43" s="2118"/>
      <c r="O43" s="2123"/>
      <c r="P43" s="3401"/>
      <c r="Q43" s="1559" t="str">
        <f t="shared" si="14"/>
        <v>宗地开发程度</v>
      </c>
      <c r="R43" s="1555" t="s">
        <v>8</v>
      </c>
      <c r="S43" s="1556">
        <f t="shared" si="10"/>
        <v>100</v>
      </c>
      <c r="T43" s="1555" t="s">
        <v>8</v>
      </c>
      <c r="U43" s="1556">
        <f t="shared" si="11"/>
        <v>100</v>
      </c>
      <c r="V43" s="1555" t="s">
        <v>8</v>
      </c>
      <c r="W43" s="1556">
        <f t="shared" si="12"/>
        <v>100</v>
      </c>
      <c r="X43" s="1557"/>
      <c r="Y43" s="3401"/>
      <c r="Z43" s="1146" t="str">
        <f t="shared" si="13"/>
        <v>宗地开发程度</v>
      </c>
      <c r="AA43" s="1558">
        <f t="shared" si="3"/>
        <v>1</v>
      </c>
      <c r="AB43" s="1558">
        <f t="shared" si="4"/>
        <v>1</v>
      </c>
      <c r="AC43" s="1558">
        <f t="shared" si="5"/>
        <v>1</v>
      </c>
    </row>
    <row r="44" spans="1:29" ht="20.25">
      <c r="A44" s="594"/>
      <c r="B44" s="527" t="s">
        <v>555</v>
      </c>
      <c r="C44" s="599" t="s">
        <v>3203</v>
      </c>
      <c r="D44" s="540">
        <v>100</v>
      </c>
      <c r="E44" s="599" t="s">
        <v>3203</v>
      </c>
      <c r="F44" s="540">
        <f>SUMIF(127:127,E44,128:128)-SUMIF(127:127,C44,128:128)+100</f>
        <v>100</v>
      </c>
      <c r="G44" s="599" t="s">
        <v>3203</v>
      </c>
      <c r="H44" s="540">
        <f>SUMIF(127:127,G44,128:128)-SUMIF(127:127,C44,128:128)+100</f>
        <v>100</v>
      </c>
      <c r="I44" s="599" t="s">
        <v>3203</v>
      </c>
      <c r="J44" s="540">
        <f>SUMIF(127:127,I44,128:128)-SUMIF(127:127,C44,128:128)+100</f>
        <v>100</v>
      </c>
      <c r="K44" s="584"/>
      <c r="L44" s="2128"/>
      <c r="M44" s="2118"/>
      <c r="N44" s="2118"/>
      <c r="O44" s="2127"/>
      <c r="P44" s="3401" t="s">
        <v>550</v>
      </c>
      <c r="Q44" s="1559" t="str">
        <f t="shared" si="14"/>
        <v>工程地质条件</v>
      </c>
      <c r="R44" s="1560" t="s">
        <v>8</v>
      </c>
      <c r="S44" s="1561">
        <f t="shared" si="10"/>
        <v>100</v>
      </c>
      <c r="T44" s="1560" t="s">
        <v>8</v>
      </c>
      <c r="U44" s="1561">
        <f t="shared" si="11"/>
        <v>100</v>
      </c>
      <c r="V44" s="1560" t="s">
        <v>8</v>
      </c>
      <c r="W44" s="1561">
        <f t="shared" si="12"/>
        <v>100</v>
      </c>
      <c r="X44" s="1554"/>
      <c r="Y44" s="3401"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01"/>
      <c r="Q45" s="1559">
        <f t="shared" si="14"/>
        <v>111</v>
      </c>
      <c r="R45" s="1560" t="s">
        <v>8</v>
      </c>
      <c r="S45" s="1561">
        <f t="shared" si="10"/>
        <v>100</v>
      </c>
      <c r="T45" s="1560" t="s">
        <v>8</v>
      </c>
      <c r="U45" s="1561">
        <f t="shared" si="11"/>
        <v>100</v>
      </c>
      <c r="V45" s="1560" t="s">
        <v>8</v>
      </c>
      <c r="W45" s="1561">
        <f t="shared" si="12"/>
        <v>100</v>
      </c>
      <c r="X45" s="1554"/>
      <c r="Y45" s="3401"/>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01"/>
      <c r="Q46" s="1559">
        <f t="shared" si="14"/>
        <v>111</v>
      </c>
      <c r="R46" s="1560" t="s">
        <v>8</v>
      </c>
      <c r="S46" s="1561">
        <f t="shared" si="10"/>
        <v>100</v>
      </c>
      <c r="T46" s="1560" t="s">
        <v>8</v>
      </c>
      <c r="U46" s="1561">
        <f t="shared" si="11"/>
        <v>100</v>
      </c>
      <c r="V46" s="1560" t="s">
        <v>8</v>
      </c>
      <c r="W46" s="1561">
        <f t="shared" si="12"/>
        <v>100</v>
      </c>
      <c r="X46" s="1554"/>
      <c r="Y46" s="3401"/>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01"/>
      <c r="Q47" s="1559">
        <f t="shared" si="14"/>
        <v>111</v>
      </c>
      <c r="R47" s="1564" t="s">
        <v>8</v>
      </c>
      <c r="S47" s="1565">
        <f t="shared" si="10"/>
        <v>100</v>
      </c>
      <c r="T47" s="1564" t="s">
        <v>8</v>
      </c>
      <c r="U47" s="1565">
        <f t="shared" si="11"/>
        <v>100</v>
      </c>
      <c r="V47" s="1564" t="s">
        <v>8</v>
      </c>
      <c r="W47" s="1565">
        <f t="shared" si="12"/>
        <v>100</v>
      </c>
      <c r="X47" s="1566"/>
      <c r="Y47" s="3401"/>
      <c r="Z47" s="1567">
        <f t="shared" si="13"/>
        <v>111</v>
      </c>
      <c r="AA47" s="1563">
        <f t="shared" si="3"/>
        <v>1</v>
      </c>
      <c r="AB47" s="1563">
        <f t="shared" si="4"/>
        <v>1</v>
      </c>
      <c r="AC47" s="1563">
        <f t="shared" si="5"/>
        <v>1</v>
      </c>
    </row>
    <row r="48" spans="1:29" ht="20.25">
      <c r="A48" s="607" t="s">
        <v>556</v>
      </c>
      <c r="B48" s="608" t="s">
        <v>3040</v>
      </c>
      <c r="C48" s="609" t="s">
        <v>1</v>
      </c>
      <c r="D48" s="610"/>
      <c r="E48" s="3189">
        <f>Sheet1!$O$11</f>
        <v>3407.07</v>
      </c>
      <c r="F48" s="612"/>
      <c r="G48" s="3190">
        <f>Sheet1!O7</f>
        <v>3495.36</v>
      </c>
      <c r="H48" s="614"/>
      <c r="I48" s="3189">
        <f>Sheet1!O8</f>
        <v>3102.21</v>
      </c>
      <c r="J48" s="614"/>
      <c r="K48" s="1336"/>
      <c r="L48" s="2130"/>
      <c r="M48" s="2118"/>
      <c r="N48" s="2118"/>
      <c r="O48" s="2131"/>
      <c r="P48" s="3363" t="str">
        <f>A48</f>
        <v>成交单价</v>
      </c>
      <c r="Q48" s="3363"/>
      <c r="R48" s="3364">
        <f>E48</f>
        <v>3407.07</v>
      </c>
      <c r="S48" s="3364"/>
      <c r="T48" s="3364">
        <f>G48</f>
        <v>3495.36</v>
      </c>
      <c r="U48" s="3364"/>
      <c r="V48" s="3364">
        <f>I48</f>
        <v>3102.21</v>
      </c>
      <c r="W48" s="3364"/>
      <c r="X48" s="1546"/>
      <c r="Y48" s="1568"/>
      <c r="Z48" s="1546"/>
      <c r="AA48" s="1546"/>
      <c r="AB48" s="1546"/>
      <c r="AC48" s="1546"/>
    </row>
    <row r="49" spans="1:29" ht="21" thickBot="1">
      <c r="A49" s="615" t="s">
        <v>2692</v>
      </c>
      <c r="B49" s="616"/>
      <c r="C49" s="617">
        <f>R50</f>
        <v>3362</v>
      </c>
      <c r="D49" s="618"/>
      <c r="E49" s="617">
        <f>R49</f>
        <v>3408</v>
      </c>
      <c r="F49" s="619"/>
      <c r="G49" s="620">
        <f>T49</f>
        <v>3462</v>
      </c>
      <c r="H49" s="618"/>
      <c r="I49" s="617">
        <f>V49</f>
        <v>3216</v>
      </c>
      <c r="J49" s="618"/>
      <c r="K49" s="1337"/>
      <c r="L49" s="2130"/>
      <c r="M49" s="2118"/>
      <c r="N49" s="2118"/>
      <c r="O49" s="2131"/>
      <c r="P49" s="3363" t="str">
        <f>A49</f>
        <v>比较价格（元/平方米）</v>
      </c>
      <c r="Q49" s="3363"/>
      <c r="R49" s="3365">
        <f>ROUND(PRODUCT(R48,AA9:AA47),0)</f>
        <v>3408</v>
      </c>
      <c r="S49" s="3365"/>
      <c r="T49" s="3365">
        <f>ROUND(PRODUCT(T48,AB9:AB47),0)</f>
        <v>3462</v>
      </c>
      <c r="U49" s="3365"/>
      <c r="V49" s="3365">
        <f>ROUND(PRODUCT(V48,AC9:AC47),0)</f>
        <v>3216</v>
      </c>
      <c r="W49" s="3365"/>
      <c r="X49" s="1546"/>
      <c r="Y49" s="1546"/>
      <c r="Z49" s="1546"/>
      <c r="AA49" s="1546"/>
      <c r="AB49" s="1546"/>
      <c r="AC49" s="1546"/>
    </row>
    <row r="50" spans="1:29" ht="21" thickBot="1">
      <c r="A50" s="621" t="s">
        <v>2936</v>
      </c>
      <c r="B50" s="622"/>
      <c r="C50" s="623">
        <f>R50</f>
        <v>3362</v>
      </c>
      <c r="D50" s="623"/>
      <c r="E50" s="623"/>
      <c r="F50" s="623"/>
      <c r="G50" s="623"/>
      <c r="H50" s="623"/>
      <c r="I50" s="623"/>
      <c r="J50" s="623"/>
      <c r="K50" s="1338"/>
      <c r="L50" s="2130"/>
      <c r="M50" s="2118"/>
      <c r="N50" s="2118"/>
      <c r="O50" s="2131"/>
      <c r="P50" s="3360" t="str">
        <f>A50</f>
        <v>估价对象XX用房的比较价格（楼面单价，元/平方米）</v>
      </c>
      <c r="Q50" s="3361"/>
      <c r="R50" s="3362">
        <f>ROUND(AVERAGE(R49:V49),0)</f>
        <v>3362</v>
      </c>
      <c r="S50" s="3362"/>
      <c r="T50" s="3362"/>
      <c r="U50" s="3362"/>
      <c r="V50" s="3362"/>
      <c r="W50" s="3362"/>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2.7296181176206247E-4</v>
      </c>
      <c r="F53" s="627" t="str">
        <f>IF(OR(E53&gt;=0.3,E53&lt;=-0.3),"超过30%","")</f>
        <v/>
      </c>
      <c r="G53" s="626">
        <f>IF(G48&lt;G49,G49/G48-1,G48/G49-1)</f>
        <v>9.6360485268631724E-3</v>
      </c>
      <c r="H53" s="627" t="str">
        <f>IF(OR(G53&gt;=0.3,G53&lt;=-0.3),"超过30%","")</f>
        <v/>
      </c>
      <c r="I53" s="626">
        <f>IF(I48&lt;I49,I49/I48-1,I48/I49-1)</f>
        <v>3.6680302107207519E-2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1.5845070422535246E-2</v>
      </c>
      <c r="F54" s="627" t="str">
        <f>IF(OR(E54&gt;=0.2,E54&lt;=-0.2),"超过20%","")</f>
        <v/>
      </c>
      <c r="G54" s="626">
        <f>IF(G49&lt;I49,I49/G49-1,G49/I49-1)</f>
        <v>7.6492537313432862E-2</v>
      </c>
      <c r="H54" s="627" t="str">
        <f>IF(OR(G54&gt;=0.2,G54&lt;=-0.2),"超过20%","")</f>
        <v/>
      </c>
      <c r="I54" s="626">
        <f>IF(I49&lt;E49,E49/I49-1,I49/E49-1)</f>
        <v>5.9701492537313383E-2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2.5913761677922587E-2</v>
      </c>
      <c r="F55" s="627" t="str">
        <f>IF(OR(E55&gt;=0.3,E55&lt;=-0.3),"超过30%","")</f>
        <v/>
      </c>
      <c r="G55" s="626">
        <f>IF(G48&lt;I48,I48/G48-1,G48/I48-1)</f>
        <v>0.12673223282756485</v>
      </c>
      <c r="H55" s="627" t="str">
        <f>IF(OR(G55&gt;=0.3,G55&lt;=-0.3),"超过30%","")</f>
        <v/>
      </c>
      <c r="I55" s="626">
        <f>IF(I48&lt;E48,E48/I48-1,I48/E48-1)</f>
        <v>9.827187714564789E-2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90" t="s">
        <v>2281</v>
      </c>
      <c r="H57" s="3391"/>
      <c r="I57" s="1542" t="s">
        <v>1722</v>
      </c>
      <c r="J57" s="1542" t="str">
        <f>项目基本情况!F41</f>
        <v>柳州市</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3362</v>
      </c>
      <c r="C58" s="635">
        <v>1</v>
      </c>
      <c r="D58" s="2214">
        <v>1</v>
      </c>
      <c r="E58" s="635">
        <f>'数据-汇总表'!E8+'数据-汇总表'!E9</f>
        <v>152843.82999999999</v>
      </c>
      <c r="F58" s="636">
        <f t="shared" ref="F58:F67" si="15">ROUND(B58*E58/10000,0)</f>
        <v>51386</v>
      </c>
      <c r="G58" s="3392"/>
      <c r="H58" s="3393"/>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94"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94"/>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94"/>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94"/>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152843.82999999999</v>
      </c>
      <c r="F68" s="644">
        <f>IF(B48="楼面地价",SUM(F58:F67),ROUND(C50*E68/10000,0))</f>
        <v>51386</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2019-8-1</v>
      </c>
      <c r="D70" s="2755">
        <f>EDATE(C70,-3)</f>
        <v>43586</v>
      </c>
      <c r="E70" s="2755">
        <f t="shared" ref="E70:N70" si="18">EDATE(D70,-3)</f>
        <v>43497</v>
      </c>
      <c r="F70" s="2755">
        <f t="shared" si="18"/>
        <v>43405</v>
      </c>
      <c r="G70" s="2755">
        <f t="shared" si="18"/>
        <v>43313</v>
      </c>
      <c r="H70" s="2755">
        <f t="shared" si="18"/>
        <v>43221</v>
      </c>
      <c r="I70" s="2755">
        <f t="shared" si="18"/>
        <v>43132</v>
      </c>
      <c r="J70" s="2755">
        <f t="shared" si="18"/>
        <v>43040</v>
      </c>
      <c r="K70" s="2755">
        <f t="shared" si="18"/>
        <v>42948</v>
      </c>
      <c r="L70" s="2755">
        <f t="shared" si="18"/>
        <v>42856</v>
      </c>
      <c r="M70" s="2755">
        <f t="shared" si="18"/>
        <v>42767</v>
      </c>
      <c r="N70" s="2755">
        <f t="shared" si="18"/>
        <v>42675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923</v>
      </c>
      <c r="B73" s="479" t="str">
        <f>"北京市平均增长率"&amp;TEXT(SUMIF(基准地价!N21:N25,A73,基准地价!P21:P25),"0.00%")</f>
        <v>北京市平均增长率2.23%</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185" t="s">
        <v>3025</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v>5</v>
      </c>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186" t="s">
        <v>3026</v>
      </c>
      <c r="D108" s="3186" t="s">
        <v>3027</v>
      </c>
      <c r="E108" s="3186" t="s">
        <v>3028</v>
      </c>
      <c r="F108" s="3186" t="s">
        <v>3029</v>
      </c>
      <c r="G108" s="3186" t="s">
        <v>3030</v>
      </c>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80000(含)-90000</v>
      </c>
      <c r="H118" s="704" t="str">
        <f t="shared" si="26"/>
        <v>90000(含)-</v>
      </c>
      <c r="I118" s="704" t="str">
        <f t="shared" si="26"/>
        <v>(含)-</v>
      </c>
      <c r="J118" s="3045" t="str">
        <f t="shared" si="26"/>
        <v>(含)-</v>
      </c>
      <c r="K118" s="3045" t="str">
        <f t="shared" si="26"/>
        <v>(含)-</v>
      </c>
      <c r="L118" s="3046" t="str">
        <f t="shared" si="26"/>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20000</v>
      </c>
      <c r="E119" s="730">
        <v>40000</v>
      </c>
      <c r="F119" s="730">
        <v>60000</v>
      </c>
      <c r="G119" s="730">
        <v>80000</v>
      </c>
      <c r="H119" s="730">
        <v>90000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f>C120-1</f>
        <v>99</v>
      </c>
      <c r="E120" s="726">
        <f t="shared" ref="E120:G120" si="27">D120-1</f>
        <v>98</v>
      </c>
      <c r="F120" s="726">
        <f t="shared" si="27"/>
        <v>97</v>
      </c>
      <c r="G120" s="726">
        <f t="shared" si="27"/>
        <v>96</v>
      </c>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94" t="s">
        <v>3205</v>
      </c>
      <c r="D121" s="3194" t="s">
        <v>3207</v>
      </c>
      <c r="E121" s="3194" t="s">
        <v>3208</v>
      </c>
      <c r="F121" s="3194" t="s">
        <v>3209</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8">C122-$K41</f>
        <v>100</v>
      </c>
      <c r="E122" s="679">
        <f t="shared" si="28"/>
        <v>100</v>
      </c>
      <c r="F122" s="679">
        <f t="shared" si="28"/>
        <v>100</v>
      </c>
      <c r="G122" s="679">
        <f t="shared" si="28"/>
        <v>100</v>
      </c>
      <c r="H122" s="679">
        <f t="shared" si="28"/>
        <v>100</v>
      </c>
      <c r="I122" s="679">
        <f t="shared" si="28"/>
        <v>100</v>
      </c>
      <c r="J122" s="679">
        <f t="shared" si="28"/>
        <v>100</v>
      </c>
      <c r="K122" s="679">
        <f t="shared" si="28"/>
        <v>100</v>
      </c>
      <c r="L122" s="679">
        <f t="shared" si="28"/>
        <v>100</v>
      </c>
      <c r="M122" s="680">
        <f t="shared" si="28"/>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9">C124-$K42</f>
        <v>100</v>
      </c>
      <c r="E124" s="679">
        <f t="shared" si="29"/>
        <v>100</v>
      </c>
      <c r="F124" s="679">
        <f t="shared" si="29"/>
        <v>100</v>
      </c>
      <c r="G124" s="679">
        <f t="shared" si="29"/>
        <v>100</v>
      </c>
      <c r="H124" s="679">
        <f t="shared" si="29"/>
        <v>100</v>
      </c>
      <c r="I124" s="679">
        <f t="shared" si="29"/>
        <v>100</v>
      </c>
      <c r="J124" s="679">
        <f t="shared" si="29"/>
        <v>100</v>
      </c>
      <c r="K124" s="679">
        <f t="shared" si="29"/>
        <v>100</v>
      </c>
      <c r="L124" s="679">
        <f t="shared" si="29"/>
        <v>100</v>
      </c>
      <c r="M124" s="680">
        <f t="shared" si="29"/>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3210</v>
      </c>
      <c r="D125" s="1372" t="s">
        <v>3211</v>
      </c>
      <c r="E125" s="1372" t="s">
        <v>3212</v>
      </c>
      <c r="F125" s="1372" t="s">
        <v>3213</v>
      </c>
      <c r="G125" s="1372" t="s">
        <v>3214</v>
      </c>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30">D126-$K43</f>
        <v>100</v>
      </c>
      <c r="F126" s="679">
        <f t="shared" si="30"/>
        <v>100</v>
      </c>
      <c r="G126" s="679">
        <f t="shared" si="30"/>
        <v>100</v>
      </c>
      <c r="H126" s="679">
        <f t="shared" si="30"/>
        <v>100</v>
      </c>
      <c r="I126" s="679">
        <f t="shared" si="30"/>
        <v>100</v>
      </c>
      <c r="J126" s="679">
        <f t="shared" si="30"/>
        <v>100</v>
      </c>
      <c r="K126" s="679">
        <f t="shared" si="30"/>
        <v>100</v>
      </c>
      <c r="L126" s="679">
        <f t="shared" si="30"/>
        <v>100</v>
      </c>
      <c r="M126" s="680">
        <f t="shared" si="30"/>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t="s">
        <v>3215</v>
      </c>
      <c r="D127" s="688" t="s">
        <v>3203</v>
      </c>
      <c r="E127" s="718" t="s">
        <v>3204</v>
      </c>
      <c r="F127" s="718" t="s">
        <v>3216</v>
      </c>
      <c r="G127" s="718" t="s">
        <v>3217</v>
      </c>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1">C128-$K44</f>
        <v>100</v>
      </c>
      <c r="E128" s="679">
        <f t="shared" si="31"/>
        <v>100</v>
      </c>
      <c r="F128" s="679">
        <f t="shared" si="31"/>
        <v>100</v>
      </c>
      <c r="G128" s="679">
        <f t="shared" si="31"/>
        <v>100</v>
      </c>
      <c r="H128" s="679">
        <f t="shared" si="31"/>
        <v>100</v>
      </c>
      <c r="I128" s="679">
        <f t="shared" si="31"/>
        <v>100</v>
      </c>
      <c r="J128" s="679">
        <f t="shared" si="31"/>
        <v>100</v>
      </c>
      <c r="K128" s="679">
        <f t="shared" si="31"/>
        <v>100</v>
      </c>
      <c r="L128" s="679">
        <f t="shared" si="31"/>
        <v>100</v>
      </c>
      <c r="M128" s="680">
        <f t="shared" si="31"/>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P14" sqref="P14"/>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8</v>
      </c>
    </row>
    <row r="2" spans="1:31" s="2027" customFormat="1" ht="18" customHeight="1">
      <c r="A2" s="2087" t="s">
        <v>467</v>
      </c>
      <c r="B2" s="2091">
        <f ca="1">C36</f>
        <v>50690</v>
      </c>
      <c r="C2" s="2090"/>
      <c r="D2" s="2090"/>
      <c r="E2" s="2090"/>
      <c r="F2" s="2090"/>
      <c r="G2" s="2090"/>
      <c r="H2" s="2090"/>
      <c r="I2" s="2090"/>
      <c r="J2" s="2090"/>
      <c r="K2" s="2090"/>
    </row>
    <row r="3" spans="1:31" s="2027" customFormat="1" ht="18" customHeight="1">
      <c r="A3" s="2092" t="s">
        <v>1684</v>
      </c>
      <c r="B3" s="2093">
        <f ca="1">ROUND(B2*10000/IF(B1="",'数据-汇总表'!E3,INDIRECT("'数据-取费表'!K"&amp;$K$1)),0)</f>
        <v>2329</v>
      </c>
      <c r="C3" s="2090"/>
      <c r="D3" s="2090"/>
      <c r="E3" s="2090"/>
      <c r="F3" s="2090"/>
      <c r="G3" s="2090"/>
      <c r="H3" s="2090"/>
      <c r="I3" s="2090"/>
      <c r="J3" s="2090"/>
      <c r="K3" s="2090"/>
    </row>
    <row r="4" spans="1:31" s="2027" customFormat="1" ht="18" customHeight="1">
      <c r="A4" s="426" t="s">
        <v>468</v>
      </c>
      <c r="B4" s="427">
        <f ca="1">ROUND(B2*10000/IF(B1="",'数据-汇总表'!D3,INDIRECT("'数据-取费表'!R"&amp;$K$1)),0)</f>
        <v>7479</v>
      </c>
      <c r="C4" s="428"/>
      <c r="D4" s="422"/>
      <c r="E4" s="422"/>
      <c r="F4" s="422"/>
      <c r="G4" s="422"/>
      <c r="H4" s="422"/>
      <c r="I4" s="422"/>
      <c r="J4" s="422"/>
      <c r="K4" s="422"/>
    </row>
    <row r="5" spans="1:31" s="2027" customFormat="1" ht="18" customHeight="1" thickBot="1">
      <c r="A5" s="429"/>
      <c r="B5" s="430">
        <f ca="1">ROUND(B2/(IF(B1="",'数据-汇总表'!D3,INDIRECT("'数据-取费表'!R"&amp;$K$1))/666.67),0)</f>
        <v>499</v>
      </c>
      <c r="C5" s="431" t="s">
        <v>469</v>
      </c>
      <c r="D5" s="422"/>
      <c r="E5" s="422"/>
      <c r="F5" s="422"/>
      <c r="G5" s="422"/>
      <c r="H5" s="422"/>
      <c r="I5" s="422"/>
      <c r="J5" s="422"/>
      <c r="K5" s="422"/>
    </row>
    <row r="6" spans="1:31" s="2097" customFormat="1" ht="16.5" customHeight="1">
      <c r="A6" s="2784" t="s">
        <v>1842</v>
      </c>
      <c r="B6" s="2785"/>
      <c r="C6" s="2786">
        <f ca="1">SUM(C10:K10)</f>
        <v>128785</v>
      </c>
      <c r="D6" s="2785"/>
      <c r="E6" s="2785"/>
      <c r="F6" s="2785"/>
      <c r="G6" s="2785"/>
      <c r="H6" s="2785"/>
      <c r="I6" s="2785"/>
      <c r="J6" s="2785"/>
      <c r="K6" s="2787"/>
    </row>
    <row r="7" spans="1:31" s="2099" customFormat="1" ht="15">
      <c r="A7" s="2788" t="s">
        <v>470</v>
      </c>
      <c r="B7" s="2789" t="s">
        <v>471</v>
      </c>
      <c r="C7" s="436" t="s">
        <v>923</v>
      </c>
      <c r="D7" s="436" t="s">
        <v>3004</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v>8500</v>
      </c>
      <c r="D8" s="2790">
        <f ca="1">不动产收益法!B3</f>
        <v>6074</v>
      </c>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148177.82999999999</v>
      </c>
      <c r="D9" s="441">
        <f>SUMIF('数据-汇总表'!$C19:$C33,'剩余法-待开发'!D7,'数据-汇总表'!$E19:$E33)</f>
        <v>4666</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ROUND(C8*C9/10000,0)</f>
        <v>125951</v>
      </c>
      <c r="D10" s="2982">
        <f ca="1">不动产收益法!B2</f>
        <v>2834</v>
      </c>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46067</v>
      </c>
      <c r="D13" s="2800"/>
      <c r="E13" s="2801"/>
      <c r="F13" s="2802"/>
      <c r="G13" s="2768"/>
      <c r="H13" s="2769"/>
      <c r="I13" s="2769"/>
      <c r="J13" s="2769"/>
      <c r="K13" s="2770"/>
    </row>
    <row r="14" spans="1:31" s="2102" customFormat="1" ht="13.5" customHeight="1">
      <c r="A14" s="2798" t="s">
        <v>1849</v>
      </c>
      <c r="B14" s="2799" t="s">
        <v>480</v>
      </c>
      <c r="C14" s="53">
        <f ca="1">ROUND(C13*F14,0)</f>
        <v>1843</v>
      </c>
      <c r="D14" s="2800"/>
      <c r="E14" s="2801"/>
      <c r="F14" s="2803">
        <f>'数据-取费表'!B33</f>
        <v>0.04</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1630</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4353</v>
      </c>
      <c r="D16" s="2800">
        <f ca="1">IF(B1="",'数据-汇总表'!E3,INDIRECT("'数据-取费表'!K"&amp;$K$1)+INDIRECT("'数据-取费表'!S"&amp;$K$1))</f>
        <v>217672.19</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691</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54584</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217672.19</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413</v>
      </c>
      <c r="D20" s="2810"/>
      <c r="E20" s="2764"/>
      <c r="F20" s="2811"/>
      <c r="G20" s="3041" t="s">
        <v>3038</v>
      </c>
      <c r="H20" s="2766"/>
      <c r="I20" s="2767" t="s">
        <v>2650</v>
      </c>
      <c r="J20" s="2773"/>
      <c r="K20" s="2774"/>
    </row>
    <row r="21" spans="1:14" s="2102" customFormat="1" ht="13.5" customHeight="1">
      <c r="A21" s="2798" t="s">
        <v>1856</v>
      </c>
      <c r="B21" s="2799" t="s">
        <v>491</v>
      </c>
      <c r="C21" s="53">
        <f ca="1">ROUND(D21*E21/10000,0)</f>
        <v>290</v>
      </c>
      <c r="D21" s="2800">
        <f ca="1">IF(B1="",'数据-汇总表'!E5,IF(INDIRECT("'数据-取费表'!c"&amp;$K$1)="住宅",INDIRECT("'数据-取费表'!k"&amp;$K$1),0))</f>
        <v>152843.82999999999</v>
      </c>
      <c r="E21" s="53">
        <f>'数据-取费表'!B27</f>
        <v>19</v>
      </c>
      <c r="F21" s="2803"/>
      <c r="G21" s="26"/>
      <c r="H21" s="51"/>
      <c r="I21" s="51"/>
      <c r="J21" s="51"/>
      <c r="K21" s="2775"/>
    </row>
    <row r="22" spans="1:14" s="2102" customFormat="1" ht="13.5" customHeight="1">
      <c r="A22" s="2798" t="s">
        <v>1857</v>
      </c>
      <c r="B22" s="2799" t="s">
        <v>492</v>
      </c>
      <c r="C22" s="53">
        <f ca="1">ROUND(D22*E22/10000,0)</f>
        <v>123</v>
      </c>
      <c r="D22" s="2800">
        <f ca="1">IF(B1="",'数据-汇总表'!E6,IF(INDIRECT("'数据-取费表'!c"&amp;$K$1)="住宅",INDIRECT("'数据-取费表'!s"&amp;$K$1),INDIRECT("'数据-取费表'!k"&amp;$K$1)+INDIRECT("'数据-取费表'!s"&amp;$K$1)))</f>
        <v>64828.360000000015</v>
      </c>
      <c r="E22" s="53">
        <f>'数据-取费表'!B28</f>
        <v>19</v>
      </c>
      <c r="F22" s="2803"/>
      <c r="G22" s="26"/>
      <c r="H22" s="51"/>
      <c r="I22" s="51"/>
      <c r="J22" s="51"/>
      <c r="K22" s="2775"/>
    </row>
    <row r="23" spans="1:14" s="2102" customFormat="1" ht="13.5" customHeight="1">
      <c r="A23" s="2806" t="s">
        <v>1858</v>
      </c>
      <c r="B23" s="2988" t="s">
        <v>2833</v>
      </c>
      <c r="C23" s="2808">
        <f ca="1">ROUND((C18+C19+C20)*F23,0)</f>
        <v>1100</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2836</v>
      </c>
      <c r="C24" s="2808">
        <f ca="1">ROUND(C6*F24,0)</f>
        <v>2576</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2834</v>
      </c>
      <c r="C25" s="467">
        <f>ROUND(F25/(1+'数据-取费表'!C42),4)</f>
        <v>2.9000000000000001E-2</v>
      </c>
      <c r="D25" s="462" t="s">
        <v>2828</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9" t="s">
        <v>2835</v>
      </c>
      <c r="C26" s="2813">
        <f ca="1">C28</f>
        <v>0</v>
      </c>
      <c r="D26" s="467">
        <f ca="1">C27</f>
        <v>0</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2837</v>
      </c>
      <c r="C28" s="2816">
        <f ca="1">ROUND(IF('数据-取费表'!B22&lt;=1,(C18+C19+C20+C23+C24)*F26*'数据-取费表'!B24/2,(C18+C19+C20+C23+C24)*(POWER((1+F26),'数据-取费表'!B24/2)-1)),0)</f>
        <v>0</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6869</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65542</v>
      </c>
      <c r="D30" s="477">
        <f ca="1">C32</f>
        <v>2.9000000000000001E-2</v>
      </c>
      <c r="E30" s="469" t="s">
        <v>495</v>
      </c>
      <c r="F30" s="471"/>
      <c r="G30" s="2776" t="s">
        <v>2972</v>
      </c>
      <c r="H30" s="2769"/>
      <c r="I30" s="2769"/>
      <c r="J30" s="2769"/>
      <c r="K30" s="2770"/>
    </row>
    <row r="31" spans="1:14" s="2106" customFormat="1" ht="13.5" customHeight="1">
      <c r="A31" s="803" t="s">
        <v>1856</v>
      </c>
      <c r="B31" s="2814"/>
      <c r="C31" s="450">
        <f ca="1">C18+C19+C20+C23+C24+C26+C29</f>
        <v>65542</v>
      </c>
      <c r="D31" s="472"/>
      <c r="E31" s="473"/>
      <c r="F31" s="474"/>
      <c r="G31" s="261"/>
      <c r="H31" s="2771"/>
      <c r="I31" s="2771"/>
      <c r="J31" s="2771"/>
      <c r="K31" s="279"/>
    </row>
    <row r="32" spans="1:14" s="2106" customFormat="1" ht="13.5" customHeight="1">
      <c r="A32" s="803" t="s">
        <v>1857</v>
      </c>
      <c r="B32" s="2814"/>
      <c r="C32" s="53">
        <f ca="1">ROUND(C25+D26,4)</f>
        <v>2.9000000000000001E-2</v>
      </c>
      <c r="D32" s="472"/>
      <c r="E32" s="473"/>
      <c r="F32" s="474"/>
      <c r="G32" s="261"/>
      <c r="H32" s="2771"/>
      <c r="I32" s="2771"/>
      <c r="J32" s="2771"/>
      <c r="K32" s="279"/>
    </row>
    <row r="33" spans="1:11" s="2108" customFormat="1" ht="13.5" customHeight="1">
      <c r="A33" s="2987" t="s">
        <v>2832</v>
      </c>
      <c r="B33" s="2985" t="s">
        <v>2830</v>
      </c>
      <c r="C33" s="478">
        <f ca="1">C35</f>
        <v>5867</v>
      </c>
      <c r="D33" s="467">
        <f ca="1">C34</f>
        <v>0.10290000000000001</v>
      </c>
      <c r="E33" s="469" t="s">
        <v>495</v>
      </c>
      <c r="F33" s="479">
        <f ca="1">IF(B1="",'数据-取费表'!Q16,INDIRECT("'数据-取费表'!q"&amp;$K$1))</f>
        <v>0.1</v>
      </c>
      <c r="G33" s="2772"/>
      <c r="H33" s="2773"/>
      <c r="I33" s="2773"/>
      <c r="J33" s="2773"/>
      <c r="K33" s="2774"/>
    </row>
    <row r="34" spans="1:11" s="2109" customFormat="1" ht="13.5" customHeight="1">
      <c r="A34" s="375" t="s">
        <v>1856</v>
      </c>
      <c r="B34" s="2819" t="s">
        <v>501</v>
      </c>
      <c r="C34" s="472">
        <f ca="1">ROUND((1+C25)*F33,4)</f>
        <v>0.10290000000000001</v>
      </c>
      <c r="D34" s="472"/>
      <c r="E34" s="473"/>
      <c r="F34" s="480"/>
      <c r="G34" s="261" t="s">
        <v>2290</v>
      </c>
      <c r="H34" s="2771"/>
      <c r="I34" s="2771"/>
      <c r="J34" s="2771"/>
      <c r="K34" s="279"/>
    </row>
    <row r="35" spans="1:11" s="2109" customFormat="1" ht="13.5" customHeight="1" thickBot="1">
      <c r="A35" s="1622" t="s">
        <v>1857</v>
      </c>
      <c r="B35" s="2986" t="s">
        <v>2838</v>
      </c>
      <c r="C35" s="1614">
        <f ca="1">ROUND((C18+C19+C20+C23+C24)*F33,0)</f>
        <v>5867</v>
      </c>
      <c r="D35" s="1615"/>
      <c r="E35" s="2820"/>
      <c r="F35" s="1616"/>
      <c r="G35" s="2778"/>
      <c r="H35" s="2779"/>
      <c r="I35" s="2779"/>
      <c r="J35" s="2779"/>
      <c r="K35" s="2780"/>
    </row>
    <row r="36" spans="1:11" s="2071" customFormat="1" ht="13.5" customHeight="1" thickBot="1">
      <c r="A36" s="284" t="s">
        <v>1844</v>
      </c>
      <c r="B36" s="2782"/>
      <c r="C36" s="2821">
        <f ca="1">ROUND((C6-C30-C33)/(1+D30+D33),0)</f>
        <v>50690</v>
      </c>
      <c r="D36" s="2782"/>
      <c r="E36" s="2782"/>
      <c r="F36" s="2782"/>
      <c r="G36" s="2781" t="s">
        <v>2839</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195" t="str">
        <f>项目基本情况!B1</f>
        <v>柳州市出让国有建设用地使用权抵押价格预评估</v>
      </c>
      <c r="C37" s="3195"/>
      <c r="D37" s="3195"/>
      <c r="E37" s="3195"/>
      <c r="F37" s="3195"/>
      <c r="G37" s="3195"/>
      <c r="H37" s="3195"/>
      <c r="I37" s="3195"/>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8</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2651</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46067</v>
      </c>
      <c r="D13" s="451"/>
      <c r="E13" s="365"/>
      <c r="F13" s="452"/>
      <c r="G13" s="444"/>
      <c r="H13" s="447"/>
      <c r="I13" s="447"/>
      <c r="J13" s="447"/>
      <c r="K13" s="448"/>
    </row>
    <row r="14" spans="1:41" s="2102" customFormat="1" ht="13.5" customHeight="1">
      <c r="A14" s="1619" t="s">
        <v>1849</v>
      </c>
      <c r="B14" s="449" t="s">
        <v>480</v>
      </c>
      <c r="C14" s="53">
        <f ca="1">ROUND(C13*F14,0)</f>
        <v>1843</v>
      </c>
      <c r="D14" s="451"/>
      <c r="E14" s="365"/>
      <c r="F14" s="453">
        <f>'数据-取费表'!B33</f>
        <v>0.04</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1630</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4353</v>
      </c>
      <c r="D16" s="451">
        <f ca="1">IF(B1="",'数据-汇总表'!E3,INDIRECT("'数据-取费表'!K"&amp;$K$1)+INDIRECT("'数据-取费表'!S"&amp;$K$1))</f>
        <v>217672.19</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691</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54584</v>
      </c>
      <c r="D18" s="461"/>
      <c r="E18" s="462"/>
      <c r="F18" s="462"/>
      <c r="G18" s="1323" t="s">
        <v>2432</v>
      </c>
      <c r="H18" s="447"/>
      <c r="I18" s="447"/>
      <c r="J18" s="447"/>
      <c r="K18" s="448"/>
    </row>
    <row r="19" spans="1:14" s="2105" customFormat="1" ht="13.5" customHeight="1">
      <c r="A19" s="1620" t="s">
        <v>1854</v>
      </c>
      <c r="B19" s="459" t="s">
        <v>493</v>
      </c>
      <c r="C19" s="460">
        <f ca="1">ROUND(C18*F19,0)</f>
        <v>1092</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2645</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2645</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2831</v>
      </c>
      <c r="C24" s="478">
        <f ca="1">C25</f>
        <v>5568</v>
      </c>
      <c r="D24" s="489">
        <f ca="1">C26</f>
        <v>2E-3</v>
      </c>
      <c r="E24" s="469" t="s">
        <v>507</v>
      </c>
      <c r="F24" s="479">
        <f ca="1">IF(B1="",'数据-取费表'!Q16,INDIRECT("'数据-取费表'!q"&amp;$K$1))</f>
        <v>0.1</v>
      </c>
      <c r="G24" s="444"/>
      <c r="H24" s="447"/>
      <c r="I24" s="447"/>
      <c r="J24" s="447"/>
      <c r="K24" s="448"/>
    </row>
    <row r="25" spans="1:14" s="2106" customFormat="1" ht="13.5" customHeight="1">
      <c r="A25" s="1619" t="s">
        <v>1848</v>
      </c>
      <c r="B25" s="1324" t="s">
        <v>2436</v>
      </c>
      <c r="C25" s="490">
        <f ca="1">ROUND((C18+C19)*F24,0)</f>
        <v>5568</v>
      </c>
      <c r="D25" s="472"/>
      <c r="E25" s="473"/>
      <c r="F25" s="480"/>
      <c r="G25" s="1322" t="s">
        <v>2433</v>
      </c>
      <c r="H25" s="457"/>
      <c r="I25" s="457"/>
      <c r="J25" s="457"/>
      <c r="K25" s="458"/>
    </row>
    <row r="26" spans="1:14" s="2106" customFormat="1" ht="13.5" customHeight="1">
      <c r="A26" s="1619" t="s">
        <v>1849</v>
      </c>
      <c r="B26" s="1324" t="s">
        <v>509</v>
      </c>
      <c r="C26" s="491">
        <f ca="1">ROUND(F20*F24,4)</f>
        <v>2E-3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2829</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69166</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69" t="s">
        <v>522</v>
      </c>
      <c r="D6" s="3370"/>
      <c r="E6" s="3404" t="s">
        <v>523</v>
      </c>
      <c r="F6" s="3405"/>
      <c r="G6" s="3369" t="s">
        <v>524</v>
      </c>
      <c r="H6" s="3370"/>
      <c r="I6" s="3369" t="s">
        <v>525</v>
      </c>
      <c r="J6" s="3370"/>
      <c r="K6" s="514" t="s">
        <v>526</v>
      </c>
      <c r="L6" s="2119"/>
      <c r="M6" s="2120"/>
      <c r="N6" s="2120"/>
      <c r="O6" s="2120"/>
      <c r="P6" s="3371" t="s">
        <v>527</v>
      </c>
      <c r="Q6" s="3372"/>
      <c r="R6" s="3377" t="s">
        <v>523</v>
      </c>
      <c r="S6" s="3378"/>
      <c r="T6" s="3377" t="s">
        <v>524</v>
      </c>
      <c r="U6" s="3378"/>
      <c r="V6" s="3364" t="s">
        <v>525</v>
      </c>
      <c r="W6" s="3364"/>
      <c r="X6" s="1554"/>
      <c r="Y6" s="3377" t="s">
        <v>527</v>
      </c>
      <c r="Z6" s="3378"/>
      <c r="AA6" s="3366" t="s">
        <v>523</v>
      </c>
      <c r="AB6" s="3367" t="s">
        <v>524</v>
      </c>
      <c r="AC6" s="3366" t="s">
        <v>525</v>
      </c>
    </row>
    <row r="7" spans="1:29" ht="15">
      <c r="A7" s="515"/>
      <c r="B7" s="516"/>
      <c r="C7" s="3385" t="s">
        <v>2930</v>
      </c>
      <c r="D7" s="3386"/>
      <c r="E7" s="3406" t="s">
        <v>2931</v>
      </c>
      <c r="F7" s="3407"/>
      <c r="G7" s="3385" t="s">
        <v>2932</v>
      </c>
      <c r="H7" s="3386"/>
      <c r="I7" s="3385" t="s">
        <v>2933</v>
      </c>
      <c r="J7" s="3386"/>
      <c r="K7" s="514"/>
      <c r="L7" s="2119"/>
      <c r="M7" s="2120"/>
      <c r="N7" s="2120"/>
      <c r="O7" s="2120"/>
      <c r="P7" s="3373"/>
      <c r="Q7" s="3374"/>
      <c r="R7" s="3379"/>
      <c r="S7" s="3380"/>
      <c r="T7" s="3379"/>
      <c r="U7" s="3380"/>
      <c r="V7" s="3364"/>
      <c r="W7" s="3364"/>
      <c r="X7" s="1554"/>
      <c r="Y7" s="3379"/>
      <c r="Z7" s="3380"/>
      <c r="AA7" s="3367"/>
      <c r="AB7" s="3367"/>
      <c r="AC7" s="3367"/>
    </row>
    <row r="8" spans="1:29" ht="15.75" thickBot="1">
      <c r="A8" s="517"/>
      <c r="B8" s="518"/>
      <c r="C8" s="3383" t="s">
        <v>2934</v>
      </c>
      <c r="D8" s="3384"/>
      <c r="E8" s="3402" t="s">
        <v>2934</v>
      </c>
      <c r="F8" s="3403"/>
      <c r="G8" s="3383" t="s">
        <v>2934</v>
      </c>
      <c r="H8" s="3384"/>
      <c r="I8" s="3383" t="s">
        <v>2934</v>
      </c>
      <c r="J8" s="3384"/>
      <c r="K8" s="514" t="s">
        <v>528</v>
      </c>
      <c r="L8" s="2119"/>
      <c r="M8" s="2120"/>
      <c r="N8" s="2120"/>
      <c r="O8" s="2120"/>
      <c r="P8" s="3375"/>
      <c r="Q8" s="3376"/>
      <c r="R8" s="3379"/>
      <c r="S8" s="3380"/>
      <c r="T8" s="3381"/>
      <c r="U8" s="3382"/>
      <c r="V8" s="3364"/>
      <c r="W8" s="3364"/>
      <c r="X8" s="1554"/>
      <c r="Y8" s="3381"/>
      <c r="Z8" s="3382"/>
      <c r="AA8" s="3368"/>
      <c r="AB8" s="3368"/>
      <c r="AC8" s="3368"/>
    </row>
    <row r="9" spans="1:29" s="1216" customFormat="1" ht="15.75" thickBot="1">
      <c r="A9" s="2868"/>
      <c r="B9" s="2875" t="s">
        <v>529</v>
      </c>
      <c r="C9" s="519">
        <f>'数据-取费表'!B2</f>
        <v>43698</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95" t="s">
        <v>530</v>
      </c>
      <c r="Q9" s="3397"/>
      <c r="R9" s="1555" t="s">
        <v>8</v>
      </c>
      <c r="S9" s="1556">
        <f t="shared" ref="S9:S17" si="0">F9</f>
        <v>0</v>
      </c>
      <c r="T9" s="1555" t="s">
        <v>8</v>
      </c>
      <c r="U9" s="1556">
        <f t="shared" ref="U9:U17" si="1">H9</f>
        <v>0</v>
      </c>
      <c r="V9" s="1555" t="s">
        <v>8</v>
      </c>
      <c r="W9" s="1556">
        <f t="shared" ref="W9:W17" si="2">J9</f>
        <v>0</v>
      </c>
      <c r="X9" s="1557"/>
      <c r="Y9" s="3395" t="s">
        <v>530</v>
      </c>
      <c r="Z9" s="3396"/>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95" t="s">
        <v>533</v>
      </c>
      <c r="Q10" s="3396"/>
      <c r="R10" s="1555" t="s">
        <v>8</v>
      </c>
      <c r="S10" s="1556">
        <f t="shared" si="0"/>
        <v>0</v>
      </c>
      <c r="T10" s="1555" t="s">
        <v>8</v>
      </c>
      <c r="U10" s="1556">
        <f t="shared" si="1"/>
        <v>0</v>
      </c>
      <c r="V10" s="1555" t="s">
        <v>8</v>
      </c>
      <c r="W10" s="1556">
        <f t="shared" si="2"/>
        <v>0</v>
      </c>
      <c r="X10" s="1557"/>
      <c r="Y10" s="3395" t="s">
        <v>533</v>
      </c>
      <c r="Z10" s="3396"/>
      <c r="AA10" s="1558" t="e">
        <f t="shared" ref="AA10:AA42" si="3">D10/F10</f>
        <v>#DIV/0!</v>
      </c>
      <c r="AB10" s="1558" t="e">
        <f t="shared" ref="AB10:AB42" si="4">D10/H10</f>
        <v>#DIV/0!</v>
      </c>
      <c r="AC10" s="1558" t="e">
        <f t="shared" ref="AC10:AC42" si="5">D10/J10</f>
        <v>#DIV/0!</v>
      </c>
    </row>
    <row r="11" spans="1:29" s="1216" customFormat="1" ht="15">
      <c r="A11" s="2870"/>
      <c r="B11" s="2877" t="s">
        <v>2755</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63" t="s">
        <v>535</v>
      </c>
      <c r="Q11" s="1147" t="str">
        <f t="shared" ref="Q11:Q17" si="6">B11</f>
        <v>用途</v>
      </c>
      <c r="R11" s="1555" t="s">
        <v>8</v>
      </c>
      <c r="S11" s="1556">
        <f t="shared" si="0"/>
        <v>100</v>
      </c>
      <c r="T11" s="1555" t="s">
        <v>8</v>
      </c>
      <c r="U11" s="1556">
        <f t="shared" si="1"/>
        <v>100</v>
      </c>
      <c r="V11" s="1555" t="s">
        <v>8</v>
      </c>
      <c r="W11" s="1556">
        <f t="shared" si="2"/>
        <v>100</v>
      </c>
      <c r="X11" s="1557"/>
      <c r="Y11" s="3309" t="s">
        <v>536</v>
      </c>
      <c r="Z11" s="1146" t="str">
        <f t="shared" ref="Z11:Z17" si="7">Q11</f>
        <v>用途</v>
      </c>
      <c r="AA11" s="1558">
        <f t="shared" si="3"/>
        <v>1</v>
      </c>
      <c r="AB11" s="1558">
        <f t="shared" si="4"/>
        <v>1</v>
      </c>
      <c r="AC11" s="1558">
        <f t="shared" si="5"/>
        <v>1</v>
      </c>
    </row>
    <row r="12" spans="1:29" s="1334" customFormat="1" ht="27">
      <c r="A12" s="2871"/>
      <c r="B12" s="2876" t="s">
        <v>2756</v>
      </c>
      <c r="C12" s="528"/>
      <c r="D12" s="255">
        <v>100</v>
      </c>
      <c r="E12" s="528"/>
      <c r="F12" s="255">
        <f>ROUND(100/'数据-取费表'!G16,0)</f>
        <v>102</v>
      </c>
      <c r="G12" s="528"/>
      <c r="H12" s="255">
        <f>ROUND(100/'数据-取费表'!G16,0)</f>
        <v>102</v>
      </c>
      <c r="I12" s="528"/>
      <c r="J12" s="255">
        <f>ROUND(100/'数据-取费表'!G16,0)</f>
        <v>102</v>
      </c>
      <c r="K12" s="531"/>
      <c r="L12" s="2124"/>
      <c r="M12" s="2164"/>
      <c r="N12" s="2164"/>
      <c r="O12" s="2125"/>
      <c r="P12" s="3363"/>
      <c r="Q12" s="1147" t="str">
        <f t="shared" si="6"/>
        <v>土地使用年限（年）</v>
      </c>
      <c r="R12" s="1555" t="s">
        <v>8</v>
      </c>
      <c r="S12" s="1556">
        <f t="shared" si="0"/>
        <v>102</v>
      </c>
      <c r="T12" s="1555" t="s">
        <v>8</v>
      </c>
      <c r="U12" s="1556">
        <f t="shared" si="1"/>
        <v>102</v>
      </c>
      <c r="V12" s="1555" t="s">
        <v>8</v>
      </c>
      <c r="W12" s="1556">
        <f t="shared" si="2"/>
        <v>102</v>
      </c>
      <c r="X12" s="1557"/>
      <c r="Y12" s="3309"/>
      <c r="Z12" s="1146" t="str">
        <f t="shared" si="7"/>
        <v>土地使用年限（年）</v>
      </c>
      <c r="AA12" s="1558">
        <f t="shared" si="3"/>
        <v>0.98039215686274506</v>
      </c>
      <c r="AB12" s="1558">
        <f t="shared" si="4"/>
        <v>0.98039215686274506</v>
      </c>
      <c r="AC12" s="1558">
        <f t="shared" si="5"/>
        <v>0.98039215686274506</v>
      </c>
    </row>
    <row r="13" spans="1:29" ht="15">
      <c r="A13" s="2872"/>
      <c r="B13" s="2876"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63"/>
      <c r="Q13" s="1147" t="str">
        <f t="shared" si="6"/>
        <v>容积率</v>
      </c>
      <c r="R13" s="1555" t="s">
        <v>8</v>
      </c>
      <c r="S13" s="1556" t="e">
        <f t="shared" si="0"/>
        <v>#N/A</v>
      </c>
      <c r="T13" s="1555" t="s">
        <v>8</v>
      </c>
      <c r="U13" s="1556" t="e">
        <f t="shared" si="1"/>
        <v>#N/A</v>
      </c>
      <c r="V13" s="1555" t="s">
        <v>8</v>
      </c>
      <c r="W13" s="1556" t="e">
        <f t="shared" si="2"/>
        <v>#N/A</v>
      </c>
      <c r="X13" s="1557"/>
      <c r="Y13" s="3309"/>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63"/>
      <c r="Q14" s="1147">
        <f t="shared" si="6"/>
        <v>111</v>
      </c>
      <c r="R14" s="1555" t="s">
        <v>8</v>
      </c>
      <c r="S14" s="1556">
        <f t="shared" si="0"/>
        <v>100</v>
      </c>
      <c r="T14" s="1555" t="s">
        <v>8</v>
      </c>
      <c r="U14" s="1556">
        <f t="shared" si="1"/>
        <v>100</v>
      </c>
      <c r="V14" s="1555" t="s">
        <v>8</v>
      </c>
      <c r="W14" s="1556">
        <f t="shared" si="2"/>
        <v>100</v>
      </c>
      <c r="X14" s="1557"/>
      <c r="Y14" s="3309"/>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63"/>
      <c r="Q15" s="1147">
        <f t="shared" si="6"/>
        <v>111</v>
      </c>
      <c r="R15" s="1555" t="s">
        <v>8</v>
      </c>
      <c r="S15" s="1556">
        <f t="shared" si="0"/>
        <v>100</v>
      </c>
      <c r="T15" s="1555" t="s">
        <v>8</v>
      </c>
      <c r="U15" s="1556">
        <f t="shared" si="1"/>
        <v>100</v>
      </c>
      <c r="V15" s="1555" t="s">
        <v>8</v>
      </c>
      <c r="W15" s="1556">
        <f t="shared" si="2"/>
        <v>100</v>
      </c>
      <c r="X15" s="1557"/>
      <c r="Y15" s="3309"/>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63"/>
      <c r="Q16" s="1147">
        <f t="shared" si="6"/>
        <v>111</v>
      </c>
      <c r="R16" s="1555" t="s">
        <v>8</v>
      </c>
      <c r="S16" s="1556">
        <f t="shared" si="0"/>
        <v>100</v>
      </c>
      <c r="T16" s="1555" t="s">
        <v>8</v>
      </c>
      <c r="U16" s="1556">
        <f t="shared" si="1"/>
        <v>100</v>
      </c>
      <c r="V16" s="1555" t="s">
        <v>8</v>
      </c>
      <c r="W16" s="1556">
        <f t="shared" si="2"/>
        <v>100</v>
      </c>
      <c r="X16" s="1557"/>
      <c r="Y16" s="3309"/>
      <c r="Z16" s="1146">
        <f t="shared" si="7"/>
        <v>111</v>
      </c>
      <c r="AA16" s="1558">
        <f t="shared" si="3"/>
        <v>1</v>
      </c>
      <c r="AB16" s="1558">
        <f t="shared" si="4"/>
        <v>1</v>
      </c>
      <c r="AC16" s="1558">
        <f t="shared" si="5"/>
        <v>1</v>
      </c>
    </row>
    <row r="17" spans="1:29" ht="57">
      <c r="A17" s="2866"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98" t="s">
        <v>540</v>
      </c>
      <c r="Q17" s="1559" t="str">
        <f t="shared" si="6"/>
        <v>产业集聚程度</v>
      </c>
      <c r="R17" s="1560" t="s">
        <v>8</v>
      </c>
      <c r="S17" s="1561">
        <f t="shared" si="0"/>
        <v>100</v>
      </c>
      <c r="T17" s="1560" t="s">
        <v>8</v>
      </c>
      <c r="U17" s="1561">
        <f t="shared" si="1"/>
        <v>100</v>
      </c>
      <c r="V17" s="1560" t="s">
        <v>8</v>
      </c>
      <c r="W17" s="1561">
        <f t="shared" si="2"/>
        <v>100</v>
      </c>
      <c r="X17" s="1554"/>
      <c r="Y17" s="3398"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99"/>
      <c r="Q18" s="1559"/>
      <c r="R18" s="1560"/>
      <c r="S18" s="1561"/>
      <c r="T18" s="1560"/>
      <c r="U18" s="1561"/>
      <c r="V18" s="1560"/>
      <c r="W18" s="1561"/>
      <c r="X18" s="1554"/>
      <c r="Y18" s="3399"/>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99"/>
      <c r="Q19" s="1559" t="str">
        <f>B19</f>
        <v>交通便捷度</v>
      </c>
      <c r="R19" s="1560" t="s">
        <v>8</v>
      </c>
      <c r="S19" s="1561">
        <f>F19</f>
        <v>100</v>
      </c>
      <c r="T19" s="1560" t="s">
        <v>8</v>
      </c>
      <c r="U19" s="1561">
        <f>H19</f>
        <v>100</v>
      </c>
      <c r="V19" s="1560" t="s">
        <v>8</v>
      </c>
      <c r="W19" s="1561">
        <f>J19</f>
        <v>100</v>
      </c>
      <c r="X19" s="1554"/>
      <c r="Y19" s="3399"/>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99"/>
      <c r="Q20" s="1559"/>
      <c r="R20" s="1560"/>
      <c r="S20" s="1561"/>
      <c r="T20" s="1560"/>
      <c r="U20" s="1561"/>
      <c r="V20" s="1560"/>
      <c r="W20" s="1561"/>
      <c r="X20" s="1554"/>
      <c r="Y20" s="3399"/>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99"/>
      <c r="Q21" s="1559" t="str">
        <f t="shared" ref="Q21:Q35" si="8">B21</f>
        <v>区域土地利用方向</v>
      </c>
      <c r="R21" s="1560" t="s">
        <v>8</v>
      </c>
      <c r="S21" s="1561">
        <f>F21</f>
        <v>100</v>
      </c>
      <c r="T21" s="1560" t="s">
        <v>8</v>
      </c>
      <c r="U21" s="1561">
        <f>H21</f>
        <v>100</v>
      </c>
      <c r="V21" s="1560" t="s">
        <v>8</v>
      </c>
      <c r="W21" s="1561">
        <f>J21</f>
        <v>100</v>
      </c>
      <c r="X21" s="1554"/>
      <c r="Y21" s="3399"/>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99"/>
      <c r="Q22" s="1559"/>
      <c r="R22" s="1560"/>
      <c r="S22" s="1561"/>
      <c r="T22" s="1560"/>
      <c r="U22" s="1561"/>
      <c r="V22" s="1560"/>
      <c r="W22" s="1561"/>
      <c r="X22" s="1554"/>
      <c r="Y22" s="3399"/>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99"/>
      <c r="Q23" s="1559" t="str">
        <f t="shared" si="8"/>
        <v>环境状况</v>
      </c>
      <c r="R23" s="1560" t="s">
        <v>8</v>
      </c>
      <c r="S23" s="1561">
        <f>F23</f>
        <v>100</v>
      </c>
      <c r="T23" s="1560" t="s">
        <v>8</v>
      </c>
      <c r="U23" s="1561">
        <f>H23</f>
        <v>100</v>
      </c>
      <c r="V23" s="1560" t="s">
        <v>8</v>
      </c>
      <c r="W23" s="1561">
        <f>J23</f>
        <v>100</v>
      </c>
      <c r="X23" s="1554"/>
      <c r="Y23" s="3399"/>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99"/>
      <c r="Q24" s="1559"/>
      <c r="R24" s="1560"/>
      <c r="S24" s="1561"/>
      <c r="T24" s="1560"/>
      <c r="U24" s="1561"/>
      <c r="V24" s="1560"/>
      <c r="W24" s="1561"/>
      <c r="X24" s="1554"/>
      <c r="Y24" s="3399"/>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99"/>
      <c r="Q25" s="1147" t="str">
        <f t="shared" si="8"/>
        <v>公共配套设施</v>
      </c>
      <c r="R25" s="1555" t="s">
        <v>8</v>
      </c>
      <c r="S25" s="1556">
        <f>F25</f>
        <v>100</v>
      </c>
      <c r="T25" s="1555" t="s">
        <v>8</v>
      </c>
      <c r="U25" s="1556">
        <f>H25</f>
        <v>100</v>
      </c>
      <c r="V25" s="1555" t="s">
        <v>8</v>
      </c>
      <c r="W25" s="1556">
        <f>J25</f>
        <v>100</v>
      </c>
      <c r="X25" s="1557"/>
      <c r="Y25" s="3399"/>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99"/>
      <c r="Q26" s="1147"/>
      <c r="R26" s="1555"/>
      <c r="S26" s="1556"/>
      <c r="T26" s="1555"/>
      <c r="U26" s="1556"/>
      <c r="V26" s="1555"/>
      <c r="W26" s="1556"/>
      <c r="X26" s="1557"/>
      <c r="Y26" s="3399"/>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99"/>
      <c r="Q27" s="2543" t="str">
        <f t="shared" ref="Q27" si="9">B27</f>
        <v>基础设施水平</v>
      </c>
      <c r="R27" s="1555" t="s">
        <v>8</v>
      </c>
      <c r="S27" s="1556">
        <f>F27</f>
        <v>100</v>
      </c>
      <c r="T27" s="1555" t="s">
        <v>8</v>
      </c>
      <c r="U27" s="1556">
        <f>H27</f>
        <v>100</v>
      </c>
      <c r="V27" s="1555" t="s">
        <v>8</v>
      </c>
      <c r="W27" s="1556">
        <f>J27</f>
        <v>100</v>
      </c>
      <c r="X27" s="1557"/>
      <c r="Y27" s="3399"/>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99"/>
      <c r="Q28" s="2543"/>
      <c r="R28" s="1555"/>
      <c r="S28" s="1556"/>
      <c r="T28" s="1555"/>
      <c r="U28" s="1556"/>
      <c r="V28" s="1555"/>
      <c r="W28" s="1556"/>
      <c r="X28" s="1557"/>
      <c r="Y28" s="3399"/>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99"/>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99"/>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99"/>
      <c r="Q30" s="1559" t="str">
        <f t="shared" si="8"/>
        <v>毗邻道路的类型与等级</v>
      </c>
      <c r="R30" s="1560" t="s">
        <v>8</v>
      </c>
      <c r="S30" s="1561">
        <f t="shared" si="10"/>
        <v>100</v>
      </c>
      <c r="T30" s="1560" t="s">
        <v>8</v>
      </c>
      <c r="U30" s="1561">
        <f t="shared" si="11"/>
        <v>100</v>
      </c>
      <c r="V30" s="1560" t="s">
        <v>8</v>
      </c>
      <c r="W30" s="1561">
        <f t="shared" si="12"/>
        <v>100</v>
      </c>
      <c r="X30" s="1554"/>
      <c r="Y30" s="3399"/>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99"/>
      <c r="Q31" s="1559"/>
      <c r="R31" s="1560"/>
      <c r="S31" s="1561"/>
      <c r="T31" s="1560"/>
      <c r="U31" s="1561"/>
      <c r="V31" s="1560"/>
      <c r="W31" s="1561"/>
      <c r="X31" s="1554"/>
      <c r="Y31" s="3399"/>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99"/>
      <c r="Q32" s="1559" t="str">
        <f t="shared" si="8"/>
        <v>土地级别</v>
      </c>
      <c r="R32" s="1560" t="s">
        <v>8</v>
      </c>
      <c r="S32" s="1561">
        <f t="shared" si="10"/>
        <v>100</v>
      </c>
      <c r="T32" s="1560" t="s">
        <v>8</v>
      </c>
      <c r="U32" s="1561">
        <f t="shared" si="11"/>
        <v>100</v>
      </c>
      <c r="V32" s="1560" t="s">
        <v>8</v>
      </c>
      <c r="W32" s="1561">
        <f t="shared" si="12"/>
        <v>100</v>
      </c>
      <c r="X32" s="1554"/>
      <c r="Y32" s="3399"/>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99"/>
      <c r="Q33" s="1559">
        <f t="shared" si="8"/>
        <v>111</v>
      </c>
      <c r="R33" s="1560" t="s">
        <v>8</v>
      </c>
      <c r="S33" s="1561">
        <f t="shared" si="10"/>
        <v>100</v>
      </c>
      <c r="T33" s="1560" t="s">
        <v>8</v>
      </c>
      <c r="U33" s="1561">
        <f t="shared" si="11"/>
        <v>100</v>
      </c>
      <c r="V33" s="1560" t="s">
        <v>8</v>
      </c>
      <c r="W33" s="1561">
        <f t="shared" si="12"/>
        <v>100</v>
      </c>
      <c r="X33" s="1554"/>
      <c r="Y33" s="3399"/>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00" t="s">
        <v>550</v>
      </c>
      <c r="Q34" s="1559">
        <f t="shared" si="8"/>
        <v>111</v>
      </c>
      <c r="R34" s="1560" t="s">
        <v>8</v>
      </c>
      <c r="S34" s="1561">
        <f t="shared" si="10"/>
        <v>100</v>
      </c>
      <c r="T34" s="1560" t="s">
        <v>8</v>
      </c>
      <c r="U34" s="1561">
        <f t="shared" si="11"/>
        <v>100</v>
      </c>
      <c r="V34" s="1560" t="s">
        <v>8</v>
      </c>
      <c r="W34" s="1561">
        <f t="shared" si="12"/>
        <v>100</v>
      </c>
      <c r="X34" s="1554"/>
      <c r="Y34" s="3401"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01"/>
      <c r="Q35" s="1559">
        <f t="shared" si="8"/>
        <v>111</v>
      </c>
      <c r="R35" s="1564" t="s">
        <v>8</v>
      </c>
      <c r="S35" s="1565">
        <f t="shared" si="10"/>
        <v>100</v>
      </c>
      <c r="T35" s="1564" t="s">
        <v>8</v>
      </c>
      <c r="U35" s="1565">
        <f t="shared" si="11"/>
        <v>100</v>
      </c>
      <c r="V35" s="1564" t="s">
        <v>8</v>
      </c>
      <c r="W35" s="1565">
        <f t="shared" si="12"/>
        <v>100</v>
      </c>
      <c r="X35" s="1566"/>
      <c r="Y35" s="3401"/>
      <c r="Z35" s="1567">
        <f t="shared" si="13"/>
        <v>111</v>
      </c>
      <c r="AA35" s="1563">
        <f t="shared" si="3"/>
        <v>1</v>
      </c>
      <c r="AB35" s="1563">
        <f t="shared" si="4"/>
        <v>1</v>
      </c>
      <c r="AC35" s="1563">
        <f t="shared" si="5"/>
        <v>1</v>
      </c>
    </row>
    <row r="36" spans="1:29" ht="15">
      <c r="A36" s="2863"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01"/>
      <c r="Q36" s="1559" t="str">
        <f>B36</f>
        <v>宗地面积</v>
      </c>
      <c r="R36" s="1560" t="s">
        <v>8</v>
      </c>
      <c r="S36" s="1561" t="e">
        <f t="shared" si="10"/>
        <v>#N/A</v>
      </c>
      <c r="T36" s="1560" t="s">
        <v>8</v>
      </c>
      <c r="U36" s="1561" t="e">
        <f t="shared" si="11"/>
        <v>#N/A</v>
      </c>
      <c r="V36" s="1560" t="s">
        <v>8</v>
      </c>
      <c r="W36" s="1561" t="e">
        <f t="shared" si="12"/>
        <v>#N/A</v>
      </c>
      <c r="X36" s="1554"/>
      <c r="Y36" s="3401"/>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01"/>
      <c r="Q37" s="1559" t="str">
        <f t="shared" ref="Q37:Q42" si="14">B37</f>
        <v>宗地形状</v>
      </c>
      <c r="R37" s="1560" t="s">
        <v>8</v>
      </c>
      <c r="S37" s="1561">
        <f t="shared" si="10"/>
        <v>100</v>
      </c>
      <c r="T37" s="1560" t="s">
        <v>8</v>
      </c>
      <c r="U37" s="1561">
        <f t="shared" si="11"/>
        <v>100</v>
      </c>
      <c r="V37" s="1560" t="s">
        <v>8</v>
      </c>
      <c r="W37" s="1561">
        <f t="shared" si="12"/>
        <v>100</v>
      </c>
      <c r="X37" s="1554"/>
      <c r="Y37" s="3401"/>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01"/>
      <c r="Q38" s="1559" t="str">
        <f t="shared" si="14"/>
        <v>宗地开发程度</v>
      </c>
      <c r="R38" s="1555" t="s">
        <v>8</v>
      </c>
      <c r="S38" s="1556">
        <f t="shared" si="10"/>
        <v>100</v>
      </c>
      <c r="T38" s="1555" t="s">
        <v>8</v>
      </c>
      <c r="U38" s="1556">
        <f t="shared" si="11"/>
        <v>100</v>
      </c>
      <c r="V38" s="1555" t="s">
        <v>8</v>
      </c>
      <c r="W38" s="1556">
        <f t="shared" si="12"/>
        <v>100</v>
      </c>
      <c r="X38" s="1557"/>
      <c r="Y38" s="3401"/>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1" t="s">
        <v>601</v>
      </c>
      <c r="Q39" s="1559" t="str">
        <f t="shared" si="14"/>
        <v>工程地质条件</v>
      </c>
      <c r="R39" s="1560" t="s">
        <v>8</v>
      </c>
      <c r="S39" s="1561">
        <f t="shared" si="10"/>
        <v>100</v>
      </c>
      <c r="T39" s="1560" t="s">
        <v>8</v>
      </c>
      <c r="U39" s="1561">
        <f t="shared" si="11"/>
        <v>100</v>
      </c>
      <c r="V39" s="1560" t="s">
        <v>8</v>
      </c>
      <c r="W39" s="1561">
        <f t="shared" si="12"/>
        <v>100</v>
      </c>
      <c r="X39" s="1554"/>
      <c r="Y39" s="3401"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01"/>
      <c r="Q40" s="1559">
        <f t="shared" si="14"/>
        <v>111</v>
      </c>
      <c r="R40" s="1560" t="s">
        <v>8</v>
      </c>
      <c r="S40" s="1561">
        <f t="shared" si="10"/>
        <v>100</v>
      </c>
      <c r="T40" s="1560" t="s">
        <v>8</v>
      </c>
      <c r="U40" s="1561">
        <f t="shared" si="11"/>
        <v>100</v>
      </c>
      <c r="V40" s="1560" t="s">
        <v>8</v>
      </c>
      <c r="W40" s="1561">
        <f t="shared" si="12"/>
        <v>100</v>
      </c>
      <c r="X40" s="1554"/>
      <c r="Y40" s="3401"/>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01"/>
      <c r="Q41" s="1559">
        <f t="shared" si="14"/>
        <v>111</v>
      </c>
      <c r="R41" s="1560" t="s">
        <v>8</v>
      </c>
      <c r="S41" s="1561">
        <f t="shared" si="10"/>
        <v>100</v>
      </c>
      <c r="T41" s="1560" t="s">
        <v>8</v>
      </c>
      <c r="U41" s="1561">
        <f t="shared" si="11"/>
        <v>100</v>
      </c>
      <c r="V41" s="1560" t="s">
        <v>8</v>
      </c>
      <c r="W41" s="1561">
        <f t="shared" si="12"/>
        <v>100</v>
      </c>
      <c r="X41" s="1554"/>
      <c r="Y41" s="3401"/>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01"/>
      <c r="Q42" s="1559">
        <f t="shared" si="14"/>
        <v>111</v>
      </c>
      <c r="R42" s="1564" t="s">
        <v>8</v>
      </c>
      <c r="S42" s="1565">
        <f t="shared" si="10"/>
        <v>100</v>
      </c>
      <c r="T42" s="1564" t="s">
        <v>8</v>
      </c>
      <c r="U42" s="1565">
        <f t="shared" si="11"/>
        <v>100</v>
      </c>
      <c r="V42" s="1564" t="s">
        <v>8</v>
      </c>
      <c r="W42" s="1565">
        <f t="shared" si="12"/>
        <v>100</v>
      </c>
      <c r="X42" s="1566"/>
      <c r="Y42" s="3401"/>
      <c r="Z42" s="1567">
        <f t="shared" si="13"/>
        <v>111</v>
      </c>
      <c r="AA42" s="1563">
        <f t="shared" si="3"/>
        <v>1</v>
      </c>
      <c r="AB42" s="1563">
        <f t="shared" si="4"/>
        <v>1</v>
      </c>
      <c r="AC42" s="1563">
        <f t="shared" si="5"/>
        <v>1</v>
      </c>
    </row>
    <row r="43" spans="1:29" ht="15">
      <c r="A43" s="607" t="s">
        <v>556</v>
      </c>
      <c r="B43" s="608" t="s">
        <v>2935</v>
      </c>
      <c r="C43" s="609" t="s">
        <v>1</v>
      </c>
      <c r="D43" s="610"/>
      <c r="E43" s="611"/>
      <c r="F43" s="612"/>
      <c r="G43" s="613"/>
      <c r="H43" s="614"/>
      <c r="I43" s="611"/>
      <c r="J43" s="614"/>
      <c r="K43" s="1336"/>
      <c r="L43" s="2130"/>
      <c r="M43" s="2120"/>
      <c r="N43" s="2120"/>
      <c r="O43" s="2131"/>
      <c r="P43" s="3363" t="str">
        <f>A43</f>
        <v>成交单价</v>
      </c>
      <c r="Q43" s="3363"/>
      <c r="R43" s="3364">
        <f>E43</f>
        <v>0</v>
      </c>
      <c r="S43" s="3364"/>
      <c r="T43" s="3364">
        <f>G43</f>
        <v>0</v>
      </c>
      <c r="U43" s="3364"/>
      <c r="V43" s="3364">
        <f>I43</f>
        <v>0</v>
      </c>
      <c r="W43" s="3364"/>
      <c r="X43" s="1546"/>
      <c r="Y43" s="1568"/>
      <c r="Z43" s="1546"/>
      <c r="AA43" s="1546"/>
      <c r="AB43" s="1546"/>
      <c r="AC43" s="1546"/>
    </row>
    <row r="44" spans="1:29" ht="15.75" thickBot="1">
      <c r="A44" s="615" t="s">
        <v>2692</v>
      </c>
      <c r="B44" s="616"/>
      <c r="C44" s="617" t="e">
        <f>R45</f>
        <v>#DIV/0!</v>
      </c>
      <c r="D44" s="618"/>
      <c r="E44" s="617" t="e">
        <f>R44</f>
        <v>#DIV/0!</v>
      </c>
      <c r="F44" s="619"/>
      <c r="G44" s="620" t="e">
        <f>T44</f>
        <v>#DIV/0!</v>
      </c>
      <c r="H44" s="618"/>
      <c r="I44" s="617" t="e">
        <f>V44</f>
        <v>#DIV/0!</v>
      </c>
      <c r="J44" s="618"/>
      <c r="K44" s="1337"/>
      <c r="L44" s="2130"/>
      <c r="M44" s="2120"/>
      <c r="N44" s="2120"/>
      <c r="O44" s="2131"/>
      <c r="P44" s="3363" t="str">
        <f>A44</f>
        <v>比较价格（元/平方米）</v>
      </c>
      <c r="Q44" s="3363"/>
      <c r="R44" s="3365" t="e">
        <f>ROUND(PRODUCT(R43,AA9:AA42),0)</f>
        <v>#DIV/0!</v>
      </c>
      <c r="S44" s="3365"/>
      <c r="T44" s="3365" t="e">
        <f>ROUND(PRODUCT(T43,AB9:AB42),0)</f>
        <v>#DIV/0!</v>
      </c>
      <c r="U44" s="3365"/>
      <c r="V44" s="3365" t="e">
        <f>ROUND(PRODUCT(V43,AC9:AC42),0)</f>
        <v>#DIV/0!</v>
      </c>
      <c r="W44" s="3365"/>
      <c r="X44" s="1546"/>
      <c r="Y44" s="1546"/>
      <c r="Z44" s="1546"/>
      <c r="AA44" s="1546"/>
      <c r="AB44" s="1546"/>
      <c r="AC44" s="1546"/>
    </row>
    <row r="45" spans="1:29" ht="15.75" thickBot="1">
      <c r="A45" s="621" t="s">
        <v>2936</v>
      </c>
      <c r="B45" s="622"/>
      <c r="C45" s="623" t="e">
        <f>R45</f>
        <v>#DIV/0!</v>
      </c>
      <c r="D45" s="623"/>
      <c r="E45" s="623"/>
      <c r="F45" s="623"/>
      <c r="G45" s="623"/>
      <c r="H45" s="623"/>
      <c r="I45" s="623"/>
      <c r="J45" s="623"/>
      <c r="K45" s="1338"/>
      <c r="L45" s="2130"/>
      <c r="M45" s="2120"/>
      <c r="N45" s="2120"/>
      <c r="O45" s="2131"/>
      <c r="P45" s="3360" t="str">
        <f>A45</f>
        <v>估价对象XX用房的比较价格（楼面单价，元/平方米）</v>
      </c>
      <c r="Q45" s="3361"/>
      <c r="R45" s="3362" t="e">
        <f>ROUND(AVERAGE(R44:V44),0)</f>
        <v>#DIV/0!</v>
      </c>
      <c r="S45" s="3362"/>
      <c r="T45" s="3362"/>
      <c r="U45" s="3362"/>
      <c r="V45" s="3362"/>
      <c r="W45" s="3362"/>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08" t="s">
        <v>2284</v>
      </c>
      <c r="H52" s="3409"/>
      <c r="I52" s="1938" t="s">
        <v>1945</v>
      </c>
      <c r="J52" s="1542" t="str">
        <f>项目基本情况!F41</f>
        <v>柳州市</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152843.82999999999</v>
      </c>
      <c r="F53" s="1936" t="e">
        <f t="shared" ref="F53:F62" si="15">ROUND(B53*E53/10000,0)</f>
        <v>#DIV/0!</v>
      </c>
      <c r="G53" s="3410"/>
      <c r="H53" s="3411"/>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12"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12"/>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12"/>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12"/>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67772.100000000006</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2019-8-1</v>
      </c>
      <c r="D65" s="2755">
        <f>EDATE(C65,-3)</f>
        <v>43586</v>
      </c>
      <c r="E65" s="2755">
        <f t="shared" ref="E65:N65" si="18">EDATE(D65,-3)</f>
        <v>43497</v>
      </c>
      <c r="F65" s="2755">
        <f t="shared" si="18"/>
        <v>43405</v>
      </c>
      <c r="G65" s="2755">
        <f t="shared" si="18"/>
        <v>43313</v>
      </c>
      <c r="H65" s="2755">
        <f t="shared" si="18"/>
        <v>43221</v>
      </c>
      <c r="I65" s="2755">
        <f t="shared" si="18"/>
        <v>43132</v>
      </c>
      <c r="J65" s="2755">
        <f t="shared" si="18"/>
        <v>43040</v>
      </c>
      <c r="K65" s="2755">
        <f t="shared" si="18"/>
        <v>42948</v>
      </c>
      <c r="L65" s="2755">
        <f t="shared" si="18"/>
        <v>42856</v>
      </c>
      <c r="M65" s="2755">
        <f t="shared" si="18"/>
        <v>42767</v>
      </c>
      <c r="N65" s="2755">
        <f t="shared" si="18"/>
        <v>42675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2648</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2761</v>
      </c>
      <c r="S1" s="2892" t="s">
        <v>2762</v>
      </c>
      <c r="T1" s="2892" t="s">
        <v>2783</v>
      </c>
      <c r="U1" s="2892" t="s">
        <v>2784</v>
      </c>
      <c r="V1" s="2892" t="s">
        <v>2785</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2.2999999999999998</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49"/>
      <c r="L4" s="1871" t="s">
        <v>2241</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0"/>
      <c r="L5" s="1871" t="s">
        <v>2242</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24"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2764</v>
      </c>
      <c r="X7" s="2883">
        <f>G2</f>
        <v>0</v>
      </c>
      <c r="Y7" s="2883" t="s">
        <v>2765</v>
      </c>
      <c r="Z7" s="2884">
        <f>G3</f>
        <v>2.2999999999999998</v>
      </c>
      <c r="AA7" s="2178"/>
      <c r="AB7" s="2178"/>
      <c r="AC7" s="2179"/>
      <c r="AD7" s="2885"/>
      <c r="AE7" s="2885"/>
      <c r="AF7" s="2885"/>
      <c r="AG7" s="2885"/>
      <c r="AH7" s="2885"/>
      <c r="AI7" s="2885"/>
      <c r="AJ7" s="2886"/>
    </row>
    <row r="8" spans="1:39" ht="15">
      <c r="A8" s="3425"/>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14" t="s">
        <v>2782</v>
      </c>
      <c r="X8" s="3415"/>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425"/>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13" t="s">
        <v>2778</v>
      </c>
      <c r="X9" s="2887" t="s">
        <v>2779</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25"/>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13"/>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25"/>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13" t="s">
        <v>2780</v>
      </c>
      <c r="X11" s="1048" t="s">
        <v>2765</v>
      </c>
      <c r="Y11" s="1639">
        <f>$G$3</f>
        <v>2.2999999999999998</v>
      </c>
      <c r="Z11" s="1639">
        <f t="shared" ref="Z11:AJ11" si="3">$G$3</f>
        <v>2.2999999999999998</v>
      </c>
      <c r="AA11" s="1639">
        <f t="shared" si="3"/>
        <v>2.2999999999999998</v>
      </c>
      <c r="AB11" s="1639">
        <f t="shared" si="3"/>
        <v>2.2999999999999998</v>
      </c>
      <c r="AC11" s="1639">
        <f t="shared" si="3"/>
        <v>2.2999999999999998</v>
      </c>
      <c r="AD11" s="1639">
        <f t="shared" si="3"/>
        <v>2.2999999999999998</v>
      </c>
      <c r="AE11" s="1639">
        <f t="shared" si="3"/>
        <v>2.2999999999999998</v>
      </c>
      <c r="AF11" s="1639">
        <f t="shared" si="3"/>
        <v>2.2999999999999998</v>
      </c>
      <c r="AG11" s="1639">
        <f t="shared" si="3"/>
        <v>2.2999999999999998</v>
      </c>
      <c r="AH11" s="1639">
        <f t="shared" si="3"/>
        <v>2.2999999999999998</v>
      </c>
      <c r="AI11" s="1639">
        <f t="shared" si="3"/>
        <v>2.2999999999999998</v>
      </c>
      <c r="AJ11" s="1639">
        <f t="shared" si="3"/>
        <v>2.2999999999999998</v>
      </c>
    </row>
    <row r="12" spans="1:39" ht="25.5" thickBot="1">
      <c r="A12" s="3424"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13"/>
      <c r="X12" s="2890" t="s">
        <v>2781</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26"/>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13"/>
      <c r="X13" s="2890"/>
      <c r="Y13" s="2889">
        <f>(-0.163*(Y12^2)-0.59*Y12+7617)*(10^(-4))/Y11</f>
        <v>0.33117391304347832</v>
      </c>
      <c r="Z13" s="2889">
        <f t="shared" ref="Z13:AJ13" si="5">(-0.163*(Z12^2)-0.59*Z12+7617)*(10^(-4))/Z11</f>
        <v>0.33117391304347832</v>
      </c>
      <c r="AA13" s="2889">
        <f t="shared" si="5"/>
        <v>0.33117391304347832</v>
      </c>
      <c r="AB13" s="2889">
        <f t="shared" si="5"/>
        <v>0.33117391304347832</v>
      </c>
      <c r="AC13" s="2889">
        <f t="shared" si="5"/>
        <v>0.33117391304347832</v>
      </c>
      <c r="AD13" s="2889">
        <f t="shared" si="5"/>
        <v>0.33117391304347832</v>
      </c>
      <c r="AE13" s="2889">
        <f t="shared" si="5"/>
        <v>0.33117391304347832</v>
      </c>
      <c r="AF13" s="2889">
        <f t="shared" si="5"/>
        <v>0.33117391304347832</v>
      </c>
      <c r="AG13" s="2889">
        <f t="shared" si="5"/>
        <v>0.33117391304347832</v>
      </c>
      <c r="AH13" s="2889">
        <f t="shared" si="5"/>
        <v>0.33117391304347832</v>
      </c>
      <c r="AI13" s="2889">
        <f t="shared" si="5"/>
        <v>0.33117391304347832</v>
      </c>
      <c r="AJ13" s="2889">
        <f t="shared" si="5"/>
        <v>0.33117391304347832</v>
      </c>
    </row>
    <row r="14" spans="1:39" ht="12.75" customHeight="1">
      <c r="A14" s="3426"/>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27"/>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24" t="s">
        <v>1838</v>
      </c>
      <c r="B16" s="1424" t="s">
        <v>950</v>
      </c>
      <c r="C16" s="1052" t="e">
        <f>ROUND(IF(F17="与级别开发程度一致",0,(G17-E17)/C17),0)</f>
        <v>#DIV/0!</v>
      </c>
      <c r="D16" s="3421" t="s">
        <v>954</v>
      </c>
      <c r="E16" s="3422"/>
      <c r="F16" s="3421" t="s">
        <v>951</v>
      </c>
      <c r="G16" s="3422"/>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28"/>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43698</v>
      </c>
      <c r="H19" s="1464" t="s">
        <v>2996</v>
      </c>
      <c r="I19" s="2741" t="str">
        <f>IF(H19="季度增幅（自定义）",SUMIF(N21:N24,E2,O21:O24),"")</f>
        <v/>
      </c>
      <c r="J19" s="1460"/>
      <c r="K19" s="3150"/>
      <c r="L19" s="2993" t="s">
        <v>2840</v>
      </c>
      <c r="M19" s="2994">
        <f>ROUND(SUMIF(地价!B2:F2,E2,地价!B27:F27),0)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2841</v>
      </c>
      <c r="M20" s="3159">
        <f>ROUND(SUMPRODUCT((地价!A4:A27=YEAR(G19)&amp;"-"&amp;ROUNDUP(MONTH(G19)/3,0))*(地价!B2:F2=E2)*(地价!B4:F27)),0)</f>
        <v>0</v>
      </c>
      <c r="N20" s="2746" t="s">
        <v>2645</v>
      </c>
      <c r="O20" s="2744" t="s">
        <v>2644</v>
      </c>
      <c r="P20" s="2745" t="s">
        <v>2649</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2760</v>
      </c>
      <c r="C21" s="1154">
        <f>IF(B21="容积率修正",IF(G3&lt;=10,D22,J22),C23)</f>
        <v>0</v>
      </c>
      <c r="D21" s="1470"/>
      <c r="E21" s="1470"/>
      <c r="F21" s="1470"/>
      <c r="G21" s="1470"/>
      <c r="H21" s="1470"/>
      <c r="I21" s="1470"/>
      <c r="J21" s="1471"/>
      <c r="K21" s="3150"/>
      <c r="L21" s="1470"/>
      <c r="M21" s="1470"/>
      <c r="N21" s="1467" t="s">
        <v>975</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2.2999999999999998</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2.2999999999999998</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2647</v>
      </c>
      <c r="O25" s="3161"/>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31" t="s">
        <v>2961</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32"/>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32"/>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33"/>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2988</v>
      </c>
      <c r="C41" s="839" t="e">
        <f>ROUND(POWER(1+E41,H41-G41)*(POWER(1+E41,G41)-1)/(POWER(1+E41,H41)-1),4)</f>
        <v>#DIV/0!</v>
      </c>
      <c r="D41" s="378" t="s">
        <v>2986</v>
      </c>
      <c r="E41" s="3147">
        <f>G20</f>
        <v>0</v>
      </c>
      <c r="F41" s="378" t="s">
        <v>2987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2938</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2937</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2939</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2937</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2937</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2937</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29" t="s">
        <v>1633</v>
      </c>
      <c r="B90" s="3429"/>
      <c r="C90" s="3429"/>
      <c r="D90" s="3429"/>
      <c r="E90" s="3429"/>
      <c r="F90" s="3429"/>
      <c r="G90" s="3429"/>
      <c r="H90" s="3429"/>
      <c r="I90" s="3429"/>
      <c r="J90" s="3429"/>
      <c r="K90" s="2415"/>
      <c r="L90" s="2415"/>
      <c r="M90" s="2415"/>
      <c r="N90" s="2415"/>
    </row>
    <row r="91" spans="1:40">
      <c r="A91" s="3430" t="s">
        <v>1443</v>
      </c>
      <c r="B91" s="3430" t="s">
        <v>1634</v>
      </c>
      <c r="C91" s="1136" t="s">
        <v>1635</v>
      </c>
      <c r="D91" s="1137"/>
      <c r="E91" s="1137"/>
      <c r="F91" s="1137"/>
      <c r="G91" s="1137"/>
      <c r="H91" s="1137"/>
      <c r="I91" s="1137"/>
      <c r="J91" s="1138"/>
      <c r="K91" s="1130"/>
      <c r="L91" s="1130"/>
      <c r="M91" s="1130"/>
      <c r="N91" s="1130"/>
    </row>
    <row r="92" spans="1:40">
      <c r="A92" s="3430"/>
      <c r="B92" s="3430"/>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16"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17"/>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17"/>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17"/>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17"/>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17"/>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17"/>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18"/>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16" t="s">
        <v>1637</v>
      </c>
      <c r="B101" s="1143" t="s">
        <v>906</v>
      </c>
      <c r="C101" s="1144">
        <f>$G$3</f>
        <v>2.2999999999999998</v>
      </c>
      <c r="D101" s="1144">
        <f t="shared" ref="D101:N101" si="31">$G$3</f>
        <v>2.2999999999999998</v>
      </c>
      <c r="E101" s="1144">
        <f t="shared" si="31"/>
        <v>2.2999999999999998</v>
      </c>
      <c r="F101" s="1144">
        <f t="shared" si="31"/>
        <v>2.2999999999999998</v>
      </c>
      <c r="G101" s="1144">
        <f t="shared" si="31"/>
        <v>2.2999999999999998</v>
      </c>
      <c r="H101" s="1144">
        <f t="shared" si="31"/>
        <v>2.2999999999999998</v>
      </c>
      <c r="I101" s="1144">
        <f t="shared" si="31"/>
        <v>2.2999999999999998</v>
      </c>
      <c r="J101" s="1144">
        <f t="shared" si="31"/>
        <v>2.2999999999999998</v>
      </c>
      <c r="K101" s="1144">
        <f t="shared" si="31"/>
        <v>2.2999999999999998</v>
      </c>
      <c r="L101" s="1144">
        <f t="shared" si="31"/>
        <v>2.2999999999999998</v>
      </c>
      <c r="M101" s="1144">
        <f t="shared" si="31"/>
        <v>2.2999999999999998</v>
      </c>
      <c r="N101" s="1144">
        <f t="shared" si="31"/>
        <v>2.2999999999999998</v>
      </c>
    </row>
    <row r="102" spans="1:14">
      <c r="A102" s="3417"/>
      <c r="B102" s="1139">
        <v>1</v>
      </c>
      <c r="C102" s="1140">
        <f>1.9362/C101</f>
        <v>0.84182608695652172</v>
      </c>
      <c r="D102" s="1140">
        <f>1.9362/D101</f>
        <v>0.84182608695652172</v>
      </c>
      <c r="E102" s="1140">
        <f>1.8629/E101</f>
        <v>0.80995652173913046</v>
      </c>
      <c r="F102" s="1140">
        <f>1.8629/F101</f>
        <v>0.80995652173913046</v>
      </c>
      <c r="G102" s="1140">
        <f>1.8629/G101</f>
        <v>0.80995652173913046</v>
      </c>
      <c r="H102" s="1140">
        <f>1.8629/H101</f>
        <v>0.80995652173913046</v>
      </c>
      <c r="I102" s="1140">
        <f>1.8629/I101</f>
        <v>0.80995652173913046</v>
      </c>
      <c r="J102" s="1140">
        <f>1.942/J101</f>
        <v>0.84434782608695658</v>
      </c>
      <c r="K102" s="1140">
        <f>1.942/K101</f>
        <v>0.84434782608695658</v>
      </c>
      <c r="L102" s="1140">
        <f>1.942/L101</f>
        <v>0.84434782608695658</v>
      </c>
      <c r="M102" s="1140">
        <f>1.942/M101</f>
        <v>0.84434782608695658</v>
      </c>
      <c r="N102" s="1140">
        <f>1.942/N101</f>
        <v>0.84434782608695658</v>
      </c>
    </row>
    <row r="103" spans="1:14">
      <c r="A103" s="3417"/>
      <c r="B103" s="1139">
        <v>2</v>
      </c>
      <c r="C103" s="1140">
        <f>1.4198/C101</f>
        <v>0.61730434782608701</v>
      </c>
      <c r="D103" s="1140">
        <f>1.4198/D101</f>
        <v>0.61730434782608701</v>
      </c>
      <c r="E103" s="1140">
        <f>1.3372/E101</f>
        <v>0.58139130434782615</v>
      </c>
      <c r="F103" s="1140">
        <f>1.3372/F101</f>
        <v>0.58139130434782615</v>
      </c>
      <c r="G103" s="1140">
        <f>1.3372/G101</f>
        <v>0.58139130434782615</v>
      </c>
      <c r="H103" s="1140">
        <f>1.3372/H101</f>
        <v>0.58139130434782615</v>
      </c>
      <c r="I103" s="1140">
        <f>1.3372/I101</f>
        <v>0.58139130434782615</v>
      </c>
      <c r="J103" s="1140">
        <f>1.2799/J101</f>
        <v>0.55647826086956531</v>
      </c>
      <c r="K103" s="1140">
        <f>1.2799/K101</f>
        <v>0.55647826086956531</v>
      </c>
      <c r="L103" s="1140">
        <f>1.2799/L101</f>
        <v>0.55647826086956531</v>
      </c>
      <c r="M103" s="1140">
        <f>1.2799/M101</f>
        <v>0.55647826086956531</v>
      </c>
      <c r="N103" s="1140">
        <f>1.2799/N101</f>
        <v>0.55647826086956531</v>
      </c>
    </row>
    <row r="104" spans="1:14">
      <c r="A104" s="3417"/>
      <c r="B104" s="1139">
        <v>3</v>
      </c>
      <c r="C104" s="1140">
        <f>1.1594/C101</f>
        <v>0.50408695652173918</v>
      </c>
      <c r="D104" s="1140">
        <f>1.1594/D101</f>
        <v>0.50408695652173918</v>
      </c>
      <c r="E104" s="1140">
        <f>1.0788/E101</f>
        <v>0.46904347826086962</v>
      </c>
      <c r="F104" s="1140">
        <f>1.0788/F101</f>
        <v>0.46904347826086962</v>
      </c>
      <c r="G104" s="1140">
        <f>1.0788/G101</f>
        <v>0.46904347826086962</v>
      </c>
      <c r="H104" s="1140">
        <f>1.0788/H101</f>
        <v>0.46904347826086962</v>
      </c>
      <c r="I104" s="1140">
        <f>1.0788/I101</f>
        <v>0.46904347826086962</v>
      </c>
      <c r="J104" s="1140">
        <f>1.0072/J101</f>
        <v>0.43791304347826093</v>
      </c>
      <c r="K104" s="1140">
        <f>1.0072/K101</f>
        <v>0.43791304347826093</v>
      </c>
      <c r="L104" s="1140">
        <f>1.0072/L101</f>
        <v>0.43791304347826093</v>
      </c>
      <c r="M104" s="1140">
        <f>1.0072/M101</f>
        <v>0.43791304347826093</v>
      </c>
      <c r="N104" s="1140">
        <f>1.0072/N101</f>
        <v>0.43791304347826093</v>
      </c>
    </row>
    <row r="105" spans="1:14">
      <c r="A105" s="3417"/>
      <c r="B105" s="1139">
        <v>4</v>
      </c>
      <c r="C105" s="1140">
        <f>0.9622/C101</f>
        <v>0.41834782608695659</v>
      </c>
      <c r="D105" s="1140">
        <f>0.9622/D101</f>
        <v>0.41834782608695659</v>
      </c>
      <c r="E105" s="1140">
        <f>0.8656/E101</f>
        <v>0.37634782608695655</v>
      </c>
      <c r="F105" s="1140">
        <f>0.8656/F101</f>
        <v>0.37634782608695655</v>
      </c>
      <c r="G105" s="1140">
        <f>0.8656/G101</f>
        <v>0.37634782608695655</v>
      </c>
      <c r="H105" s="1140">
        <f>0.8656/H101</f>
        <v>0.37634782608695655</v>
      </c>
      <c r="I105" s="1140">
        <f>0.8656/I101</f>
        <v>0.37634782608695655</v>
      </c>
      <c r="J105" s="1140">
        <f>0.7525/J101</f>
        <v>0.32717391304347826</v>
      </c>
      <c r="K105" s="1140">
        <f>0.7525/K101</f>
        <v>0.32717391304347826</v>
      </c>
      <c r="L105" s="1140">
        <f>0.7525/L101</f>
        <v>0.32717391304347826</v>
      </c>
      <c r="M105" s="1140">
        <f>0.7525/M101</f>
        <v>0.32717391304347826</v>
      </c>
      <c r="N105" s="1140">
        <f>0.7525/N101</f>
        <v>0.32717391304347826</v>
      </c>
    </row>
    <row r="106" spans="1:14">
      <c r="A106" s="3417"/>
      <c r="B106" s="1139">
        <v>5</v>
      </c>
      <c r="C106" s="1140">
        <f>0.8417/C101</f>
        <v>0.36595652173913046</v>
      </c>
      <c r="D106" s="1140">
        <f>0.8417/D101</f>
        <v>0.36595652173913046</v>
      </c>
      <c r="E106" s="1140">
        <f>0.7371/E101</f>
        <v>0.32047826086956521</v>
      </c>
      <c r="F106" s="1140">
        <f>0.7371/F101</f>
        <v>0.32047826086956521</v>
      </c>
      <c r="G106" s="1140">
        <f>0.7371/G101</f>
        <v>0.32047826086956521</v>
      </c>
      <c r="H106" s="1140">
        <f>0.7371/H101</f>
        <v>0.32047826086956521</v>
      </c>
      <c r="I106" s="1140">
        <f>0.7371/I101</f>
        <v>0.32047826086956521</v>
      </c>
      <c r="J106" s="1140">
        <f>0.5659/J101</f>
        <v>0.24604347826086956</v>
      </c>
      <c r="K106" s="1140">
        <f>0.5659/K101</f>
        <v>0.24604347826086956</v>
      </c>
      <c r="L106" s="1140">
        <f>0.5659/L101</f>
        <v>0.24604347826086956</v>
      </c>
      <c r="M106" s="1140">
        <f>0.5659/M101</f>
        <v>0.24604347826086956</v>
      </c>
      <c r="N106" s="1140">
        <f>0.5659/N101</f>
        <v>0.24604347826086956</v>
      </c>
    </row>
    <row r="107" spans="1:14">
      <c r="A107" s="3417"/>
      <c r="B107" s="1139">
        <v>6</v>
      </c>
      <c r="C107" s="1140">
        <f>0.7608/C101</f>
        <v>0.33078260869565224</v>
      </c>
      <c r="D107" s="1140">
        <f>0.7608/D101</f>
        <v>0.33078260869565224</v>
      </c>
      <c r="E107" s="1140">
        <f>0.6482/E101</f>
        <v>0.28182608695652178</v>
      </c>
      <c r="F107" s="1140">
        <f>0.6482/F101</f>
        <v>0.28182608695652178</v>
      </c>
      <c r="G107" s="1140">
        <f>0.6482/G101</f>
        <v>0.28182608695652178</v>
      </c>
      <c r="H107" s="1140">
        <f>0.6482/H101</f>
        <v>0.28182608695652178</v>
      </c>
      <c r="I107" s="1140">
        <f>0.6482/I101</f>
        <v>0.28182608695652178</v>
      </c>
      <c r="J107" s="1140">
        <f>0.4525/J101</f>
        <v>0.19673913043478264</v>
      </c>
      <c r="K107" s="1140">
        <f>0.4525/K101</f>
        <v>0.19673913043478264</v>
      </c>
      <c r="L107" s="1140">
        <f>0.4525/L101</f>
        <v>0.19673913043478264</v>
      </c>
      <c r="M107" s="1140">
        <f>0.4525/M101</f>
        <v>0.19673913043478264</v>
      </c>
      <c r="N107" s="1140">
        <f>0.4525/N101</f>
        <v>0.19673913043478264</v>
      </c>
    </row>
    <row r="108" spans="1:14">
      <c r="A108" s="3417"/>
      <c r="B108" s="3419"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18"/>
      <c r="B109" s="3420"/>
      <c r="C109" s="1142">
        <f>(-0.163*(C108^2)-0.59*C108+7617)*(10^(-4))/C101</f>
        <v>0.33051513043478264</v>
      </c>
      <c r="D109" s="1142">
        <f>(-0.163*(D108^2)-0.59*D108+7617)*(10^(-4))/D101</f>
        <v>0.33051513043478264</v>
      </c>
      <c r="E109" s="1142">
        <f>(-0.161*(E108^2)-7.509*E108+6533)*(10^(-4))/E101</f>
        <v>0.28098365217391308</v>
      </c>
      <c r="F109" s="1142">
        <f>(-0.161*(F108^2)-7.509*F108+6533)*(10^(-4))/F101</f>
        <v>0.28098365217391308</v>
      </c>
      <c r="G109" s="1142">
        <f>(-0.161*(G108^2)-7.509*G108+6533)*(10^(-4))/G101</f>
        <v>0.28098365217391308</v>
      </c>
      <c r="H109" s="1142">
        <f>(-0.161*(H108^2)-7.509*H108+6533)*(10^(-4))/H101</f>
        <v>0.28098365217391308</v>
      </c>
      <c r="I109" s="1142">
        <f>(-0.161*(I108^2)-7.509*I108+6533)*(10^(-4))/I101</f>
        <v>0.28098365217391308</v>
      </c>
      <c r="J109" s="1142">
        <f>(-0.214*(J108^2)-21.991*J108+4665)*(10^(-4))/J101</f>
        <v>0.19458156521739134</v>
      </c>
      <c r="K109" s="1142">
        <f>(-0.214*(K108^2)-21.991*K108+4665)*(10^(-4))/K101</f>
        <v>0.19458156521739134</v>
      </c>
      <c r="L109" s="1142">
        <f>(-0.214*(L108^2)-21.991*L108+4665)*(10^(-4))/L101</f>
        <v>0.19458156521739134</v>
      </c>
      <c r="M109" s="1142">
        <f>(-0.214*(M108^2)-21.991*M108+4665)*(10^(-4))/M101</f>
        <v>0.19458156521739134</v>
      </c>
      <c r="N109" s="1142">
        <f>(-0.214*(N108^2)-21.991*N108+4665)*(10^(-4))/N101</f>
        <v>0.19458156521739134</v>
      </c>
    </row>
    <row r="110" spans="1:14">
      <c r="A110" s="3423" t="s">
        <v>1639</v>
      </c>
      <c r="B110" s="3423"/>
      <c r="C110" s="3423"/>
      <c r="D110" s="3423"/>
      <c r="E110" s="3423"/>
      <c r="F110" s="3423"/>
      <c r="G110" s="3423"/>
      <c r="H110" s="3423"/>
      <c r="I110" s="3423"/>
      <c r="J110" s="3423"/>
      <c r="K110" s="2413"/>
      <c r="L110" s="2413"/>
      <c r="M110" s="2413"/>
      <c r="N110" s="2413"/>
    </row>
    <row r="112" spans="1:14" ht="12.75" thickBot="1"/>
    <row r="113" spans="1:13" ht="25.5" thickBot="1">
      <c r="A113" s="1016" t="s">
        <v>896</v>
      </c>
      <c r="B113" s="2416">
        <f>G3</f>
        <v>2.2999999999999998</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0.91190000000000004</v>
      </c>
      <c r="C115" s="1030">
        <f>B115</f>
        <v>0.91190000000000004</v>
      </c>
      <c r="D115" s="1030">
        <f>ROUND(0.8331-0.0109*B113,4)</f>
        <v>0.80800000000000005</v>
      </c>
      <c r="E115" s="1030">
        <f>D115</f>
        <v>0.80800000000000005</v>
      </c>
      <c r="F115" s="1030">
        <f>E115</f>
        <v>0.80800000000000005</v>
      </c>
      <c r="G115" s="1030">
        <f>F115</f>
        <v>0.80800000000000005</v>
      </c>
      <c r="H115" s="1030">
        <f>G115</f>
        <v>0.80800000000000005</v>
      </c>
      <c r="I115" s="1030">
        <f>ROUND(0.689-0.0155*B113,4)</f>
        <v>0.65339999999999998</v>
      </c>
      <c r="J115" s="1030">
        <f t="shared" ref="J115:M118" si="33">I115</f>
        <v>0.65339999999999998</v>
      </c>
      <c r="K115" s="1030">
        <f t="shared" si="33"/>
        <v>0.65339999999999998</v>
      </c>
      <c r="L115" s="1030">
        <f t="shared" si="33"/>
        <v>0.65339999999999998</v>
      </c>
      <c r="M115" s="1031">
        <f t="shared" si="33"/>
        <v>0.65339999999999998</v>
      </c>
    </row>
    <row r="116" spans="1:13" ht="12.75">
      <c r="A116" s="1029" t="s">
        <v>901</v>
      </c>
      <c r="B116" s="1030">
        <f>ROUND(0.949-0.012*B113,4)</f>
        <v>0.9214</v>
      </c>
      <c r="C116" s="1030">
        <f>B116</f>
        <v>0.9214</v>
      </c>
      <c r="D116" s="1030">
        <f>ROUND(0.8567-0.013*B113,4)</f>
        <v>0.82679999999999998</v>
      </c>
      <c r="E116" s="1030">
        <f t="shared" ref="E116:H117" si="34">D116</f>
        <v>0.82679999999999998</v>
      </c>
      <c r="F116" s="1030">
        <f t="shared" si="34"/>
        <v>0.82679999999999998</v>
      </c>
      <c r="G116" s="1030">
        <f t="shared" si="34"/>
        <v>0.82679999999999998</v>
      </c>
      <c r="H116" s="1030">
        <f t="shared" si="34"/>
        <v>0.82679999999999998</v>
      </c>
      <c r="I116" s="1030">
        <f>ROUND(0.7694-0.014*B113,4)</f>
        <v>0.73719999999999997</v>
      </c>
      <c r="J116" s="1030">
        <f t="shared" si="33"/>
        <v>0.73719999999999997</v>
      </c>
      <c r="K116" s="1030">
        <f t="shared" si="33"/>
        <v>0.73719999999999997</v>
      </c>
      <c r="L116" s="1030">
        <f t="shared" si="33"/>
        <v>0.73719999999999997</v>
      </c>
      <c r="M116" s="1031">
        <f t="shared" si="33"/>
        <v>0.73719999999999997</v>
      </c>
    </row>
    <row r="117" spans="1:13" ht="12.75">
      <c r="A117" s="1032" t="s">
        <v>902</v>
      </c>
      <c r="B117" s="1030">
        <f>ROUND(0.8808-0.006*B113,4)</f>
        <v>0.86699999999999999</v>
      </c>
      <c r="C117" s="1030">
        <f>B117</f>
        <v>0.86699999999999999</v>
      </c>
      <c r="D117" s="1030">
        <f>ROUND(0.8748-0.008*B113,4)</f>
        <v>0.85640000000000005</v>
      </c>
      <c r="E117" s="1030">
        <f t="shared" si="34"/>
        <v>0.85640000000000005</v>
      </c>
      <c r="F117" s="1030">
        <f t="shared" si="34"/>
        <v>0.85640000000000005</v>
      </c>
      <c r="G117" s="1030">
        <f t="shared" si="34"/>
        <v>0.85640000000000005</v>
      </c>
      <c r="H117" s="1030">
        <f t="shared" si="34"/>
        <v>0.85640000000000005</v>
      </c>
      <c r="I117" s="1030">
        <f>ROUND(0.7412-0.0095*B113,4)</f>
        <v>0.71940000000000004</v>
      </c>
      <c r="J117" s="1030">
        <f t="shared" si="33"/>
        <v>0.71940000000000004</v>
      </c>
      <c r="K117" s="1030">
        <f t="shared" si="33"/>
        <v>0.71940000000000004</v>
      </c>
      <c r="L117" s="1030">
        <f t="shared" si="33"/>
        <v>0.71940000000000004</v>
      </c>
      <c r="M117" s="1031">
        <f t="shared" si="33"/>
        <v>0.71940000000000004</v>
      </c>
    </row>
    <row r="118" spans="1:13" ht="13.5" thickBot="1">
      <c r="A118" s="1033" t="s">
        <v>903</v>
      </c>
      <c r="B118" s="1034">
        <f>ROUND(0.7275-0.01*B113,4)</f>
        <v>0.70450000000000002</v>
      </c>
      <c r="C118" s="1034">
        <f>B118</f>
        <v>0.70450000000000002</v>
      </c>
      <c r="D118" s="1034">
        <f>ROUND(0.7043-0.012*B113,4)</f>
        <v>0.67669999999999997</v>
      </c>
      <c r="E118" s="1034">
        <f>D118</f>
        <v>0.67669999999999997</v>
      </c>
      <c r="F118" s="1034">
        <f>E118</f>
        <v>0.67669999999999997</v>
      </c>
      <c r="G118" s="1034">
        <f>ROUND(0.6299-0.0122*B113,4)</f>
        <v>0.6018</v>
      </c>
      <c r="H118" s="1034">
        <f>G118</f>
        <v>0.6018</v>
      </c>
      <c r="I118" s="1034">
        <f>ROUND(0.5667-0.0136*B113,4)</f>
        <v>0.53539999999999999</v>
      </c>
      <c r="J118" s="1034">
        <f t="shared" si="33"/>
        <v>0.53539999999999999</v>
      </c>
      <c r="K118" s="1034">
        <f t="shared" si="33"/>
        <v>0.53539999999999999</v>
      </c>
      <c r="L118" s="1034">
        <f t="shared" si="33"/>
        <v>0.53539999999999999</v>
      </c>
      <c r="M118" s="1035">
        <f t="shared" si="33"/>
        <v>0.53539999999999999</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2991</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30" t="s">
        <v>1007</v>
      </c>
      <c r="B18" s="1150" t="s">
        <v>1446</v>
      </c>
      <c r="C18" s="1127" t="s">
        <v>1447</v>
      </c>
      <c r="D18" s="1128"/>
      <c r="E18" s="1150">
        <v>1</v>
      </c>
      <c r="F18" s="1129" t="s">
        <v>1448</v>
      </c>
      <c r="G18" s="1130"/>
      <c r="H18" s="1101"/>
      <c r="I18" s="1101"/>
    </row>
    <row r="19" spans="1:9" s="1585" customFormat="1" ht="19.5" customHeight="1">
      <c r="A19" s="3430"/>
      <c r="B19" s="3430" t="s">
        <v>1449</v>
      </c>
      <c r="C19" s="1127" t="s">
        <v>1450</v>
      </c>
      <c r="D19" s="1128"/>
      <c r="E19" s="1150">
        <v>0.9</v>
      </c>
      <c r="F19" s="1129" t="s">
        <v>1451</v>
      </c>
      <c r="G19" s="1130"/>
      <c r="H19" s="1101"/>
      <c r="I19" s="1101"/>
    </row>
    <row r="20" spans="1:9" s="1585" customFormat="1" ht="19.5" customHeight="1">
      <c r="A20" s="3430"/>
      <c r="B20" s="3430"/>
      <c r="C20" s="1127" t="s">
        <v>1452</v>
      </c>
      <c r="D20" s="1128"/>
      <c r="E20" s="1150">
        <v>1.1000000000000001</v>
      </c>
      <c r="F20" s="1129" t="s">
        <v>1453</v>
      </c>
      <c r="G20" s="1130"/>
      <c r="H20" s="1101"/>
      <c r="I20" s="1101"/>
    </row>
    <row r="21" spans="1:9" s="1585" customFormat="1" ht="19.5" customHeight="1">
      <c r="A21" s="3430"/>
      <c r="B21" s="3430"/>
      <c r="C21" s="1127" t="s">
        <v>1454</v>
      </c>
      <c r="D21" s="1128"/>
      <c r="E21" s="1150">
        <v>0.8</v>
      </c>
      <c r="F21" s="1129" t="s">
        <v>1455</v>
      </c>
      <c r="G21" s="1130"/>
      <c r="H21" s="1101"/>
      <c r="I21" s="1101"/>
    </row>
    <row r="22" spans="1:9" s="1585" customFormat="1" ht="19.5" customHeight="1">
      <c r="A22" s="3430"/>
      <c r="B22" s="3430"/>
      <c r="C22" s="1127" t="s">
        <v>1456</v>
      </c>
      <c r="D22" s="1128"/>
      <c r="E22" s="1150">
        <v>0.5</v>
      </c>
      <c r="F22" s="1129"/>
      <c r="G22" s="1130"/>
      <c r="H22" s="1101"/>
      <c r="I22" s="1101"/>
    </row>
    <row r="23" spans="1:9" s="1585" customFormat="1" ht="19.5" customHeight="1">
      <c r="A23" s="3430" t="s">
        <v>1029</v>
      </c>
      <c r="B23" s="1150" t="s">
        <v>1446</v>
      </c>
      <c r="C23" s="1127" t="s">
        <v>1457</v>
      </c>
      <c r="D23" s="1128"/>
      <c r="E23" s="1150">
        <v>1</v>
      </c>
      <c r="F23" s="1129" t="s">
        <v>1458</v>
      </c>
      <c r="G23" s="1130"/>
      <c r="H23" s="1101"/>
      <c r="I23" s="1101"/>
    </row>
    <row r="24" spans="1:9" s="1585" customFormat="1" ht="19.5" customHeight="1">
      <c r="A24" s="3430"/>
      <c r="B24" s="3430" t="s">
        <v>1449</v>
      </c>
      <c r="C24" s="1127" t="s">
        <v>1459</v>
      </c>
      <c r="D24" s="1128"/>
      <c r="E24" s="1150">
        <v>0.5</v>
      </c>
      <c r="F24" s="1129"/>
      <c r="G24" s="1130"/>
      <c r="H24" s="1101"/>
      <c r="I24" s="1101"/>
    </row>
    <row r="25" spans="1:9" s="1585" customFormat="1" ht="19.5" customHeight="1">
      <c r="A25" s="3430"/>
      <c r="B25" s="3430"/>
      <c r="C25" s="1127" t="s">
        <v>1460</v>
      </c>
      <c r="D25" s="1128"/>
      <c r="E25" s="1150">
        <v>1.1000000000000001</v>
      </c>
      <c r="F25" s="1129"/>
      <c r="G25" s="1130"/>
      <c r="H25" s="1101"/>
      <c r="I25" s="1101"/>
    </row>
    <row r="26" spans="1:9" s="1585" customFormat="1" ht="19.5" customHeight="1">
      <c r="A26" s="3430"/>
      <c r="B26" s="3430"/>
      <c r="C26" s="1127" t="s">
        <v>1461</v>
      </c>
      <c r="D26" s="1128"/>
      <c r="E26" s="1150">
        <v>1.1000000000000001</v>
      </c>
      <c r="F26" s="1129"/>
      <c r="G26" s="1130"/>
      <c r="H26" s="1101"/>
      <c r="I26" s="1101"/>
    </row>
    <row r="27" spans="1:9" s="1585" customFormat="1" ht="19.5" customHeight="1">
      <c r="A27" s="3430"/>
      <c r="B27" s="3430"/>
      <c r="C27" s="1127" t="s">
        <v>1462</v>
      </c>
      <c r="D27" s="1128"/>
      <c r="E27" s="1150">
        <v>0.9</v>
      </c>
      <c r="F27" s="1129" t="s">
        <v>1463</v>
      </c>
      <c r="G27" s="1130"/>
      <c r="H27" s="1101"/>
      <c r="I27" s="1101"/>
    </row>
    <row r="28" spans="1:9" s="1585" customFormat="1" ht="19.5" customHeight="1">
      <c r="A28" s="3430"/>
      <c r="B28" s="3430"/>
      <c r="C28" s="1127" t="s">
        <v>1464</v>
      </c>
      <c r="D28" s="1128"/>
      <c r="E28" s="1150">
        <v>0.9</v>
      </c>
      <c r="F28" s="1129" t="s">
        <v>1465</v>
      </c>
      <c r="G28" s="1130"/>
      <c r="H28" s="1101"/>
      <c r="I28" s="1101"/>
    </row>
    <row r="29" spans="1:9" s="1585" customFormat="1" ht="19.5" customHeight="1">
      <c r="A29" s="3430"/>
      <c r="B29" s="3430"/>
      <c r="C29" s="1127" t="s">
        <v>1466</v>
      </c>
      <c r="D29" s="1128"/>
      <c r="E29" s="1150">
        <v>0.9</v>
      </c>
      <c r="F29" s="1129" t="s">
        <v>1467</v>
      </c>
      <c r="G29" s="1130"/>
      <c r="H29" s="1101"/>
      <c r="I29" s="1101"/>
    </row>
    <row r="30" spans="1:9" s="1585" customFormat="1" ht="19.5" customHeight="1">
      <c r="A30" s="3430"/>
      <c r="B30" s="3430"/>
      <c r="C30" s="1127" t="s">
        <v>1468</v>
      </c>
      <c r="D30" s="1128"/>
      <c r="E30" s="1150">
        <v>0.9</v>
      </c>
      <c r="F30" s="1129" t="s">
        <v>1469</v>
      </c>
      <c r="G30" s="1130"/>
      <c r="H30" s="1101"/>
      <c r="I30" s="1101"/>
    </row>
    <row r="31" spans="1:9" s="1585" customFormat="1" ht="19.5" customHeight="1">
      <c r="A31" s="3430"/>
      <c r="B31" s="3430"/>
      <c r="C31" s="1127" t="s">
        <v>1470</v>
      </c>
      <c r="D31" s="1128"/>
      <c r="E31" s="1150">
        <v>0.8</v>
      </c>
      <c r="F31" s="1129" t="s">
        <v>1471</v>
      </c>
      <c r="G31" s="1130"/>
      <c r="H31" s="1101"/>
      <c r="I31" s="1101"/>
    </row>
    <row r="32" spans="1:9" s="1585" customFormat="1" ht="19.5" customHeight="1">
      <c r="A32" s="3430"/>
      <c r="B32" s="3430"/>
      <c r="C32" s="1127" t="s">
        <v>1472</v>
      </c>
      <c r="D32" s="1128"/>
      <c r="E32" s="1150">
        <v>0.8</v>
      </c>
      <c r="F32" s="1129" t="s">
        <v>1473</v>
      </c>
      <c r="G32" s="1130"/>
      <c r="H32" s="1101"/>
      <c r="I32" s="1101"/>
    </row>
    <row r="33" spans="1:9" s="1585" customFormat="1" ht="19.5" customHeight="1">
      <c r="A33" s="3430" t="s">
        <v>1474</v>
      </c>
      <c r="B33" s="1150" t="s">
        <v>1446</v>
      </c>
      <c r="C33" s="1127" t="s">
        <v>1475</v>
      </c>
      <c r="D33" s="1128"/>
      <c r="E33" s="1150">
        <v>1</v>
      </c>
      <c r="F33" s="1129" t="s">
        <v>1476</v>
      </c>
      <c r="G33" s="1130"/>
      <c r="H33" s="1101"/>
      <c r="I33" s="1101"/>
    </row>
    <row r="34" spans="1:9" s="1585" customFormat="1" ht="19.5" customHeight="1">
      <c r="A34" s="3430"/>
      <c r="B34" s="1150" t="s">
        <v>1449</v>
      </c>
      <c r="C34" s="1127" t="s">
        <v>1477</v>
      </c>
      <c r="D34" s="1128"/>
      <c r="E34" s="1150">
        <v>1.5</v>
      </c>
      <c r="F34" s="1129" t="s">
        <v>1478</v>
      </c>
      <c r="G34" s="1130"/>
      <c r="H34" s="1101"/>
      <c r="I34" s="1101"/>
    </row>
    <row r="35" spans="1:9" s="1585" customFormat="1" ht="19.5" customHeight="1">
      <c r="A35" s="3430" t="s">
        <v>1432</v>
      </c>
      <c r="B35" s="1150" t="s">
        <v>1446</v>
      </c>
      <c r="C35" s="1127" t="s">
        <v>1479</v>
      </c>
      <c r="D35" s="1128"/>
      <c r="E35" s="1150">
        <v>1</v>
      </c>
      <c r="F35" s="1129" t="s">
        <v>1480</v>
      </c>
      <c r="G35" s="1130"/>
      <c r="H35" s="1101"/>
      <c r="I35" s="1101"/>
    </row>
    <row r="36" spans="1:9" s="1585" customFormat="1" ht="19.5" customHeight="1">
      <c r="A36" s="3430"/>
      <c r="B36" s="3430" t="s">
        <v>1449</v>
      </c>
      <c r="C36" s="1127" t="s">
        <v>1481</v>
      </c>
      <c r="D36" s="1128"/>
      <c r="E36" s="1150">
        <v>1</v>
      </c>
      <c r="F36" s="1129" t="s">
        <v>1482</v>
      </c>
      <c r="G36" s="1130"/>
      <c r="H36" s="1101"/>
      <c r="I36" s="1101"/>
    </row>
    <row r="37" spans="1:9" s="1585" customFormat="1" ht="19.5" customHeight="1">
      <c r="A37" s="3430"/>
      <c r="B37" s="3430"/>
      <c r="C37" s="1127" t="s">
        <v>1483</v>
      </c>
      <c r="D37" s="1128"/>
      <c r="E37" s="1150">
        <v>1.5</v>
      </c>
      <c r="F37" s="1129" t="s">
        <v>1484</v>
      </c>
      <c r="G37" s="1130"/>
      <c r="H37" s="1101"/>
      <c r="I37" s="1101"/>
    </row>
    <row r="38" spans="1:9" s="1585" customFormat="1" ht="19.5" customHeight="1">
      <c r="A38" s="3430"/>
      <c r="B38" s="3430"/>
      <c r="C38" s="1127" t="s">
        <v>1485</v>
      </c>
      <c r="D38" s="1128"/>
      <c r="E38" s="1150">
        <v>1</v>
      </c>
      <c r="F38" s="1129" t="s">
        <v>1486</v>
      </c>
      <c r="G38" s="1130"/>
      <c r="H38" s="1101"/>
      <c r="I38" s="1101"/>
    </row>
    <row r="39" spans="1:9" s="1585" customFormat="1" ht="19.5" customHeight="1">
      <c r="A39" s="3430"/>
      <c r="B39" s="3430"/>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30" t="s">
        <v>1501</v>
      </c>
      <c r="C61" s="1064" t="s">
        <v>1502</v>
      </c>
      <c r="D61" s="1064" t="s">
        <v>1503</v>
      </c>
      <c r="E61" s="1135">
        <v>0.5</v>
      </c>
      <c r="F61" s="1150">
        <v>80</v>
      </c>
      <c r="H61" s="1101">
        <f>SUMIF(C59:C119,基准地价!C8,E59:E119)</f>
        <v>0</v>
      </c>
    </row>
    <row r="62" spans="1:8" s="1101" customFormat="1" ht="24">
      <c r="A62" s="1150">
        <v>2</v>
      </c>
      <c r="B62" s="3430"/>
      <c r="C62" s="1064" t="s">
        <v>1504</v>
      </c>
      <c r="D62" s="1064" t="s">
        <v>1505</v>
      </c>
      <c r="E62" s="1135">
        <v>0.5</v>
      </c>
      <c r="F62" s="1150">
        <v>80</v>
      </c>
    </row>
    <row r="63" spans="1:8" s="1101" customFormat="1" ht="36">
      <c r="A63" s="1150">
        <v>3</v>
      </c>
      <c r="B63" s="3430"/>
      <c r="C63" s="1064" t="s">
        <v>1506</v>
      </c>
      <c r="D63" s="1064" t="s">
        <v>1507</v>
      </c>
      <c r="E63" s="1135">
        <v>0.5</v>
      </c>
      <c r="F63" s="1150">
        <v>80</v>
      </c>
    </row>
    <row r="64" spans="1:8" s="1101" customFormat="1" ht="36">
      <c r="A64" s="1150">
        <v>4</v>
      </c>
      <c r="B64" s="3430"/>
      <c r="C64" s="1064" t="s">
        <v>1508</v>
      </c>
      <c r="D64" s="1064" t="s">
        <v>1509</v>
      </c>
      <c r="E64" s="1135">
        <v>0.4</v>
      </c>
      <c r="F64" s="1150">
        <v>60</v>
      </c>
    </row>
    <row r="65" spans="1:6" s="1101" customFormat="1" ht="36">
      <c r="A65" s="1150">
        <v>5</v>
      </c>
      <c r="B65" s="3430"/>
      <c r="C65" s="1064" t="s">
        <v>1510</v>
      </c>
      <c r="D65" s="1064" t="s">
        <v>1511</v>
      </c>
      <c r="E65" s="1135">
        <v>0.2</v>
      </c>
      <c r="F65" s="1150">
        <v>30</v>
      </c>
    </row>
    <row r="66" spans="1:6" s="1101" customFormat="1" ht="36">
      <c r="A66" s="1150">
        <v>6</v>
      </c>
      <c r="B66" s="3430"/>
      <c r="C66" s="1064" t="s">
        <v>1512</v>
      </c>
      <c r="D66" s="1064" t="s">
        <v>1513</v>
      </c>
      <c r="E66" s="1135">
        <v>0.3</v>
      </c>
      <c r="F66" s="1150">
        <v>50</v>
      </c>
    </row>
    <row r="67" spans="1:6" s="1101" customFormat="1" ht="36">
      <c r="A67" s="1150">
        <v>7</v>
      </c>
      <c r="B67" s="3430"/>
      <c r="C67" s="1064" t="s">
        <v>1514</v>
      </c>
      <c r="D67" s="1064" t="s">
        <v>1515</v>
      </c>
      <c r="E67" s="1135">
        <v>0.2</v>
      </c>
      <c r="F67" s="1150">
        <v>30</v>
      </c>
    </row>
    <row r="68" spans="1:6" s="1101" customFormat="1" ht="36">
      <c r="A68" s="1150">
        <v>8</v>
      </c>
      <c r="B68" s="3430"/>
      <c r="C68" s="1064" t="s">
        <v>1516</v>
      </c>
      <c r="D68" s="1064" t="s">
        <v>1517</v>
      </c>
      <c r="E68" s="1135">
        <v>0.2</v>
      </c>
      <c r="F68" s="1150">
        <v>30</v>
      </c>
    </row>
    <row r="69" spans="1:6" s="1101" customFormat="1" ht="36">
      <c r="A69" s="1150">
        <v>9</v>
      </c>
      <c r="B69" s="3430"/>
      <c r="C69" s="1064" t="s">
        <v>1518</v>
      </c>
      <c r="D69" s="1064" t="s">
        <v>1519</v>
      </c>
      <c r="E69" s="1135">
        <v>0.2</v>
      </c>
      <c r="F69" s="1150">
        <v>30</v>
      </c>
    </row>
    <row r="70" spans="1:6" s="1101" customFormat="1" ht="48">
      <c r="A70" s="1150">
        <v>10</v>
      </c>
      <c r="B70" s="3430"/>
      <c r="C70" s="1064" t="s">
        <v>1520</v>
      </c>
      <c r="D70" s="1064" t="s">
        <v>1521</v>
      </c>
      <c r="E70" s="1135">
        <v>0.2</v>
      </c>
      <c r="F70" s="1150">
        <v>30</v>
      </c>
    </row>
    <row r="71" spans="1:6" s="1101" customFormat="1" ht="48">
      <c r="A71" s="1150">
        <v>11</v>
      </c>
      <c r="B71" s="3430"/>
      <c r="C71" s="1064" t="s">
        <v>1522</v>
      </c>
      <c r="D71" s="1064" t="s">
        <v>1523</v>
      </c>
      <c r="E71" s="1135">
        <v>0.2</v>
      </c>
      <c r="F71" s="1150">
        <v>30</v>
      </c>
    </row>
    <row r="72" spans="1:6" s="1101" customFormat="1" ht="36">
      <c r="A72" s="1150">
        <v>12</v>
      </c>
      <c r="B72" s="3430"/>
      <c r="C72" s="1064" t="s">
        <v>1524</v>
      </c>
      <c r="D72" s="1064" t="s">
        <v>1525</v>
      </c>
      <c r="E72" s="1135">
        <v>0.5</v>
      </c>
      <c r="F72" s="1150">
        <v>80</v>
      </c>
    </row>
    <row r="73" spans="1:6" s="1101" customFormat="1" ht="24">
      <c r="A73" s="1150">
        <v>13</v>
      </c>
      <c r="B73" s="3430"/>
      <c r="C73" s="1064" t="s">
        <v>1526</v>
      </c>
      <c r="D73" s="1064" t="s">
        <v>1527</v>
      </c>
      <c r="E73" s="1135">
        <v>0.4</v>
      </c>
      <c r="F73" s="1150">
        <v>60</v>
      </c>
    </row>
    <row r="74" spans="1:6" s="1101" customFormat="1" ht="24">
      <c r="A74" s="1150">
        <v>14</v>
      </c>
      <c r="B74" s="3430"/>
      <c r="C74" s="1064" t="s">
        <v>1528</v>
      </c>
      <c r="D74" s="1064" t="s">
        <v>1529</v>
      </c>
      <c r="E74" s="1135">
        <v>0.2</v>
      </c>
      <c r="F74" s="1150">
        <v>30</v>
      </c>
    </row>
    <row r="75" spans="1:6" s="1101" customFormat="1" ht="24">
      <c r="A75" s="1150">
        <v>15</v>
      </c>
      <c r="B75" s="3430"/>
      <c r="C75" s="1064" t="s">
        <v>1530</v>
      </c>
      <c r="D75" s="1064" t="s">
        <v>1531</v>
      </c>
      <c r="E75" s="1135">
        <v>0.2</v>
      </c>
      <c r="F75" s="1150">
        <v>30</v>
      </c>
    </row>
    <row r="76" spans="1:6" s="1101" customFormat="1" ht="24">
      <c r="A76" s="1150">
        <v>16</v>
      </c>
      <c r="B76" s="3430" t="s">
        <v>1532</v>
      </c>
      <c r="C76" s="1064" t="s">
        <v>1533</v>
      </c>
      <c r="D76" s="1064" t="s">
        <v>1534</v>
      </c>
      <c r="E76" s="1135">
        <v>0.5</v>
      </c>
      <c r="F76" s="1150">
        <v>80</v>
      </c>
    </row>
    <row r="77" spans="1:6" s="1101" customFormat="1" ht="24">
      <c r="A77" s="1150">
        <v>17</v>
      </c>
      <c r="B77" s="3430"/>
      <c r="C77" s="1064" t="s">
        <v>1535</v>
      </c>
      <c r="D77" s="1064" t="s">
        <v>1536</v>
      </c>
      <c r="E77" s="1135">
        <v>0.5</v>
      </c>
      <c r="F77" s="1150">
        <v>80</v>
      </c>
    </row>
    <row r="78" spans="1:6" s="1101" customFormat="1" ht="24">
      <c r="A78" s="1150">
        <v>18</v>
      </c>
      <c r="B78" s="3430"/>
      <c r="C78" s="1064" t="s">
        <v>1537</v>
      </c>
      <c r="D78" s="1064" t="s">
        <v>1538</v>
      </c>
      <c r="E78" s="1135">
        <v>0.2</v>
      </c>
      <c r="F78" s="1150">
        <v>30</v>
      </c>
    </row>
    <row r="79" spans="1:6" s="1101" customFormat="1" ht="24">
      <c r="A79" s="1150">
        <v>19</v>
      </c>
      <c r="B79" s="3430"/>
      <c r="C79" s="1064" t="s">
        <v>1539</v>
      </c>
      <c r="D79" s="1064" t="s">
        <v>1540</v>
      </c>
      <c r="E79" s="1135">
        <v>0.5</v>
      </c>
      <c r="F79" s="1150">
        <v>80</v>
      </c>
    </row>
    <row r="80" spans="1:6" s="1101" customFormat="1" ht="36">
      <c r="A80" s="1150">
        <v>20</v>
      </c>
      <c r="B80" s="3430"/>
      <c r="C80" s="1064" t="s">
        <v>1541</v>
      </c>
      <c r="D80" s="1064" t="s">
        <v>1542</v>
      </c>
      <c r="E80" s="1135">
        <v>0.2</v>
      </c>
      <c r="F80" s="1150">
        <v>30</v>
      </c>
    </row>
    <row r="81" spans="1:6" s="1101" customFormat="1" ht="36">
      <c r="A81" s="1150">
        <v>21</v>
      </c>
      <c r="B81" s="3430"/>
      <c r="C81" s="1064" t="s">
        <v>1543</v>
      </c>
      <c r="D81" s="1064" t="s">
        <v>1544</v>
      </c>
      <c r="E81" s="1135">
        <v>0.2</v>
      </c>
      <c r="F81" s="1150">
        <v>30</v>
      </c>
    </row>
    <row r="82" spans="1:6" s="1101" customFormat="1" ht="48">
      <c r="A82" s="1150">
        <v>22</v>
      </c>
      <c r="B82" s="3430"/>
      <c r="C82" s="1064" t="s">
        <v>1545</v>
      </c>
      <c r="D82" s="1064" t="s">
        <v>1546</v>
      </c>
      <c r="E82" s="1135">
        <v>0.2</v>
      </c>
      <c r="F82" s="1150">
        <v>30</v>
      </c>
    </row>
    <row r="83" spans="1:6" s="1101" customFormat="1" ht="48">
      <c r="A83" s="1150">
        <v>23</v>
      </c>
      <c r="B83" s="3430"/>
      <c r="C83" s="1064" t="s">
        <v>1547</v>
      </c>
      <c r="D83" s="1064" t="s">
        <v>1548</v>
      </c>
      <c r="E83" s="1135">
        <v>0.2</v>
      </c>
      <c r="F83" s="1150">
        <v>30</v>
      </c>
    </row>
    <row r="84" spans="1:6" s="1101" customFormat="1" ht="36">
      <c r="A84" s="1150">
        <v>24</v>
      </c>
      <c r="B84" s="3430"/>
      <c r="C84" s="1064" t="s">
        <v>1549</v>
      </c>
      <c r="D84" s="1064" t="s">
        <v>1550</v>
      </c>
      <c r="E84" s="1135">
        <v>0.2</v>
      </c>
      <c r="F84" s="1150">
        <v>30</v>
      </c>
    </row>
    <row r="85" spans="1:6" s="1101" customFormat="1" ht="36">
      <c r="A85" s="1150">
        <v>25</v>
      </c>
      <c r="B85" s="3430"/>
      <c r="C85" s="1064" t="s">
        <v>1551</v>
      </c>
      <c r="D85" s="1064" t="s">
        <v>1552</v>
      </c>
      <c r="E85" s="1135">
        <v>0.5</v>
      </c>
      <c r="F85" s="1150">
        <v>80</v>
      </c>
    </row>
    <row r="86" spans="1:6" s="1101" customFormat="1" ht="36">
      <c r="A86" s="1150">
        <v>26</v>
      </c>
      <c r="B86" s="3430"/>
      <c r="C86" s="1064" t="s">
        <v>1553</v>
      </c>
      <c r="D86" s="1064" t="s">
        <v>1554</v>
      </c>
      <c r="E86" s="1135">
        <v>0.2</v>
      </c>
      <c r="F86" s="1150">
        <v>30</v>
      </c>
    </row>
    <row r="87" spans="1:6" s="1101" customFormat="1" ht="36">
      <c r="A87" s="1150">
        <v>27</v>
      </c>
      <c r="B87" s="3430"/>
      <c r="C87" s="1064" t="s">
        <v>1555</v>
      </c>
      <c r="D87" s="1064" t="s">
        <v>1556</v>
      </c>
      <c r="E87" s="1135">
        <v>0.2</v>
      </c>
      <c r="F87" s="1150">
        <v>30</v>
      </c>
    </row>
    <row r="88" spans="1:6" s="1101" customFormat="1" ht="36">
      <c r="A88" s="1150">
        <v>28</v>
      </c>
      <c r="B88" s="3430"/>
      <c r="C88" s="1064" t="s">
        <v>1557</v>
      </c>
      <c r="D88" s="1064" t="s">
        <v>1558</v>
      </c>
      <c r="E88" s="1135">
        <v>0.2</v>
      </c>
      <c r="F88" s="1150">
        <v>30</v>
      </c>
    </row>
    <row r="89" spans="1:6" s="1101" customFormat="1" ht="24">
      <c r="A89" s="1150">
        <v>29</v>
      </c>
      <c r="B89" s="3430"/>
      <c r="C89" s="1064" t="s">
        <v>1559</v>
      </c>
      <c r="D89" s="1064" t="s">
        <v>1560</v>
      </c>
      <c r="E89" s="1135">
        <v>0.2</v>
      </c>
      <c r="F89" s="1150">
        <v>30</v>
      </c>
    </row>
    <row r="90" spans="1:6" s="1101" customFormat="1" ht="24">
      <c r="A90" s="1150">
        <v>30</v>
      </c>
      <c r="B90" s="3430"/>
      <c r="C90" s="1064" t="s">
        <v>1561</v>
      </c>
      <c r="D90" s="1064" t="s">
        <v>1562</v>
      </c>
      <c r="E90" s="1135">
        <v>0.2</v>
      </c>
      <c r="F90" s="1150">
        <v>30</v>
      </c>
    </row>
    <row r="91" spans="1:6" s="1101" customFormat="1" ht="36">
      <c r="A91" s="1150">
        <v>31</v>
      </c>
      <c r="B91" s="3430"/>
      <c r="C91" s="1064" t="s">
        <v>1563</v>
      </c>
      <c r="D91" s="1064" t="s">
        <v>1564</v>
      </c>
      <c r="E91" s="1135">
        <v>0.2</v>
      </c>
      <c r="F91" s="1150">
        <v>30</v>
      </c>
    </row>
    <row r="92" spans="1:6" s="1101" customFormat="1" ht="24">
      <c r="A92" s="1150">
        <v>32</v>
      </c>
      <c r="B92" s="3430" t="s">
        <v>1565</v>
      </c>
      <c r="C92" s="1150" t="s">
        <v>1566</v>
      </c>
      <c r="D92" s="1064" t="s">
        <v>1567</v>
      </c>
      <c r="E92" s="1135">
        <v>0.2</v>
      </c>
      <c r="F92" s="1150">
        <v>30</v>
      </c>
    </row>
    <row r="93" spans="1:6" s="1101" customFormat="1" ht="36">
      <c r="A93" s="1150">
        <v>33</v>
      </c>
      <c r="B93" s="3430"/>
      <c r="C93" s="1150" t="s">
        <v>1568</v>
      </c>
      <c r="D93" s="1064" t="s">
        <v>1569</v>
      </c>
      <c r="E93" s="1135">
        <v>0.2</v>
      </c>
      <c r="F93" s="1150">
        <v>30</v>
      </c>
    </row>
    <row r="94" spans="1:6" s="1101" customFormat="1" ht="48">
      <c r="A94" s="1150">
        <v>34</v>
      </c>
      <c r="B94" s="3430"/>
      <c r="C94" s="1150" t="s">
        <v>1570</v>
      </c>
      <c r="D94" s="1064" t="s">
        <v>1571</v>
      </c>
      <c r="E94" s="1135">
        <v>0.2</v>
      </c>
      <c r="F94" s="1150">
        <v>30</v>
      </c>
    </row>
    <row r="95" spans="1:6" s="1101" customFormat="1" ht="36">
      <c r="A95" s="1150">
        <v>35</v>
      </c>
      <c r="B95" s="3430"/>
      <c r="C95" s="1150" t="s">
        <v>1572</v>
      </c>
      <c r="D95" s="1064" t="s">
        <v>1573</v>
      </c>
      <c r="E95" s="1135">
        <v>0.2</v>
      </c>
      <c r="F95" s="1150">
        <v>30</v>
      </c>
    </row>
    <row r="96" spans="1:6" s="1101" customFormat="1" ht="48">
      <c r="A96" s="1150">
        <v>36</v>
      </c>
      <c r="B96" s="3430"/>
      <c r="C96" s="1064" t="s">
        <v>1574</v>
      </c>
      <c r="D96" s="1064" t="s">
        <v>1575</v>
      </c>
      <c r="E96" s="1135">
        <v>0.2</v>
      </c>
      <c r="F96" s="1150">
        <v>30</v>
      </c>
    </row>
    <row r="97" spans="1:6" s="1101" customFormat="1" ht="36">
      <c r="A97" s="1150">
        <v>37</v>
      </c>
      <c r="B97" s="3430"/>
      <c r="C97" s="1150" t="s">
        <v>1576</v>
      </c>
      <c r="D97" s="1064" t="s">
        <v>1577</v>
      </c>
      <c r="E97" s="1135">
        <v>0.2</v>
      </c>
      <c r="F97" s="1150">
        <v>30</v>
      </c>
    </row>
    <row r="98" spans="1:6" s="1101" customFormat="1" ht="36">
      <c r="A98" s="1150">
        <v>38</v>
      </c>
      <c r="B98" s="3430"/>
      <c r="C98" s="1150" t="s">
        <v>1578</v>
      </c>
      <c r="D98" s="1064" t="s">
        <v>1579</v>
      </c>
      <c r="E98" s="1135">
        <v>0.2</v>
      </c>
      <c r="F98" s="1150">
        <v>30</v>
      </c>
    </row>
    <row r="99" spans="1:6" s="1101" customFormat="1" ht="36">
      <c r="A99" s="1150">
        <v>39</v>
      </c>
      <c r="B99" s="3430" t="s">
        <v>1580</v>
      </c>
      <c r="C99" s="1150" t="s">
        <v>1581</v>
      </c>
      <c r="D99" s="1064" t="s">
        <v>1582</v>
      </c>
      <c r="E99" s="1135">
        <v>0.3</v>
      </c>
      <c r="F99" s="1150">
        <v>50</v>
      </c>
    </row>
    <row r="100" spans="1:6" s="1101" customFormat="1" ht="24">
      <c r="A100" s="1150">
        <v>40</v>
      </c>
      <c r="B100" s="3430"/>
      <c r="C100" s="1150" t="s">
        <v>1583</v>
      </c>
      <c r="D100" s="1064" t="s">
        <v>1584</v>
      </c>
      <c r="E100" s="1135">
        <v>0.2</v>
      </c>
      <c r="F100" s="1150">
        <v>30</v>
      </c>
    </row>
    <row r="101" spans="1:6" s="1101" customFormat="1" ht="36">
      <c r="A101" s="1150">
        <v>41</v>
      </c>
      <c r="B101" s="3430"/>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30" t="s">
        <v>1595</v>
      </c>
      <c r="C105" s="1150" t="s">
        <v>1596</v>
      </c>
      <c r="D105" s="1064" t="s">
        <v>1597</v>
      </c>
      <c r="E105" s="1135">
        <v>0.2</v>
      </c>
      <c r="F105" s="1150">
        <v>30</v>
      </c>
    </row>
    <row r="106" spans="1:6" s="1101" customFormat="1" ht="36">
      <c r="A106" s="1150">
        <v>46</v>
      </c>
      <c r="B106" s="3430"/>
      <c r="C106" s="1150" t="s">
        <v>1598</v>
      </c>
      <c r="D106" s="1064" t="s">
        <v>1599</v>
      </c>
      <c r="E106" s="1135">
        <v>0.2</v>
      </c>
      <c r="F106" s="1150">
        <v>30</v>
      </c>
    </row>
    <row r="107" spans="1:6" s="1101" customFormat="1" ht="36">
      <c r="A107" s="1150">
        <v>47</v>
      </c>
      <c r="B107" s="3430" t="s">
        <v>1600</v>
      </c>
      <c r="C107" s="1150" t="s">
        <v>1601</v>
      </c>
      <c r="D107" s="1064" t="s">
        <v>1602</v>
      </c>
      <c r="E107" s="1135">
        <v>0.3</v>
      </c>
      <c r="F107" s="1150">
        <v>50</v>
      </c>
    </row>
    <row r="108" spans="1:6" s="1101" customFormat="1" ht="36">
      <c r="A108" s="1150">
        <v>48</v>
      </c>
      <c r="B108" s="3430"/>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30" t="s">
        <v>1611</v>
      </c>
      <c r="C111" s="1150" t="s">
        <v>1612</v>
      </c>
      <c r="D111" s="1064" t="s">
        <v>1613</v>
      </c>
      <c r="E111" s="1135">
        <v>0.2</v>
      </c>
      <c r="F111" s="1150">
        <v>30</v>
      </c>
    </row>
    <row r="112" spans="1:6" s="1101" customFormat="1" ht="24">
      <c r="A112" s="1150">
        <v>52</v>
      </c>
      <c r="B112" s="3430"/>
      <c r="C112" s="1150" t="s">
        <v>1614</v>
      </c>
      <c r="D112" s="1064" t="s">
        <v>1615</v>
      </c>
      <c r="E112" s="1135">
        <v>0.2</v>
      </c>
      <c r="F112" s="1150">
        <v>30</v>
      </c>
    </row>
    <row r="113" spans="1:14" s="1101" customFormat="1" ht="24">
      <c r="A113" s="1150">
        <v>53</v>
      </c>
      <c r="B113" s="3430"/>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30" t="s">
        <v>1624</v>
      </c>
      <c r="C116" s="1150" t="s">
        <v>1625</v>
      </c>
      <c r="D116" s="1064" t="s">
        <v>1626</v>
      </c>
      <c r="E116" s="1135">
        <v>0.2</v>
      </c>
      <c r="F116" s="1150">
        <v>30</v>
      </c>
    </row>
    <row r="117" spans="1:14" ht="36">
      <c r="A117" s="1150">
        <v>57</v>
      </c>
      <c r="B117" s="3430"/>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29" t="s">
        <v>1633</v>
      </c>
      <c r="B121" s="3429"/>
      <c r="C121" s="3429"/>
      <c r="D121" s="3429"/>
      <c r="E121" s="3429"/>
      <c r="F121" s="3429"/>
      <c r="G121" s="3429"/>
      <c r="H121" s="3429"/>
      <c r="I121" s="3429"/>
      <c r="J121" s="3429"/>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4" t="s">
        <v>1039</v>
      </c>
      <c r="B1" s="3434"/>
      <c r="C1" s="3434"/>
      <c r="D1" s="3434"/>
      <c r="E1" s="3434"/>
      <c r="F1" s="3434"/>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35" t="s">
        <v>1052</v>
      </c>
      <c r="B2" s="3435"/>
      <c r="C2" s="3435"/>
      <c r="D2" s="3435"/>
      <c r="E2" s="3435"/>
      <c r="F2" s="3435"/>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6"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7"/>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38" t="s">
        <v>2079</v>
      </c>
      <c r="B1" s="3438"/>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D38" sqref="D3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2949</v>
      </c>
      <c r="B1" s="3058"/>
      <c r="C1" s="3058"/>
      <c r="D1" s="3058"/>
      <c r="E1" s="3058"/>
      <c r="F1" s="3058"/>
    </row>
    <row r="2" spans="1:6" ht="14.25">
      <c r="A2" s="3059" t="s">
        <v>2944</v>
      </c>
      <c r="B2" s="3060" t="e">
        <f ca="1">SUMIF(B7:B14,"&lt;&gt;#ref!",B7:B14)</f>
        <v>#DIV/0!</v>
      </c>
      <c r="C2" s="3059" t="s">
        <v>2945</v>
      </c>
      <c r="D2" s="3058"/>
      <c r="E2" s="3058"/>
      <c r="F2" s="3058"/>
    </row>
    <row r="3" spans="1:6" ht="14.25">
      <c r="A3" s="3059" t="s">
        <v>2977</v>
      </c>
      <c r="B3" s="3060" t="e">
        <f ca="1">ROUND(B2*10000/E3,0)</f>
        <v>#DIV/0!</v>
      </c>
      <c r="C3" s="3059" t="s">
        <v>2078</v>
      </c>
      <c r="D3" s="3059" t="s">
        <v>2946</v>
      </c>
      <c r="E3" s="3060">
        <f ca="1">SUMIF(E7:E14,"&lt;&gt;#ref!",E7:E14)</f>
        <v>0</v>
      </c>
      <c r="F3" s="3058"/>
    </row>
    <row r="4" spans="1:6" ht="14.25">
      <c r="A4" s="3059" t="s">
        <v>2953</v>
      </c>
      <c r="B4" s="3060" t="e">
        <f ca="1">ROUND(B2*10000/E4,0)</f>
        <v>#DIV/0!</v>
      </c>
      <c r="C4" s="3059" t="s">
        <v>2078</v>
      </c>
      <c r="D4" s="3059" t="s">
        <v>2954</v>
      </c>
      <c r="E4" s="3060">
        <f ca="1">SUMIF(F7:F14,"&lt;&gt;#ref!",F7:F14)</f>
        <v>0</v>
      </c>
      <c r="F4" s="3058"/>
    </row>
    <row r="5" spans="1:6" ht="14.25">
      <c r="A5" s="3061"/>
      <c r="B5" s="1867"/>
      <c r="C5" s="1867"/>
      <c r="D5" s="1867"/>
      <c r="E5" s="1867"/>
      <c r="F5" s="3058"/>
    </row>
    <row r="6" spans="1:6" ht="28.5">
      <c r="A6" s="3062" t="s">
        <v>2950</v>
      </c>
      <c r="B6" s="3059" t="s">
        <v>2947</v>
      </c>
      <c r="C6" s="3060"/>
      <c r="D6" s="1867"/>
      <c r="E6" s="3059" t="s">
        <v>2948</v>
      </c>
      <c r="F6" s="3059" t="s">
        <v>2952</v>
      </c>
    </row>
    <row r="7" spans="1:6" ht="14.25">
      <c r="A7" s="260" t="s">
        <v>2951</v>
      </c>
      <c r="B7" s="3063" t="e">
        <f ca="1">SUMIF(INDIRECT("'"&amp;A7&amp;"'"&amp;"!A:A"),"总价",INDIRECT("'"&amp;A7&amp;"'"&amp;"!B:B"))</f>
        <v>#DIV/0!</v>
      </c>
      <c r="C7" s="3059" t="s">
        <v>2945</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2945</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2945</v>
      </c>
      <c r="D9" s="1867"/>
      <c r="E9" s="3064" t="e">
        <f t="shared" ca="1" si="1"/>
        <v>#REF!</v>
      </c>
      <c r="F9" s="3064" t="e">
        <f t="shared" ca="1" si="2"/>
        <v>#REF!</v>
      </c>
    </row>
    <row r="10" spans="1:6" ht="14.25">
      <c r="A10" s="260"/>
      <c r="B10" s="3063" t="e">
        <f t="shared" ca="1" si="0"/>
        <v>#REF!</v>
      </c>
      <c r="C10" s="3059" t="s">
        <v>2945</v>
      </c>
      <c r="D10" s="1867"/>
      <c r="E10" s="3064" t="e">
        <f t="shared" ca="1" si="1"/>
        <v>#REF!</v>
      </c>
      <c r="F10" s="3064" t="e">
        <f t="shared" ca="1" si="2"/>
        <v>#REF!</v>
      </c>
    </row>
    <row r="11" spans="1:6" ht="14.25">
      <c r="A11" s="260"/>
      <c r="B11" s="3063" t="e">
        <f t="shared" ca="1" si="0"/>
        <v>#REF!</v>
      </c>
      <c r="C11" s="3059" t="s">
        <v>2945</v>
      </c>
      <c r="D11" s="1867"/>
      <c r="E11" s="3064" t="e">
        <f t="shared" ca="1" si="1"/>
        <v>#REF!</v>
      </c>
      <c r="F11" s="3064" t="e">
        <f t="shared" ca="1" si="2"/>
        <v>#REF!</v>
      </c>
    </row>
    <row r="12" spans="1:6" ht="14.25">
      <c r="A12" s="260"/>
      <c r="B12" s="3063" t="e">
        <f t="shared" ca="1" si="0"/>
        <v>#REF!</v>
      </c>
      <c r="C12" s="3059" t="s">
        <v>2945</v>
      </c>
      <c r="D12" s="1867"/>
      <c r="E12" s="3064" t="e">
        <f t="shared" ca="1" si="1"/>
        <v>#REF!</v>
      </c>
      <c r="F12" s="3064" t="e">
        <f t="shared" ca="1" si="2"/>
        <v>#REF!</v>
      </c>
    </row>
    <row r="13" spans="1:6" ht="14.25">
      <c r="A13" s="260"/>
      <c r="B13" s="3063" t="e">
        <f t="shared" ca="1" si="0"/>
        <v>#REF!</v>
      </c>
      <c r="C13" s="3059" t="s">
        <v>2945</v>
      </c>
      <c r="D13" s="1867"/>
      <c r="E13" s="3064" t="e">
        <f t="shared" ca="1" si="1"/>
        <v>#REF!</v>
      </c>
      <c r="F13" s="3064" t="e">
        <f t="shared" ca="1" si="2"/>
        <v>#REF!</v>
      </c>
    </row>
    <row r="14" spans="1:6" ht="14.25">
      <c r="A14" s="3057"/>
      <c r="B14" s="3063" t="e">
        <f t="shared" ca="1" si="0"/>
        <v>#REF!</v>
      </c>
      <c r="C14" s="3059" t="s">
        <v>2945</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-2</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40" t="s">
        <v>2463</v>
      </c>
      <c r="C8" s="1811">
        <f ca="1">ROUND(F8*F10*F9*(1-F11)/10000,0)</f>
        <v>0</v>
      </c>
      <c r="D8" s="1808" t="s">
        <v>2534</v>
      </c>
      <c r="E8" s="61" t="s">
        <v>637</v>
      </c>
      <c r="F8" s="785">
        <f ca="1">INDIRECT("'数据-取费表'!u"&amp;$G$1)</f>
        <v>0</v>
      </c>
      <c r="G8" s="1579"/>
      <c r="H8" s="2469" t="s">
        <v>1824</v>
      </c>
      <c r="I8" s="3440" t="s">
        <v>2463</v>
      </c>
      <c r="J8" s="783">
        <f ca="1">ROUND(M8*M10*M9*(1-M11)/10000,0)</f>
        <v>0</v>
      </c>
      <c r="K8" s="341" t="s">
        <v>2534</v>
      </c>
      <c r="L8" s="784" t="s">
        <v>1738</v>
      </c>
      <c r="M8" s="785">
        <f ca="1">INDIRECT("'数据-取费表'!z"&amp;$G$1)</f>
        <v>0</v>
      </c>
    </row>
    <row r="9" spans="1:25" ht="18" customHeight="1">
      <c r="A9" s="2465"/>
      <c r="B9" s="3441"/>
      <c r="C9" s="1812"/>
      <c r="D9" s="1809"/>
      <c r="E9" s="61" t="s">
        <v>638</v>
      </c>
      <c r="F9" s="785">
        <f ca="1">IF(INDIRECT("'数据-取费表'!ah"&amp;$G$1)="",INDIRECT("'数据-取费表'!k"&amp;$G$1),INDIRECT("'数据-取费表'!ah"&amp;$G$1))</f>
        <v>0</v>
      </c>
      <c r="G9" s="1579"/>
      <c r="H9" s="2454"/>
      <c r="I9" s="3441"/>
      <c r="J9" s="788"/>
      <c r="K9" s="789"/>
      <c r="L9" s="784" t="s">
        <v>1739</v>
      </c>
      <c r="M9" s="785">
        <f ca="1">F9</f>
        <v>0</v>
      </c>
    </row>
    <row r="10" spans="1:25" ht="18" customHeight="1">
      <c r="A10" s="2458"/>
      <c r="B10" s="3442"/>
      <c r="C10" s="1812"/>
      <c r="D10" s="1809"/>
      <c r="E10" s="61" t="s">
        <v>639</v>
      </c>
      <c r="F10" s="785">
        <f ca="1">INDIRECT("'数据-取费表'!ai"&amp;$G$1)</f>
        <v>0</v>
      </c>
      <c r="G10" s="1579"/>
      <c r="H10" s="2454"/>
      <c r="I10" s="3442"/>
      <c r="J10" s="788"/>
      <c r="K10" s="789"/>
      <c r="L10" s="784" t="s">
        <v>1740</v>
      </c>
      <c r="M10" s="785">
        <f ca="1">INDIRECT("'数据-取费表'!ai"&amp;$G$1)</f>
        <v>0</v>
      </c>
    </row>
    <row r="11" spans="1:25" ht="18" customHeight="1">
      <c r="A11" s="786"/>
      <c r="B11" s="3443"/>
      <c r="C11" s="1812"/>
      <c r="D11" s="1809"/>
      <c r="E11" s="61" t="s">
        <v>640</v>
      </c>
      <c r="F11" s="794">
        <f ca="1">INDIRECT("'数据-取费表'!w"&amp;$G$1)</f>
        <v>0</v>
      </c>
      <c r="G11" s="1579"/>
      <c r="H11" s="2470"/>
      <c r="I11" s="3442"/>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2974</v>
      </c>
      <c r="E12" s="2463" t="s">
        <v>2464</v>
      </c>
      <c r="F12" s="2586"/>
      <c r="G12" s="1579"/>
      <c r="H12" s="2526" t="s">
        <v>1825</v>
      </c>
      <c r="I12" s="2531" t="s">
        <v>2459</v>
      </c>
      <c r="J12" s="783">
        <f ca="1">ROUND(IF(M12="押一",J8/12*M13,IF(M12="押二",J8/12*2*M13,IF(M12="押三",J8/12*3*M13,J13*M13))),0)</f>
        <v>0</v>
      </c>
      <c r="K12" s="2466" t="s">
        <v>2974</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2824</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0.04</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2821</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2822</v>
      </c>
      <c r="C31" s="2509">
        <f ca="1">ROUND((C21+C22+C25+C28)/(1-F23-C26-C29-C30),0)</f>
        <v>0</v>
      </c>
      <c r="D31" s="2510"/>
      <c r="E31" s="2511"/>
      <c r="F31" s="2512"/>
      <c r="G31" s="1580"/>
      <c r="H31" s="823" t="s">
        <v>1872</v>
      </c>
      <c r="I31" s="2965" t="s">
        <v>2823</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0</v>
      </c>
      <c r="G36" s="2048"/>
      <c r="H36" s="2051"/>
      <c r="I36" s="3439"/>
      <c r="J36" s="2065"/>
      <c r="K36" s="2066"/>
      <c r="L36" s="2065"/>
      <c r="M36" s="2065"/>
    </row>
    <row r="37" spans="1:18" ht="18" customHeight="1">
      <c r="A37" s="815"/>
      <c r="B37" s="793"/>
      <c r="C37" s="69"/>
      <c r="D37" s="816"/>
      <c r="E37" s="784" t="s">
        <v>674</v>
      </c>
      <c r="F37" s="785">
        <f ca="1">INDIRECT("'数据-取费表'!r"&amp;$G$1)</f>
        <v>0</v>
      </c>
      <c r="G37" s="2048"/>
      <c r="H37" s="2051"/>
      <c r="I37" s="3439"/>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2962</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2965</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9"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6" t="s">
        <v>2349</v>
      </c>
      <c r="L48" s="3110">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7"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8"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8"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1">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2978</v>
      </c>
      <c r="J54" s="3182">
        <f ca="1">IF(M48="住宅",MAX(J52,L49-'数据-取费表'!B20),MIN(J52,L49-'数据-取费表'!B20))</f>
        <v>-2</v>
      </c>
      <c r="K54" s="3444"/>
      <c r="L54" s="3445"/>
      <c r="O54" s="2366" t="s">
        <v>2388</v>
      </c>
      <c r="P54" s="2364" t="s">
        <v>2389</v>
      </c>
      <c r="Q54" s="2365">
        <f ca="1">J54</f>
        <v>-2</v>
      </c>
      <c r="R54" s="2364" t="s">
        <v>2390</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2391</v>
      </c>
      <c r="P55" s="2364" t="s">
        <v>2408</v>
      </c>
      <c r="Q55" s="2365">
        <f ca="1">Q49+Q50</f>
        <v>0</v>
      </c>
      <c r="R55" s="2368" t="s">
        <v>2392</v>
      </c>
    </row>
    <row r="56" spans="1:18" s="2045" customFormat="1" ht="16.5" thickBot="1">
      <c r="A56" s="2082"/>
      <c r="B56" s="2083"/>
      <c r="C56" s="2083"/>
      <c r="I56" s="3114" t="s">
        <v>2355</v>
      </c>
      <c r="J56" s="3054" t="e">
        <f ca="1">ROUND(IF(J48="钢混",J58/J51,1-(1-2%)*(J51-J58)/J51),3)</f>
        <v>#VALUE!</v>
      </c>
      <c r="K56" s="3115" t="s">
        <v>2356</v>
      </c>
      <c r="L56" s="2351"/>
      <c r="O56" s="2369" t="s">
        <v>2411</v>
      </c>
      <c r="P56" s="1579"/>
      <c r="Q56" s="1590"/>
      <c r="R56" s="1579"/>
    </row>
    <row r="57" spans="1:18" s="2045" customFormat="1" ht="43.5" thickBot="1">
      <c r="A57" s="2082"/>
      <c r="B57" s="2083"/>
      <c r="C57" s="2083"/>
      <c r="I57" s="3116" t="s">
        <v>2357</v>
      </c>
      <c r="J57" s="3126" t="s">
        <v>1678</v>
      </c>
      <c r="K57" s="3079" t="s">
        <v>2362</v>
      </c>
      <c r="L57" s="1894">
        <f ca="1">IF(L49&lt;J52,"——",L49-J52)</f>
        <v>0</v>
      </c>
      <c r="O57" s="2360" t="s">
        <v>2375</v>
      </c>
      <c r="P57" s="2361" t="s">
        <v>2376</v>
      </c>
      <c r="Q57" s="2362" t="s">
        <v>2377</v>
      </c>
      <c r="R57" s="2361" t="s">
        <v>2378</v>
      </c>
    </row>
    <row r="58" spans="1:18" s="2045" customFormat="1" ht="29.25" thickBot="1">
      <c r="A58" s="2082"/>
      <c r="B58" s="2083"/>
      <c r="C58" s="2083"/>
      <c r="I58" s="3117" t="s">
        <v>2358</v>
      </c>
      <c r="J58" s="3118"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7"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7" t="s">
        <v>2360</v>
      </c>
      <c r="J60" s="3118"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9" t="s">
        <v>2361</v>
      </c>
      <c r="J61" s="3120" t="str">
        <f ca="1">IF(OR(M48="住宅",J52&lt;L49,J57="是"),"0",ROUND(J60/(1+J53)^J54,0))</f>
        <v>0</v>
      </c>
      <c r="K61" s="3121" t="s">
        <v>2366</v>
      </c>
      <c r="L61" s="3120"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2" t="s">
        <v>2367</v>
      </c>
      <c r="J63" s="3123" t="s">
        <v>2368</v>
      </c>
      <c r="K63" s="3123" t="s">
        <v>2369</v>
      </c>
      <c r="L63" s="3123" t="s">
        <v>2350</v>
      </c>
      <c r="M63" s="3124" t="s">
        <v>2943</v>
      </c>
      <c r="O63" s="2366" t="s">
        <v>2388</v>
      </c>
      <c r="P63" s="2364" t="s">
        <v>2396</v>
      </c>
      <c r="Q63" s="2365">
        <f ca="1">L60</f>
        <v>0</v>
      </c>
      <c r="R63" s="2368" t="s">
        <v>2397</v>
      </c>
    </row>
    <row r="64" spans="1:18" s="2045" customFormat="1" ht="15.75" thickBot="1">
      <c r="A64" s="2082"/>
      <c r="B64" s="2083"/>
      <c r="C64" s="2083"/>
      <c r="I64" s="3122" t="s">
        <v>2370</v>
      </c>
      <c r="J64" s="3123">
        <v>70</v>
      </c>
      <c r="K64" s="3123">
        <v>50</v>
      </c>
      <c r="L64" s="3123">
        <v>80</v>
      </c>
      <c r="M64" s="3125">
        <v>0.02</v>
      </c>
      <c r="O64" s="2363" t="s">
        <v>2391</v>
      </c>
      <c r="P64" s="2364" t="s">
        <v>2408</v>
      </c>
      <c r="Q64" s="2365" t="e">
        <f ca="1">Q58+Q59</f>
        <v>#DIV/0!</v>
      </c>
      <c r="R64" s="2368" t="s">
        <v>2392</v>
      </c>
    </row>
    <row r="65" spans="1:18" s="2045" customFormat="1" ht="16.5" thickBot="1">
      <c r="A65" s="2082"/>
      <c r="B65" s="2083"/>
      <c r="C65" s="2083"/>
      <c r="I65" s="3122" t="s">
        <v>2371</v>
      </c>
      <c r="J65" s="3123">
        <v>50</v>
      </c>
      <c r="K65" s="3123">
        <v>35</v>
      </c>
      <c r="L65" s="3123">
        <v>60</v>
      </c>
      <c r="M65" s="846">
        <v>0</v>
      </c>
      <c r="O65" s="2369" t="s">
        <v>2415</v>
      </c>
      <c r="P65" s="1579"/>
      <c r="Q65" s="1590"/>
      <c r="R65" s="1579"/>
    </row>
    <row r="66" spans="1:18" s="2045" customFormat="1" ht="15.75" thickBot="1">
      <c r="A66" s="2082"/>
      <c r="B66" s="2083"/>
      <c r="C66" s="2083"/>
      <c r="I66" s="3122" t="s">
        <v>2372</v>
      </c>
      <c r="J66" s="3123">
        <v>40</v>
      </c>
      <c r="K66" s="3123">
        <v>30</v>
      </c>
      <c r="L66" s="3123">
        <v>50</v>
      </c>
      <c r="M66" s="3125">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15" sqref="M15"/>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923</v>
      </c>
      <c r="E1" s="2591"/>
      <c r="F1" s="2763" t="s">
        <v>3035</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108659</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7333</v>
      </c>
      <c r="C3" s="852" t="s">
        <v>722</v>
      </c>
      <c r="D3" s="851">
        <f>SUMIF('数据-汇总表'!$C19:$C33,D1,'数据-汇总表'!$E19:$E33)</f>
        <v>148177.82999999999</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69" t="s">
        <v>522</v>
      </c>
      <c r="D4" s="3370"/>
      <c r="E4" s="3404" t="s">
        <v>523</v>
      </c>
      <c r="F4" s="3405"/>
      <c r="G4" s="3369" t="s">
        <v>524</v>
      </c>
      <c r="H4" s="3370"/>
      <c r="I4" s="3369" t="s">
        <v>525</v>
      </c>
      <c r="J4" s="3370"/>
      <c r="K4" s="853" t="s">
        <v>526</v>
      </c>
      <c r="L4" s="2119"/>
      <c r="M4" s="2120"/>
      <c r="N4" s="2120"/>
      <c r="O4" s="2120"/>
      <c r="P4" s="3371" t="s">
        <v>527</v>
      </c>
      <c r="Q4" s="3372"/>
      <c r="R4" s="3377" t="s">
        <v>523</v>
      </c>
      <c r="S4" s="3378"/>
      <c r="T4" s="3377" t="s">
        <v>524</v>
      </c>
      <c r="U4" s="3378"/>
      <c r="V4" s="3364" t="s">
        <v>525</v>
      </c>
      <c r="W4" s="3364"/>
      <c r="X4" s="1554"/>
      <c r="Y4" s="3377" t="s">
        <v>527</v>
      </c>
      <c r="Z4" s="3378"/>
      <c r="AA4" s="3366" t="s">
        <v>523</v>
      </c>
      <c r="AB4" s="3366" t="s">
        <v>524</v>
      </c>
      <c r="AC4" s="3366" t="s">
        <v>525</v>
      </c>
    </row>
    <row r="5" spans="1:29" ht="15">
      <c r="A5" s="515"/>
      <c r="B5" s="516"/>
      <c r="C5" s="3385" t="s">
        <v>2930</v>
      </c>
      <c r="D5" s="3386"/>
      <c r="E5" s="3406" t="s">
        <v>2931</v>
      </c>
      <c r="F5" s="3407"/>
      <c r="G5" s="3385" t="s">
        <v>2932</v>
      </c>
      <c r="H5" s="3386"/>
      <c r="I5" s="3385" t="s">
        <v>2933</v>
      </c>
      <c r="J5" s="3386"/>
      <c r="K5" s="854"/>
      <c r="L5" s="2119"/>
      <c r="M5" s="2120"/>
      <c r="N5" s="2120"/>
      <c r="O5" s="2120"/>
      <c r="P5" s="3373"/>
      <c r="Q5" s="3374"/>
      <c r="R5" s="3379"/>
      <c r="S5" s="3380"/>
      <c r="T5" s="3379"/>
      <c r="U5" s="3380"/>
      <c r="V5" s="3364"/>
      <c r="W5" s="3364"/>
      <c r="X5" s="1554"/>
      <c r="Y5" s="3379"/>
      <c r="Z5" s="3380"/>
      <c r="AA5" s="3367"/>
      <c r="AB5" s="3367"/>
      <c r="AC5" s="3367"/>
    </row>
    <row r="6" spans="1:29" ht="15.75" thickBot="1">
      <c r="A6" s="517"/>
      <c r="B6" s="518"/>
      <c r="C6" s="3383" t="s">
        <v>2934</v>
      </c>
      <c r="D6" s="3384"/>
      <c r="E6" s="3402" t="s">
        <v>2934</v>
      </c>
      <c r="F6" s="3403"/>
      <c r="G6" s="3383" t="s">
        <v>2934</v>
      </c>
      <c r="H6" s="3384"/>
      <c r="I6" s="3383" t="s">
        <v>2934</v>
      </c>
      <c r="J6" s="3384"/>
      <c r="K6" s="854" t="s">
        <v>528</v>
      </c>
      <c r="L6" s="2119"/>
      <c r="M6" s="2120"/>
      <c r="N6" s="2120"/>
      <c r="O6" s="2120"/>
      <c r="P6" s="3375"/>
      <c r="Q6" s="3376"/>
      <c r="R6" s="3379"/>
      <c r="S6" s="3380"/>
      <c r="T6" s="3381"/>
      <c r="U6" s="3382"/>
      <c r="V6" s="3364"/>
      <c r="W6" s="3364"/>
      <c r="X6" s="1554"/>
      <c r="Y6" s="3381"/>
      <c r="Z6" s="3382"/>
      <c r="AA6" s="3368"/>
      <c r="AB6" s="3368"/>
      <c r="AC6" s="3368"/>
    </row>
    <row r="7" spans="1:29" s="1216" customFormat="1" ht="15.75" thickBot="1">
      <c r="A7" s="2868"/>
      <c r="B7" s="2875" t="s">
        <v>529</v>
      </c>
      <c r="C7" s="519">
        <f>'数据-取费表'!B2</f>
        <v>43698</v>
      </c>
      <c r="D7" s="520">
        <v>100</v>
      </c>
      <c r="E7" s="521">
        <f>C7</f>
        <v>43698</v>
      </c>
      <c r="F7" s="522">
        <f>SUMIF(58:58,YEAR(E7)&amp;"-"&amp;MONTH(E7),59:59)</f>
        <v>100</v>
      </c>
      <c r="G7" s="523">
        <f>E7</f>
        <v>43698</v>
      </c>
      <c r="H7" s="520">
        <f>SUMIF(58:58,YEAR(G7)&amp;"-"&amp;MONTH(G7),59:59)</f>
        <v>100</v>
      </c>
      <c r="I7" s="523">
        <f>G7</f>
        <v>43698</v>
      </c>
      <c r="J7" s="520">
        <f>SUMIF(58:58,YEAR(I7)&amp;"-"&amp;MONTH(I7),59:59)</f>
        <v>100</v>
      </c>
      <c r="K7" s="855"/>
      <c r="L7" s="2121"/>
      <c r="M7" s="2122"/>
      <c r="N7" s="2122"/>
      <c r="O7" s="2122"/>
      <c r="P7" s="3395" t="s">
        <v>530</v>
      </c>
      <c r="Q7" s="3397"/>
      <c r="R7" s="1555" t="s">
        <v>13</v>
      </c>
      <c r="S7" s="1556">
        <f t="shared" ref="S7:S15" si="0">F7</f>
        <v>100</v>
      </c>
      <c r="T7" s="1555" t="s">
        <v>13</v>
      </c>
      <c r="U7" s="1556">
        <f t="shared" ref="U7:U15" si="1">H7</f>
        <v>100</v>
      </c>
      <c r="V7" s="1555" t="s">
        <v>13</v>
      </c>
      <c r="W7" s="1556">
        <f t="shared" ref="W7:W15" si="2">J7</f>
        <v>100</v>
      </c>
      <c r="X7" s="1557"/>
      <c r="Y7" s="3395" t="s">
        <v>530</v>
      </c>
      <c r="Z7" s="3396"/>
      <c r="AA7" s="1558">
        <f>D7/F7</f>
        <v>1</v>
      </c>
      <c r="AB7" s="1558">
        <f>D7/H7</f>
        <v>1</v>
      </c>
      <c r="AC7" s="1558">
        <f>D7/J7</f>
        <v>1</v>
      </c>
    </row>
    <row r="8" spans="1:29" s="1216" customFormat="1" ht="15.75" thickBot="1">
      <c r="A8" s="2869"/>
      <c r="B8" s="2876" t="s">
        <v>531</v>
      </c>
      <c r="C8" s="525" t="s">
        <v>576</v>
      </c>
      <c r="D8" s="520">
        <v>100</v>
      </c>
      <c r="E8" s="856" t="s">
        <v>3024</v>
      </c>
      <c r="F8" s="522">
        <f>SUMIF(61:61,E8,62:62)-SUMIF(61:61,C8,62:62)+100</f>
        <v>100</v>
      </c>
      <c r="G8" s="525" t="s">
        <v>3024</v>
      </c>
      <c r="H8" s="520">
        <f>SUMIF(61:61,G8,62:62)-SUMIF(61:61,C8,62:62)+100</f>
        <v>100</v>
      </c>
      <c r="I8" s="856" t="s">
        <v>3024</v>
      </c>
      <c r="J8" s="520">
        <f>SUMIF(61:61,I8,62:62)-SUMIF(61:61,C8,62:62)+100</f>
        <v>100</v>
      </c>
      <c r="K8" s="855"/>
      <c r="L8" s="2121"/>
      <c r="M8" s="2122"/>
      <c r="N8" s="2122"/>
      <c r="O8" s="2122"/>
      <c r="P8" s="3395" t="s">
        <v>533</v>
      </c>
      <c r="Q8" s="3396"/>
      <c r="R8" s="1555" t="s">
        <v>13</v>
      </c>
      <c r="S8" s="1556">
        <f t="shared" si="0"/>
        <v>100</v>
      </c>
      <c r="T8" s="1555" t="s">
        <v>13</v>
      </c>
      <c r="U8" s="1556">
        <f t="shared" si="1"/>
        <v>100</v>
      </c>
      <c r="V8" s="1555" t="s">
        <v>13</v>
      </c>
      <c r="W8" s="1556">
        <f t="shared" si="2"/>
        <v>100</v>
      </c>
      <c r="X8" s="1557"/>
      <c r="Y8" s="3395" t="s">
        <v>533</v>
      </c>
      <c r="Z8" s="3396"/>
      <c r="AA8" s="1558">
        <f t="shared" ref="AA8:AA46" si="3">D8/F8</f>
        <v>1</v>
      </c>
      <c r="AB8" s="1558">
        <f t="shared" ref="AB8:AB46" si="4">D8/H8</f>
        <v>1</v>
      </c>
      <c r="AC8" s="1558">
        <f t="shared" ref="AC8:AC46" si="5">D8/J8</f>
        <v>1</v>
      </c>
    </row>
    <row r="9" spans="1:29" s="1216" customFormat="1" ht="15">
      <c r="A9" s="2870"/>
      <c r="B9" s="2877" t="s">
        <v>2755</v>
      </c>
      <c r="C9" s="3187" t="s">
        <v>3034</v>
      </c>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63" t="s">
        <v>535</v>
      </c>
      <c r="Q9" s="1147" t="str">
        <f t="shared" ref="Q9:Q15" si="6">B9</f>
        <v>用途</v>
      </c>
      <c r="R9" s="1555" t="s">
        <v>8</v>
      </c>
      <c r="S9" s="1556">
        <f t="shared" si="0"/>
        <v>100</v>
      </c>
      <c r="T9" s="1555" t="s">
        <v>8</v>
      </c>
      <c r="U9" s="1556">
        <f t="shared" si="1"/>
        <v>100</v>
      </c>
      <c r="V9" s="1555" t="s">
        <v>8</v>
      </c>
      <c r="W9" s="1556">
        <f t="shared" si="2"/>
        <v>100</v>
      </c>
      <c r="X9" s="1557"/>
      <c r="Y9" s="3309"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63"/>
      <c r="Q10" s="1147" t="str">
        <f t="shared" si="6"/>
        <v>土地使用年限（年）</v>
      </c>
      <c r="R10" s="1555" t="s">
        <v>8</v>
      </c>
      <c r="S10" s="1556">
        <f t="shared" si="0"/>
        <v>100</v>
      </c>
      <c r="T10" s="1555" t="s">
        <v>8</v>
      </c>
      <c r="U10" s="1556">
        <f t="shared" si="1"/>
        <v>100</v>
      </c>
      <c r="V10" s="1555" t="s">
        <v>8</v>
      </c>
      <c r="W10" s="1556">
        <f t="shared" si="2"/>
        <v>100</v>
      </c>
      <c r="X10" s="1557"/>
      <c r="Y10" s="3309"/>
      <c r="Z10" s="1146" t="str">
        <f t="shared" si="7"/>
        <v>土地使用年限（年）</v>
      </c>
      <c r="AA10" s="1558">
        <f t="shared" si="3"/>
        <v>1</v>
      </c>
      <c r="AB10" s="1558">
        <f t="shared" si="4"/>
        <v>1</v>
      </c>
      <c r="AC10" s="1558">
        <f t="shared" si="5"/>
        <v>1</v>
      </c>
    </row>
    <row r="11" spans="1:29" ht="15">
      <c r="A11" s="2872"/>
      <c r="B11" s="2876" t="s">
        <v>2757</v>
      </c>
      <c r="C11" s="533"/>
      <c r="D11" s="255">
        <v>100</v>
      </c>
      <c r="E11" s="534"/>
      <c r="F11" s="863">
        <f>LOOKUP(E11,68:68,69:69)-LOOKUP(C11,68:68,69:69)+100</f>
        <v>100</v>
      </c>
      <c r="G11" s="533"/>
      <c r="H11" s="255">
        <f>LOOKUP(G11,68:68,69:69)-LOOKUP(C11,68:68,69:69)+100</f>
        <v>100</v>
      </c>
      <c r="I11" s="533"/>
      <c r="J11" s="255">
        <f>LOOKUP(I11,68:68,69:69)-LOOKUP(C11,68:68,69:69)+100</f>
        <v>100</v>
      </c>
      <c r="K11" s="864"/>
      <c r="L11" s="2126"/>
      <c r="M11" s="2120"/>
      <c r="N11" s="2120"/>
      <c r="O11" s="2127"/>
      <c r="P11" s="3363"/>
      <c r="Q11" s="1147" t="str">
        <f t="shared" si="6"/>
        <v>容积率</v>
      </c>
      <c r="R11" s="1555" t="s">
        <v>11</v>
      </c>
      <c r="S11" s="1556">
        <f t="shared" si="0"/>
        <v>100</v>
      </c>
      <c r="T11" s="1555" t="s">
        <v>11</v>
      </c>
      <c r="U11" s="1556">
        <f t="shared" si="1"/>
        <v>100</v>
      </c>
      <c r="V11" s="1555" t="s">
        <v>11</v>
      </c>
      <c r="W11" s="1556">
        <f t="shared" si="2"/>
        <v>100</v>
      </c>
      <c r="X11" s="1557"/>
      <c r="Y11" s="3309"/>
      <c r="Z11" s="1146" t="str">
        <f t="shared" si="7"/>
        <v>容积率</v>
      </c>
      <c r="AA11" s="1558">
        <f t="shared" si="3"/>
        <v>1</v>
      </c>
      <c r="AB11" s="1558">
        <f t="shared" si="4"/>
        <v>1</v>
      </c>
      <c r="AC11" s="1558">
        <f t="shared" si="5"/>
        <v>1</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63"/>
      <c r="Q12" s="1147">
        <f t="shared" si="6"/>
        <v>111</v>
      </c>
      <c r="R12" s="1555" t="s">
        <v>11</v>
      </c>
      <c r="S12" s="1556">
        <f t="shared" si="0"/>
        <v>100</v>
      </c>
      <c r="T12" s="1555" t="s">
        <v>11</v>
      </c>
      <c r="U12" s="1556">
        <f t="shared" si="1"/>
        <v>100</v>
      </c>
      <c r="V12" s="1555" t="s">
        <v>11</v>
      </c>
      <c r="W12" s="1556">
        <f t="shared" si="2"/>
        <v>100</v>
      </c>
      <c r="X12" s="1557"/>
      <c r="Y12" s="3309"/>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63"/>
      <c r="Q13" s="1147">
        <f t="shared" si="6"/>
        <v>111</v>
      </c>
      <c r="R13" s="1555" t="s">
        <v>11</v>
      </c>
      <c r="S13" s="1556">
        <f t="shared" si="0"/>
        <v>100</v>
      </c>
      <c r="T13" s="1555" t="s">
        <v>11</v>
      </c>
      <c r="U13" s="1556">
        <f t="shared" si="1"/>
        <v>100</v>
      </c>
      <c r="V13" s="1555" t="s">
        <v>11</v>
      </c>
      <c r="W13" s="1556">
        <f t="shared" si="2"/>
        <v>100</v>
      </c>
      <c r="X13" s="1557"/>
      <c r="Y13" s="3309"/>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63"/>
      <c r="Q14" s="1147">
        <f t="shared" si="6"/>
        <v>111</v>
      </c>
      <c r="R14" s="1555" t="s">
        <v>11</v>
      </c>
      <c r="S14" s="1556">
        <f t="shared" si="0"/>
        <v>100</v>
      </c>
      <c r="T14" s="1555" t="s">
        <v>11</v>
      </c>
      <c r="U14" s="1556">
        <f t="shared" si="1"/>
        <v>100</v>
      </c>
      <c r="V14" s="1555" t="s">
        <v>11</v>
      </c>
      <c r="W14" s="1556">
        <f t="shared" si="2"/>
        <v>100</v>
      </c>
      <c r="X14" s="1557"/>
      <c r="Y14" s="3309"/>
      <c r="Z14" s="1146">
        <f t="shared" si="7"/>
        <v>111</v>
      </c>
      <c r="AA14" s="1558">
        <f t="shared" si="3"/>
        <v>1</v>
      </c>
      <c r="AB14" s="1558">
        <f t="shared" si="4"/>
        <v>1</v>
      </c>
      <c r="AC14" s="1558">
        <f t="shared" si="5"/>
        <v>1</v>
      </c>
    </row>
    <row r="15" spans="1:29" ht="99.75">
      <c r="A15" s="2866"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98" t="s">
        <v>540</v>
      </c>
      <c r="Q15" s="1559" t="str">
        <f t="shared" si="6"/>
        <v>居住社区成熟度</v>
      </c>
      <c r="R15" s="1560" t="s">
        <v>11</v>
      </c>
      <c r="S15" s="1561">
        <f t="shared" si="0"/>
        <v>100</v>
      </c>
      <c r="T15" s="1560" t="s">
        <v>11</v>
      </c>
      <c r="U15" s="1561">
        <f t="shared" si="1"/>
        <v>100</v>
      </c>
      <c r="V15" s="1560" t="s">
        <v>11</v>
      </c>
      <c r="W15" s="1561">
        <f t="shared" si="2"/>
        <v>100</v>
      </c>
      <c r="X15" s="1554"/>
      <c r="Y15" s="3398"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99"/>
      <c r="Q16" s="1559"/>
      <c r="R16" s="1560"/>
      <c r="S16" s="1561"/>
      <c r="T16" s="1560"/>
      <c r="U16" s="1561"/>
      <c r="V16" s="1560"/>
      <c r="W16" s="1561"/>
      <c r="X16" s="1554"/>
      <c r="Y16" s="3399"/>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99"/>
      <c r="Q17" s="1559" t="str">
        <f>B17</f>
        <v>交通便捷度</v>
      </c>
      <c r="R17" s="1560" t="s">
        <v>11</v>
      </c>
      <c r="S17" s="1561">
        <f>F17</f>
        <v>100</v>
      </c>
      <c r="T17" s="1560" t="s">
        <v>11</v>
      </c>
      <c r="U17" s="1561">
        <f>H17</f>
        <v>100</v>
      </c>
      <c r="V17" s="1560" t="s">
        <v>11</v>
      </c>
      <c r="W17" s="1561">
        <f>J17</f>
        <v>100</v>
      </c>
      <c r="X17" s="1554"/>
      <c r="Y17" s="339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99"/>
      <c r="Q18" s="1559"/>
      <c r="R18" s="1560"/>
      <c r="S18" s="1561"/>
      <c r="T18" s="1560"/>
      <c r="U18" s="1561"/>
      <c r="V18" s="1560"/>
      <c r="W18" s="1561"/>
      <c r="X18" s="1554"/>
      <c r="Y18" s="3399"/>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99"/>
      <c r="Q19" s="1559" t="str">
        <f>B19</f>
        <v>公共配套设施</v>
      </c>
      <c r="R19" s="1560" t="s">
        <v>11</v>
      </c>
      <c r="S19" s="1561">
        <f>F19</f>
        <v>100</v>
      </c>
      <c r="T19" s="1560" t="s">
        <v>11</v>
      </c>
      <c r="U19" s="1561">
        <f>H19</f>
        <v>100</v>
      </c>
      <c r="V19" s="1560" t="s">
        <v>11</v>
      </c>
      <c r="W19" s="1561">
        <f>J19</f>
        <v>100</v>
      </c>
      <c r="X19" s="1554"/>
      <c r="Y19" s="339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99"/>
      <c r="Q20" s="1559"/>
      <c r="R20" s="1560"/>
      <c r="S20" s="1561"/>
      <c r="T20" s="1560"/>
      <c r="U20" s="1561"/>
      <c r="V20" s="1560"/>
      <c r="W20" s="1561"/>
      <c r="X20" s="1554"/>
      <c r="Y20" s="3399"/>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99"/>
      <c r="Q21" s="2544" t="str">
        <f>B21</f>
        <v>基础设施水平</v>
      </c>
      <c r="R21" s="1560" t="s">
        <v>11</v>
      </c>
      <c r="S21" s="1561">
        <f>F21</f>
        <v>100</v>
      </c>
      <c r="T21" s="1560" t="s">
        <v>11</v>
      </c>
      <c r="U21" s="1561">
        <f>H21</f>
        <v>100</v>
      </c>
      <c r="V21" s="1560" t="s">
        <v>11</v>
      </c>
      <c r="W21" s="1561">
        <f>J21</f>
        <v>100</v>
      </c>
      <c r="X21" s="2546"/>
      <c r="Y21" s="3399"/>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99"/>
      <c r="Q22" s="2544"/>
      <c r="R22" s="1560"/>
      <c r="S22" s="1561"/>
      <c r="T22" s="1560"/>
      <c r="U22" s="1561"/>
      <c r="V22" s="1560"/>
      <c r="W22" s="1561"/>
      <c r="X22" s="2546"/>
      <c r="Y22" s="3399"/>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99"/>
      <c r="Q23" s="1559" t="str">
        <f>B23</f>
        <v>自然及人文环境</v>
      </c>
      <c r="R23" s="1560" t="s">
        <v>11</v>
      </c>
      <c r="S23" s="1561">
        <f>F23</f>
        <v>100</v>
      </c>
      <c r="T23" s="1560" t="s">
        <v>11</v>
      </c>
      <c r="U23" s="1561">
        <f>H23</f>
        <v>100</v>
      </c>
      <c r="V23" s="1560" t="s">
        <v>11</v>
      </c>
      <c r="W23" s="1561">
        <f>J23</f>
        <v>100</v>
      </c>
      <c r="X23" s="1554"/>
      <c r="Y23" s="339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99"/>
      <c r="Q24" s="1559"/>
      <c r="R24" s="1560"/>
      <c r="S24" s="1561"/>
      <c r="T24" s="1560"/>
      <c r="U24" s="1561"/>
      <c r="V24" s="1560"/>
      <c r="W24" s="1561"/>
      <c r="X24" s="1554"/>
      <c r="Y24" s="3399"/>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99"/>
      <c r="Q25" s="1559" t="str">
        <f t="shared" ref="Q25:Q46" si="11">B25</f>
        <v>楼层-1</v>
      </c>
      <c r="R25" s="1560" t="s">
        <v>11</v>
      </c>
      <c r="S25" s="1561">
        <f>F25</f>
        <v>100</v>
      </c>
      <c r="T25" s="1560" t="s">
        <v>11</v>
      </c>
      <c r="U25" s="1561">
        <f>H25</f>
        <v>100</v>
      </c>
      <c r="V25" s="1560" t="s">
        <v>11</v>
      </c>
      <c r="W25" s="1561">
        <f>J25</f>
        <v>100</v>
      </c>
      <c r="X25" s="1554"/>
      <c r="Y25" s="3399"/>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99"/>
      <c r="Q26" s="1559" t="str">
        <f t="shared" si="11"/>
        <v>朝向</v>
      </c>
      <c r="R26" s="1560" t="s">
        <v>11</v>
      </c>
      <c r="S26" s="1561">
        <f>F26</f>
        <v>100</v>
      </c>
      <c r="T26" s="1560" t="s">
        <v>11</v>
      </c>
      <c r="U26" s="1561">
        <f>H26</f>
        <v>100</v>
      </c>
      <c r="V26" s="1560" t="s">
        <v>11</v>
      </c>
      <c r="W26" s="1561">
        <f>J26</f>
        <v>100</v>
      </c>
      <c r="X26" s="1554"/>
      <c r="Y26" s="3399"/>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99"/>
      <c r="Q27" s="1147" t="str">
        <f t="shared" si="11"/>
        <v>道路级别</v>
      </c>
      <c r="R27" s="1555" t="s">
        <v>11</v>
      </c>
      <c r="S27" s="1556">
        <f>F27</f>
        <v>100</v>
      </c>
      <c r="T27" s="1555" t="s">
        <v>11</v>
      </c>
      <c r="U27" s="1556">
        <f>H27</f>
        <v>100</v>
      </c>
      <c r="V27" s="1555" t="s">
        <v>11</v>
      </c>
      <c r="W27" s="1556">
        <f>J27</f>
        <v>100</v>
      </c>
      <c r="X27" s="1557"/>
      <c r="Y27" s="3399"/>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99"/>
      <c r="Q28" s="1559">
        <f t="shared" si="11"/>
        <v>111</v>
      </c>
      <c r="R28" s="1560" t="s">
        <v>11</v>
      </c>
      <c r="S28" s="1561">
        <f t="shared" ref="S28:S46" si="12">F28</f>
        <v>100</v>
      </c>
      <c r="T28" s="1560" t="s">
        <v>11</v>
      </c>
      <c r="U28" s="1561">
        <f t="shared" ref="U28:U46" si="13">H28</f>
        <v>100</v>
      </c>
      <c r="V28" s="1560" t="s">
        <v>11</v>
      </c>
      <c r="W28" s="1561">
        <f t="shared" ref="W28:W46" si="14">J28</f>
        <v>100</v>
      </c>
      <c r="X28" s="1554"/>
      <c r="Y28" s="3399"/>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99"/>
      <c r="Q29" s="1559">
        <f t="shared" si="11"/>
        <v>111</v>
      </c>
      <c r="R29" s="1560" t="s">
        <v>11</v>
      </c>
      <c r="S29" s="1561">
        <f t="shared" si="12"/>
        <v>100</v>
      </c>
      <c r="T29" s="1560" t="s">
        <v>11</v>
      </c>
      <c r="U29" s="1561">
        <f t="shared" si="13"/>
        <v>100</v>
      </c>
      <c r="V29" s="1560" t="s">
        <v>11</v>
      </c>
      <c r="W29" s="1561">
        <f t="shared" si="14"/>
        <v>100</v>
      </c>
      <c r="X29" s="1554"/>
      <c r="Y29" s="339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99"/>
      <c r="Q30" s="1559">
        <f t="shared" si="11"/>
        <v>111</v>
      </c>
      <c r="R30" s="1560" t="s">
        <v>11</v>
      </c>
      <c r="S30" s="1561">
        <f t="shared" si="12"/>
        <v>100</v>
      </c>
      <c r="T30" s="1560" t="s">
        <v>11</v>
      </c>
      <c r="U30" s="1561">
        <f t="shared" si="13"/>
        <v>100</v>
      </c>
      <c r="V30" s="1560" t="s">
        <v>11</v>
      </c>
      <c r="W30" s="1561">
        <f t="shared" si="14"/>
        <v>100</v>
      </c>
      <c r="X30" s="1554"/>
      <c r="Y30" s="3399"/>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99"/>
      <c r="Q31" s="1559">
        <f t="shared" si="11"/>
        <v>111</v>
      </c>
      <c r="R31" s="1560" t="s">
        <v>11</v>
      </c>
      <c r="S31" s="1561">
        <f t="shared" si="12"/>
        <v>100</v>
      </c>
      <c r="T31" s="1560" t="s">
        <v>11</v>
      </c>
      <c r="U31" s="1561">
        <f t="shared" si="13"/>
        <v>100</v>
      </c>
      <c r="V31" s="1560" t="s">
        <v>11</v>
      </c>
      <c r="W31" s="1561">
        <f t="shared" si="14"/>
        <v>100</v>
      </c>
      <c r="X31" s="1554"/>
      <c r="Y31" s="3399"/>
      <c r="Z31" s="1562">
        <f t="shared" si="15"/>
        <v>111</v>
      </c>
      <c r="AA31" s="1563">
        <f t="shared" si="3"/>
        <v>1</v>
      </c>
      <c r="AB31" s="1563">
        <f t="shared" si="4"/>
        <v>1</v>
      </c>
      <c r="AC31" s="1563">
        <f t="shared" si="5"/>
        <v>1</v>
      </c>
    </row>
    <row r="32" spans="1:29" ht="15">
      <c r="A32" s="2863" t="s">
        <v>2754</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00" t="s">
        <v>550</v>
      </c>
      <c r="Q32" s="1559" t="str">
        <f t="shared" si="11"/>
        <v>建筑类型</v>
      </c>
      <c r="R32" s="1560" t="s">
        <v>11</v>
      </c>
      <c r="S32" s="1561">
        <f t="shared" si="12"/>
        <v>100</v>
      </c>
      <c r="T32" s="1560" t="s">
        <v>11</v>
      </c>
      <c r="U32" s="1561">
        <f t="shared" si="13"/>
        <v>100</v>
      </c>
      <c r="V32" s="1560" t="s">
        <v>11</v>
      </c>
      <c r="W32" s="1561">
        <f t="shared" si="14"/>
        <v>100</v>
      </c>
      <c r="X32" s="1554"/>
      <c r="Y32" s="3401"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26"/>
      <c r="M33" s="2157"/>
      <c r="N33" s="2157"/>
      <c r="O33" s="2129"/>
      <c r="P33" s="3401"/>
      <c r="Q33" s="1591" t="str">
        <f t="shared" si="11"/>
        <v>项目建筑规模</v>
      </c>
      <c r="R33" s="1564" t="s">
        <v>11</v>
      </c>
      <c r="S33" s="1565">
        <f t="shared" si="12"/>
        <v>100</v>
      </c>
      <c r="T33" s="1564" t="s">
        <v>11</v>
      </c>
      <c r="U33" s="1565">
        <f t="shared" si="13"/>
        <v>100</v>
      </c>
      <c r="V33" s="1564" t="s">
        <v>11</v>
      </c>
      <c r="W33" s="1565">
        <f t="shared" si="14"/>
        <v>100</v>
      </c>
      <c r="X33" s="1566"/>
      <c r="Y33" s="3401"/>
      <c r="Z33" s="1567" t="str">
        <f t="shared" si="15"/>
        <v>项目建筑规模</v>
      </c>
      <c r="AA33" s="1563">
        <f t="shared" si="3"/>
        <v>1</v>
      </c>
      <c r="AB33" s="1563">
        <f t="shared" si="4"/>
        <v>1</v>
      </c>
      <c r="AC33" s="1563">
        <f t="shared" si="5"/>
        <v>1</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01"/>
      <c r="Q34" s="1559" t="str">
        <f t="shared" si="11"/>
        <v>建筑结构</v>
      </c>
      <c r="R34" s="1560" t="s">
        <v>11</v>
      </c>
      <c r="S34" s="1561">
        <f t="shared" si="12"/>
        <v>100</v>
      </c>
      <c r="T34" s="1560" t="s">
        <v>11</v>
      </c>
      <c r="U34" s="1561">
        <f t="shared" si="13"/>
        <v>100</v>
      </c>
      <c r="V34" s="1560" t="s">
        <v>11</v>
      </c>
      <c r="W34" s="1561">
        <f t="shared" si="14"/>
        <v>100</v>
      </c>
      <c r="X34" s="1554"/>
      <c r="Y34" s="3401"/>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01"/>
      <c r="Q35" s="1559" t="str">
        <f t="shared" si="11"/>
        <v>建筑品质</v>
      </c>
      <c r="R35" s="1560" t="s">
        <v>11</v>
      </c>
      <c r="S35" s="1561">
        <f t="shared" si="12"/>
        <v>100</v>
      </c>
      <c r="T35" s="1560" t="s">
        <v>11</v>
      </c>
      <c r="U35" s="1561">
        <f t="shared" si="13"/>
        <v>100</v>
      </c>
      <c r="V35" s="1560" t="s">
        <v>11</v>
      </c>
      <c r="W35" s="1561">
        <f t="shared" si="14"/>
        <v>100</v>
      </c>
      <c r="X35" s="1554"/>
      <c r="Y35" s="3401"/>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01"/>
      <c r="Q36" s="1559" t="str">
        <f t="shared" si="11"/>
        <v>公共部分装修</v>
      </c>
      <c r="R36" s="1560" t="s">
        <v>11</v>
      </c>
      <c r="S36" s="1561">
        <f t="shared" si="12"/>
        <v>100</v>
      </c>
      <c r="T36" s="1560" t="s">
        <v>11</v>
      </c>
      <c r="U36" s="1561">
        <f t="shared" si="13"/>
        <v>100</v>
      </c>
      <c r="V36" s="1560" t="s">
        <v>11</v>
      </c>
      <c r="W36" s="1561">
        <f t="shared" si="14"/>
        <v>100</v>
      </c>
      <c r="X36" s="1554"/>
      <c r="Y36" s="3401"/>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21"/>
      <c r="M37" s="2122"/>
      <c r="N37" s="2122"/>
      <c r="O37" s="2123"/>
      <c r="P37" s="3401"/>
      <c r="Q37" s="1147" t="str">
        <f t="shared" si="11"/>
        <v>成新度</v>
      </c>
      <c r="R37" s="1555" t="s">
        <v>11</v>
      </c>
      <c r="S37" s="1556">
        <f t="shared" si="12"/>
        <v>100</v>
      </c>
      <c r="T37" s="1555" t="s">
        <v>11</v>
      </c>
      <c r="U37" s="1556">
        <f t="shared" si="13"/>
        <v>100</v>
      </c>
      <c r="V37" s="1555" t="s">
        <v>11</v>
      </c>
      <c r="W37" s="1556">
        <f t="shared" si="14"/>
        <v>100</v>
      </c>
      <c r="X37" s="1557"/>
      <c r="Y37" s="3401"/>
      <c r="Z37" s="1146" t="str">
        <f t="shared" si="15"/>
        <v>成新度</v>
      </c>
      <c r="AA37" s="1558">
        <f t="shared" si="3"/>
        <v>1</v>
      </c>
      <c r="AB37" s="1558">
        <f t="shared" si="4"/>
        <v>1</v>
      </c>
      <c r="AC37" s="1558">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01" t="s">
        <v>550</v>
      </c>
      <c r="Q38" s="1559" t="str">
        <f t="shared" si="11"/>
        <v>物业管理</v>
      </c>
      <c r="R38" s="1560" t="s">
        <v>11</v>
      </c>
      <c r="S38" s="1561">
        <f t="shared" si="12"/>
        <v>100</v>
      </c>
      <c r="T38" s="1560" t="s">
        <v>11</v>
      </c>
      <c r="U38" s="1561">
        <f t="shared" si="13"/>
        <v>100</v>
      </c>
      <c r="V38" s="1560" t="s">
        <v>11</v>
      </c>
      <c r="W38" s="1561">
        <f t="shared" si="14"/>
        <v>100</v>
      </c>
      <c r="X38" s="1554"/>
      <c r="Y38" s="3401"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01"/>
      <c r="Q39" s="1559" t="str">
        <f t="shared" si="11"/>
        <v>市政基础设施</v>
      </c>
      <c r="R39" s="1560" t="s">
        <v>11</v>
      </c>
      <c r="S39" s="1561">
        <f t="shared" si="12"/>
        <v>100</v>
      </c>
      <c r="T39" s="1560" t="s">
        <v>11</v>
      </c>
      <c r="U39" s="1561">
        <f t="shared" si="13"/>
        <v>100</v>
      </c>
      <c r="V39" s="1560" t="s">
        <v>11</v>
      </c>
      <c r="W39" s="1561">
        <f t="shared" si="14"/>
        <v>100</v>
      </c>
      <c r="X39" s="1554"/>
      <c r="Y39" s="3401"/>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01"/>
      <c r="Q40" s="1559" t="str">
        <f t="shared" si="11"/>
        <v>房型</v>
      </c>
      <c r="R40" s="1560" t="s">
        <v>11</v>
      </c>
      <c r="S40" s="1561">
        <f t="shared" si="12"/>
        <v>100</v>
      </c>
      <c r="T40" s="1560" t="s">
        <v>11</v>
      </c>
      <c r="U40" s="1561">
        <f t="shared" si="13"/>
        <v>100</v>
      </c>
      <c r="V40" s="1560" t="s">
        <v>11</v>
      </c>
      <c r="W40" s="1561">
        <f t="shared" si="14"/>
        <v>100</v>
      </c>
      <c r="X40" s="1554"/>
      <c r="Y40" s="3401"/>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01"/>
      <c r="Q41" s="1591" t="str">
        <f t="shared" si="11"/>
        <v>单套/主力户型建筑面积</v>
      </c>
      <c r="R41" s="1564" t="s">
        <v>11</v>
      </c>
      <c r="S41" s="1565">
        <f t="shared" si="12"/>
        <v>100</v>
      </c>
      <c r="T41" s="1564" t="s">
        <v>11</v>
      </c>
      <c r="U41" s="1565">
        <f t="shared" si="13"/>
        <v>100</v>
      </c>
      <c r="V41" s="1564" t="s">
        <v>11</v>
      </c>
      <c r="W41" s="1565">
        <f t="shared" si="14"/>
        <v>100</v>
      </c>
      <c r="X41" s="1566"/>
      <c r="Y41" s="3401"/>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01"/>
      <c r="Q42" s="1559" t="str">
        <f t="shared" si="11"/>
        <v>内部装修</v>
      </c>
      <c r="R42" s="1560" t="s">
        <v>11</v>
      </c>
      <c r="S42" s="1561">
        <f t="shared" si="12"/>
        <v>100</v>
      </c>
      <c r="T42" s="1560" t="s">
        <v>11</v>
      </c>
      <c r="U42" s="1561">
        <f t="shared" si="13"/>
        <v>100</v>
      </c>
      <c r="V42" s="1560" t="s">
        <v>11</v>
      </c>
      <c r="W42" s="1561">
        <f t="shared" si="14"/>
        <v>100</v>
      </c>
      <c r="X42" s="1554"/>
      <c r="Y42" s="3401"/>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01"/>
      <c r="Q43" s="1559" t="str">
        <f t="shared" si="11"/>
        <v>内部装修维护情况</v>
      </c>
      <c r="R43" s="1560" t="s">
        <v>11</v>
      </c>
      <c r="S43" s="1561">
        <f t="shared" si="12"/>
        <v>100</v>
      </c>
      <c r="T43" s="1560" t="s">
        <v>11</v>
      </c>
      <c r="U43" s="1561">
        <f t="shared" si="13"/>
        <v>100</v>
      </c>
      <c r="V43" s="1560" t="s">
        <v>11</v>
      </c>
      <c r="W43" s="1561">
        <f t="shared" si="14"/>
        <v>100</v>
      </c>
      <c r="X43" s="1554"/>
      <c r="Y43" s="3401"/>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01"/>
      <c r="Q44" s="1147">
        <f t="shared" si="11"/>
        <v>111</v>
      </c>
      <c r="R44" s="1555" t="s">
        <v>11</v>
      </c>
      <c r="S44" s="1556">
        <f t="shared" si="12"/>
        <v>100</v>
      </c>
      <c r="T44" s="1555" t="s">
        <v>11</v>
      </c>
      <c r="U44" s="1556">
        <f t="shared" si="13"/>
        <v>100</v>
      </c>
      <c r="V44" s="1555" t="s">
        <v>11</v>
      </c>
      <c r="W44" s="1556">
        <f t="shared" si="14"/>
        <v>100</v>
      </c>
      <c r="X44" s="1557"/>
      <c r="Y44" s="3401"/>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01"/>
      <c r="Q45" s="1559">
        <f t="shared" si="11"/>
        <v>111</v>
      </c>
      <c r="R45" s="1560" t="s">
        <v>11</v>
      </c>
      <c r="S45" s="1561">
        <f t="shared" si="12"/>
        <v>100</v>
      </c>
      <c r="T45" s="1560" t="s">
        <v>11</v>
      </c>
      <c r="U45" s="1561">
        <f t="shared" si="13"/>
        <v>100</v>
      </c>
      <c r="V45" s="1560" t="s">
        <v>11</v>
      </c>
      <c r="W45" s="1561">
        <f t="shared" si="14"/>
        <v>100</v>
      </c>
      <c r="X45" s="1554"/>
      <c r="Y45" s="3401"/>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48"/>
      <c r="Q46" s="1559">
        <f t="shared" si="11"/>
        <v>111</v>
      </c>
      <c r="R46" s="1560" t="s">
        <v>10</v>
      </c>
      <c r="S46" s="1561">
        <f t="shared" si="12"/>
        <v>100</v>
      </c>
      <c r="T46" s="1560" t="s">
        <v>10</v>
      </c>
      <c r="U46" s="1561">
        <f t="shared" si="13"/>
        <v>100</v>
      </c>
      <c r="V46" s="1560" t="s">
        <v>10</v>
      </c>
      <c r="W46" s="1561">
        <f t="shared" si="14"/>
        <v>100</v>
      </c>
      <c r="X46" s="1554"/>
      <c r="Y46" s="3448"/>
      <c r="Z46" s="1562">
        <f t="shared" si="15"/>
        <v>111</v>
      </c>
      <c r="AA46" s="1563">
        <f t="shared" si="3"/>
        <v>1</v>
      </c>
      <c r="AB46" s="1563">
        <f t="shared" si="4"/>
        <v>1</v>
      </c>
      <c r="AC46" s="1563">
        <f t="shared" si="5"/>
        <v>1</v>
      </c>
    </row>
    <row r="47" spans="1:29" ht="15">
      <c r="A47" s="607" t="s">
        <v>736</v>
      </c>
      <c r="B47" s="887"/>
      <c r="C47" s="2592" t="s">
        <v>9</v>
      </c>
      <c r="D47" s="2593"/>
      <c r="E47" s="2594">
        <v>7000</v>
      </c>
      <c r="F47" s="2595"/>
      <c r="G47" s="2596">
        <v>7500</v>
      </c>
      <c r="H47" s="2597"/>
      <c r="I47" s="2594">
        <v>7500</v>
      </c>
      <c r="J47" s="2597"/>
      <c r="K47" s="1592"/>
      <c r="L47" s="2130"/>
      <c r="M47" s="2131"/>
      <c r="N47" s="2120"/>
      <c r="O47" s="2131"/>
      <c r="P47" s="3363" t="str">
        <f>A47</f>
        <v>成交单价（元/平方米）</v>
      </c>
      <c r="Q47" s="3363"/>
      <c r="R47" s="3447">
        <f>E47</f>
        <v>7000</v>
      </c>
      <c r="S47" s="3447"/>
      <c r="T47" s="3447">
        <f>G47</f>
        <v>7500</v>
      </c>
      <c r="U47" s="3447"/>
      <c r="V47" s="3447">
        <f>I47</f>
        <v>7500</v>
      </c>
      <c r="W47" s="3447"/>
      <c r="X47" s="1546"/>
      <c r="Y47" s="1568"/>
      <c r="Z47" s="1546"/>
      <c r="AA47" s="1546"/>
      <c r="AB47" s="1546"/>
      <c r="AC47" s="1546"/>
    </row>
    <row r="48" spans="1:29" ht="15.75" thickBot="1">
      <c r="A48" s="615" t="s">
        <v>2759</v>
      </c>
      <c r="B48" s="888"/>
      <c r="C48" s="2598">
        <f>R49</f>
        <v>7333</v>
      </c>
      <c r="D48" s="2599"/>
      <c r="E48" s="2600">
        <f>R48</f>
        <v>7000</v>
      </c>
      <c r="F48" s="2600"/>
      <c r="G48" s="2598">
        <f>T48</f>
        <v>7500</v>
      </c>
      <c r="H48" s="2599"/>
      <c r="I48" s="2600">
        <f>V48</f>
        <v>7500</v>
      </c>
      <c r="J48" s="2599"/>
      <c r="K48" s="1593"/>
      <c r="L48" s="2130"/>
      <c r="M48" s="2131"/>
      <c r="N48" s="2131"/>
      <c r="O48" s="2131"/>
      <c r="P48" s="3363" t="str">
        <f>A48</f>
        <v>比较价格（元/平方米）</v>
      </c>
      <c r="Q48" s="3363"/>
      <c r="R48" s="3447">
        <f>IF(F1="售价",ROUND(PRODUCT(R47,AA7:AA46),0),ROUND(PRODUCT(R47,AA7:AA46),1))</f>
        <v>7000</v>
      </c>
      <c r="S48" s="3447"/>
      <c r="T48" s="3447">
        <f>IF(F1="售价",ROUND(PRODUCT(T47,AB7:AB46),0),ROUND(PRODUCT(T47,AB7:AB46),1))</f>
        <v>7500</v>
      </c>
      <c r="U48" s="3447"/>
      <c r="V48" s="3447">
        <f>IF(F1="售价",ROUND(PRODUCT(V47,AC7:AC46),0),ROUND(PRODUCT(V47,AC7:AC46),1))</f>
        <v>7500</v>
      </c>
      <c r="W48" s="3447"/>
      <c r="X48" s="1546"/>
      <c r="Y48" s="1546"/>
      <c r="Z48" s="1546"/>
      <c r="AA48" s="1546"/>
      <c r="AB48" s="1546"/>
      <c r="AC48" s="1546"/>
    </row>
    <row r="49" spans="1:29" ht="15.75" thickBot="1">
      <c r="A49" s="621" t="s">
        <v>2936</v>
      </c>
      <c r="B49" s="622"/>
      <c r="C49" s="2601">
        <f>R49</f>
        <v>7333</v>
      </c>
      <c r="D49" s="2601"/>
      <c r="E49" s="2601"/>
      <c r="F49" s="2601"/>
      <c r="G49" s="2601"/>
      <c r="H49" s="2601"/>
      <c r="I49" s="2601"/>
      <c r="J49" s="2601"/>
      <c r="K49" s="1594"/>
      <c r="L49" s="2130"/>
      <c r="M49" s="2131"/>
      <c r="N49" s="2131"/>
      <c r="O49" s="2131"/>
      <c r="P49" s="3360" t="str">
        <f>A49</f>
        <v>估价对象XX用房的比较价格（楼面单价，元/平方米）</v>
      </c>
      <c r="Q49" s="3361"/>
      <c r="R49" s="3446">
        <f>IF(F1="售价",ROUND(AVERAGE(R48:V48),0),ROUND(AVERAGE(R48:V48),1))</f>
        <v>7333</v>
      </c>
      <c r="S49" s="3446"/>
      <c r="T49" s="3446"/>
      <c r="U49" s="3446"/>
      <c r="V49" s="3446"/>
      <c r="W49" s="344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0</v>
      </c>
      <c r="F52" s="627" t="str">
        <f>IF(OR(E52&gt;=0.3,E52&lt;=-0.3),"超过30%","")</f>
        <v/>
      </c>
      <c r="G52" s="626">
        <f>IF(G47&lt;G48,G48/G47-1,G47/G48-1)</f>
        <v>0</v>
      </c>
      <c r="H52" s="627" t="str">
        <f>IF(OR(G52&gt;=0.3,G52&lt;=-0.3),"超过30%","")</f>
        <v/>
      </c>
      <c r="I52" s="626">
        <f>IF(I47&lt;I48,I48/I47-1,I47/I48-1)</f>
        <v>0</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7.1428571428571397E-2</v>
      </c>
      <c r="F53" s="627" t="str">
        <f>IF(OR(E53&gt;=0.2,E53&lt;=-0.2),"超过20%","")</f>
        <v/>
      </c>
      <c r="G53" s="626">
        <f>IF(G48&lt;I48,I48/G48-1,G48/I48-1)</f>
        <v>0</v>
      </c>
      <c r="H53" s="627" t="str">
        <f>IF(OR(G53&gt;=0.2,G53&lt;=-0.2),"超过20%","")</f>
        <v/>
      </c>
      <c r="I53" s="626">
        <f>IF(I48&lt;E48,E48/I48-1,I48/E48-1)</f>
        <v>7.1428571428571397E-2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7.1428571428571397E-2</v>
      </c>
      <c r="F54" s="627" t="str">
        <f>IF(OR(E54&gt;=0.3,E54&lt;=-0.3),"超过30%","")</f>
        <v/>
      </c>
      <c r="G54" s="626">
        <f>IF(G47&lt;I47,I47/G47-1,G47/I47-1)</f>
        <v>0</v>
      </c>
      <c r="H54" s="627" t="str">
        <f>IF(OR(G54&gt;=0.3,G54&lt;=-0.3),"超过30%","")</f>
        <v/>
      </c>
      <c r="I54" s="626">
        <f>IF(I47&lt;E47,E47/I47-1,I47/E47-1)</f>
        <v>7.1428571428571397E-2</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t="str">
        <f>C9</f>
        <v>住宅</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0（含）-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受贵公司委托，我公司对柳州市出让国有建设用地使用权抵押价格进行了预评估。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柳州市出让国有建设用地使用权。根据《国有土地使用证》[]，估价对象（分摊）出让国有建设用地使用权面积为67772.1平方米。根据《建设工程规划许可证》[]、《出让合同》[]，估价对象规划建筑面积为217672.19平方米。</v>
      </c>
    </row>
    <row r="7" spans="1:4" ht="56.25">
      <c r="A7" s="1781" t="s">
        <v>2746</v>
      </c>
    </row>
    <row r="8" spans="1:4" ht="18.75">
      <c r="A8" s="1780" t="s">
        <v>1906</v>
      </c>
    </row>
    <row r="9" spans="1:4" ht="75">
      <c r="A9" s="1782" t="str">
        <f>IF(项目基本情况!B8="抵押",IF(项目基本情况!B5=项目基本情况!B6,定义!C51,定义!B51),定义!D51)</f>
        <v>拟使用柳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2019年8月21日</v>
      </c>
    </row>
    <row r="12" spans="1:4" ht="18.75">
      <c r="A12" s="1783" t="s">
        <v>2025</v>
      </c>
    </row>
    <row r="13" spans="1:4" ht="18.75">
      <c r="A13" s="1777" t="s">
        <v>2942</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根据委托估价方介绍及评估专业人员现场勘查，本次评估估价对象实际土地开发程度为红线外市政基础设施达“七通”（即通路、通电、通讯、通上水、通下水、燃气、平整）、宗地红线内场地未平整，。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根据《国有土地使用证》[]，估价对象（分摊）出让国有建设用地使用权面积为67772.1平方米。根据《建设工程规划许可证》[]、《出让合同》[]，估价对象规划建筑面积为217672.19平方米。</v>
      </c>
    </row>
    <row r="21" spans="1:1" ht="18.75">
      <c r="A21" s="1777" t="s">
        <v>2074</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本次估价对象为出让国有建设用地使用权，《国有土地使用证》[]证载土地终止日期为住宅2081年3月30日、商业2051年3月30日。截至估价期日，出让国有建设用地使用权剩余土地使用年限为。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93.75">
      <c r="A25" s="1777" t="str">
        <f>定义!C53</f>
        <v>本次估价的“出让国有建设用地使用权价格”是指在估价对象土地所有权为国家所有，使用权性质为出让，在公开市场条件下、于估价期日2019年8月21日，在规划利用条件下、设定土地开发程度为红线外“七通”、宗地内场地未平整，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41" sqref="F41"/>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3004</v>
      </c>
      <c r="D1" s="3078" t="s">
        <v>3036</v>
      </c>
      <c r="E1" s="2352" t="s">
        <v>2374</v>
      </c>
      <c r="F1" s="2353">
        <f ca="1">J53</f>
        <v>29.62</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2834</v>
      </c>
      <c r="C2" s="2043"/>
      <c r="D2" s="2041"/>
      <c r="E2" s="2042"/>
      <c r="F2" s="2042"/>
      <c r="G2" s="1577"/>
      <c r="H2" s="2043"/>
      <c r="I2" s="2043"/>
      <c r="J2" s="2043"/>
      <c r="K2" s="2044"/>
      <c r="L2" s="2043"/>
      <c r="M2" s="2043"/>
    </row>
    <row r="3" spans="1:33" ht="18" customHeight="1" thickBot="1">
      <c r="A3" s="833" t="s">
        <v>1727</v>
      </c>
      <c r="B3" s="834">
        <f ca="1">IF(ISERROR(B2*10000/F43),0,ROUND(B2*10000/F43,0))</f>
        <v>6074</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230</v>
      </c>
      <c r="D5" s="2461" t="s">
        <v>2461</v>
      </c>
      <c r="E5" s="2455"/>
      <c r="F5" s="2456"/>
      <c r="G5" s="1579"/>
      <c r="H5" s="781">
        <v>1</v>
      </c>
      <c r="I5" s="782" t="s">
        <v>2458</v>
      </c>
      <c r="J5" s="55">
        <f ca="1">J6+J10+J12</f>
        <v>0</v>
      </c>
      <c r="K5" s="2461" t="s">
        <v>2461</v>
      </c>
      <c r="L5" s="2455"/>
      <c r="M5" s="2456"/>
    </row>
    <row r="6" spans="1:33" ht="18" customHeight="1">
      <c r="A6" s="1816" t="s">
        <v>1824</v>
      </c>
      <c r="B6" s="3440" t="s">
        <v>2463</v>
      </c>
      <c r="C6" s="783">
        <f ca="1">ROUND(F6*F8*F7*(1-F9)/10000,0)</f>
        <v>230</v>
      </c>
      <c r="D6" s="2462" t="s">
        <v>2462</v>
      </c>
      <c r="E6" s="784" t="s">
        <v>1738</v>
      </c>
      <c r="F6" s="785">
        <f ca="1">INDIRECT("'数据-取费表'!u"&amp;$G$1)</f>
        <v>1.5</v>
      </c>
      <c r="G6" s="1579"/>
      <c r="H6" s="2469" t="s">
        <v>2468</v>
      </c>
      <c r="I6" s="3440" t="s">
        <v>2463</v>
      </c>
      <c r="J6" s="783">
        <f ca="1">ROUND(M6*M8*M7*(1-M9)/10000,0)</f>
        <v>0</v>
      </c>
      <c r="K6" s="341" t="s">
        <v>1737</v>
      </c>
      <c r="L6" s="784" t="s">
        <v>1738</v>
      </c>
      <c r="M6" s="785">
        <f ca="1">INDIRECT("'数据-取费表'!z"&amp;$G$1)</f>
        <v>0</v>
      </c>
    </row>
    <row r="7" spans="1:33" ht="18" customHeight="1">
      <c r="A7" s="2465"/>
      <c r="B7" s="3441"/>
      <c r="C7" s="788"/>
      <c r="D7" s="789"/>
      <c r="E7" s="784" t="s">
        <v>1739</v>
      </c>
      <c r="F7" s="785">
        <f ca="1">IF(INDIRECT("'数据-取费表'!ah"&amp;$G$1)="",INDIRECT("'数据-取费表'!k"&amp;$G$1),INDIRECT("'数据-取费表'!ah"&amp;$G$1))</f>
        <v>4666</v>
      </c>
      <c r="G7" s="1579"/>
      <c r="H7" s="2454"/>
      <c r="I7" s="3441"/>
      <c r="J7" s="788"/>
      <c r="K7" s="789"/>
      <c r="L7" s="784" t="s">
        <v>1739</v>
      </c>
      <c r="M7" s="785">
        <f ca="1">F7</f>
        <v>4666</v>
      </c>
    </row>
    <row r="8" spans="1:33" ht="18" customHeight="1">
      <c r="A8" s="2458"/>
      <c r="B8" s="3442"/>
      <c r="C8" s="788"/>
      <c r="D8" s="789"/>
      <c r="E8" s="784" t="s">
        <v>1740</v>
      </c>
      <c r="F8" s="785">
        <f ca="1">INDIRECT("'数据-取费表'!ai"&amp;$G$1)</f>
        <v>365</v>
      </c>
      <c r="G8" s="1579"/>
      <c r="H8" s="2454"/>
      <c r="I8" s="3442"/>
      <c r="J8" s="788"/>
      <c r="K8" s="789"/>
      <c r="L8" s="784" t="s">
        <v>1740</v>
      </c>
      <c r="M8" s="785">
        <f ca="1">INDIRECT("'数据-取费表'!ai"&amp;$G$1)</f>
        <v>365</v>
      </c>
    </row>
    <row r="9" spans="1:33" ht="18" customHeight="1">
      <c r="A9" s="786"/>
      <c r="B9" s="3443"/>
      <c r="C9" s="788"/>
      <c r="D9" s="789"/>
      <c r="E9" s="784" t="s">
        <v>1741</v>
      </c>
      <c r="F9" s="794">
        <f ca="1">INDIRECT("'数据-取费表'!w"&amp;$G$1)</f>
        <v>0.1</v>
      </c>
      <c r="G9" s="1579"/>
      <c r="H9" s="2470"/>
      <c r="I9" s="3442"/>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2974</v>
      </c>
      <c r="E10" s="2463" t="s">
        <v>2464</v>
      </c>
      <c r="F10" s="2586" t="s">
        <v>3031</v>
      </c>
      <c r="G10" s="1579"/>
      <c r="H10" s="2526" t="s">
        <v>2469</v>
      </c>
      <c r="I10" s="2531" t="s">
        <v>2459</v>
      </c>
      <c r="J10" s="783">
        <f ca="1">ROUND(IF(M10="押一",J6/12*M11,IF(M10="押二",J6/12*2*M11,IF(M10="押三",J6/12*3*M11,J11*M11))),0)</f>
        <v>0</v>
      </c>
      <c r="K10" s="2466" t="s">
        <v>2974</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0</v>
      </c>
      <c r="D13" s="1820" t="s">
        <v>2297</v>
      </c>
      <c r="E13" s="1820" t="s">
        <v>1744</v>
      </c>
      <c r="F13" s="2501">
        <f ca="1">INDIRECT("'数据-取费表'!y"&amp;$G$1)</f>
        <v>0</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1407</v>
      </c>
      <c r="D14" s="1965" t="s">
        <v>1745</v>
      </c>
      <c r="E14" s="1966"/>
      <c r="F14" s="805"/>
      <c r="G14" s="1579"/>
      <c r="H14" s="1635" t="s">
        <v>1830</v>
      </c>
      <c r="I14" s="2217" t="s">
        <v>2825</v>
      </c>
      <c r="J14" s="53">
        <f ca="1">C29</f>
        <v>2137</v>
      </c>
      <c r="K14" s="26"/>
      <c r="L14" s="801"/>
      <c r="M14" s="802"/>
    </row>
    <row r="15" spans="1:33" s="2050" customFormat="1" ht="18" customHeight="1" thickBot="1">
      <c r="A15" s="1634" t="s">
        <v>1885</v>
      </c>
      <c r="B15" s="784" t="s">
        <v>647</v>
      </c>
      <c r="C15" s="53">
        <f ca="1">ROUND(C14*F15,0)</f>
        <v>56</v>
      </c>
      <c r="D15" s="806" t="s">
        <v>1746</v>
      </c>
      <c r="E15" s="806" t="s">
        <v>1747</v>
      </c>
      <c r="F15" s="807">
        <f>'数据-取费表'!B33</f>
        <v>0.04</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212</v>
      </c>
      <c r="K16" s="1807" t="s">
        <v>1750</v>
      </c>
      <c r="L16" s="2451"/>
      <c r="M16" s="2456"/>
    </row>
    <row r="17" spans="1:33" s="2050" customFormat="1" ht="18" customHeight="1">
      <c r="A17" s="1634" t="s">
        <v>1887</v>
      </c>
      <c r="B17" s="784" t="s">
        <v>653</v>
      </c>
      <c r="C17" s="53">
        <f ca="1">ROUND(F17*(F43+INDIRECT("'数据-取费表'!S"&amp;$G$1))/10000,0)</f>
        <v>131</v>
      </c>
      <c r="D17" s="784" t="s">
        <v>1751</v>
      </c>
      <c r="E17" s="784" t="s">
        <v>1752</v>
      </c>
      <c r="F17" s="56">
        <f>'数据-取费表'!B35</f>
        <v>200</v>
      </c>
      <c r="G17" s="1580"/>
      <c r="H17" s="1635" t="s">
        <v>1830</v>
      </c>
      <c r="I17" s="784" t="s">
        <v>656</v>
      </c>
      <c r="J17" s="53">
        <f ca="1">ROUND(IF(项目基本情况!B11="自然人",J6*M17/(1+'数据-取费表'!C42),J18+J19+J20),0)</f>
        <v>180</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21</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1615</v>
      </c>
      <c r="D19" s="261" t="s">
        <v>1757</v>
      </c>
      <c r="E19" s="1968"/>
      <c r="F19" s="56"/>
      <c r="G19" s="1579"/>
      <c r="H19" s="1634" t="s">
        <v>1885</v>
      </c>
      <c r="I19" s="784" t="s">
        <v>1758</v>
      </c>
      <c r="J19" s="53">
        <f ca="1">IF(K19="按租金收入计税",ROUND(J6*M19/(1+'数据-取费表'!C42),1),ROUND(C29*F33*0.7,1))</f>
        <v>179.5</v>
      </c>
      <c r="K19" s="811" t="s">
        <v>665</v>
      </c>
      <c r="L19" s="784" t="s">
        <v>1747</v>
      </c>
      <c r="M19" s="809">
        <f>IF(K19="按租金收入计税",'数据-取费表'!B51,'数据-取费表'!B50)</f>
        <v>1.2E-2</v>
      </c>
    </row>
    <row r="20" spans="1:33" s="2050" customFormat="1" ht="18" customHeight="1">
      <c r="A20" s="1635" t="s">
        <v>1889</v>
      </c>
      <c r="B20" s="784" t="s">
        <v>666</v>
      </c>
      <c r="C20" s="53">
        <f ca="1">ROUND(C19*F20,0)</f>
        <v>32</v>
      </c>
      <c r="D20" s="812" t="s">
        <v>1759</v>
      </c>
      <c r="E20" s="784" t="s">
        <v>1747</v>
      </c>
      <c r="F20" s="809">
        <f>'数据-取费表'!B37</f>
        <v>0.02</v>
      </c>
      <c r="G20" s="1580"/>
      <c r="H20" s="1637" t="s">
        <v>1880</v>
      </c>
      <c r="I20" s="341" t="s">
        <v>1760</v>
      </c>
      <c r="J20" s="54">
        <f ca="1">ROUND(M20*M21/10000,0)</f>
        <v>0</v>
      </c>
      <c r="K20" s="814" t="s">
        <v>1761</v>
      </c>
      <c r="L20" s="784" t="s">
        <v>1762</v>
      </c>
      <c r="M20" s="640">
        <f>'数据-取费表'!B52</f>
        <v>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2044.02</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32</v>
      </c>
      <c r="K22" s="2449"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78</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2821</v>
      </c>
      <c r="J25" s="792">
        <f ca="1">J5-J16</f>
        <v>-212</v>
      </c>
      <c r="K25" s="2513" t="s">
        <v>1777</v>
      </c>
      <c r="L25" s="2514"/>
      <c r="M25" s="2515"/>
    </row>
    <row r="26" spans="1:33" ht="18" customHeight="1">
      <c r="A26" s="1634" t="s">
        <v>1831</v>
      </c>
      <c r="B26" s="784" t="s">
        <v>2438</v>
      </c>
      <c r="C26" s="53">
        <f ca="1">ROUND((C19+C20)*F26,0)</f>
        <v>247</v>
      </c>
      <c r="D26" s="812" t="s">
        <v>1778</v>
      </c>
      <c r="E26" s="795" t="s">
        <v>1779</v>
      </c>
      <c r="F26" s="794">
        <f ca="1">INDIRECT("'数据-取费表'!q"&amp;$G$1)</f>
        <v>0.15</v>
      </c>
      <c r="G26" s="1579"/>
      <c r="H26" s="2467" t="s">
        <v>1780</v>
      </c>
      <c r="I26" s="2218" t="s">
        <v>2826</v>
      </c>
      <c r="J26" s="783">
        <f ca="1">IF(J5&lt;&gt;0,ROUND(J25*(1-((1+M28)/(1+M26))^M27)/(M26-M28),0),0)</f>
        <v>0</v>
      </c>
      <c r="K26" s="814" t="s">
        <v>1781</v>
      </c>
      <c r="L26" s="784" t="s">
        <v>2419</v>
      </c>
      <c r="M26" s="794">
        <f ca="1">INDIRECT("'数据-取费表'!I"&amp;$G$1)</f>
        <v>5.5E-2</v>
      </c>
    </row>
    <row r="27" spans="1:33" ht="18" customHeight="1">
      <c r="A27" s="1634" t="s">
        <v>1832</v>
      </c>
      <c r="B27" s="784" t="s">
        <v>686</v>
      </c>
      <c r="C27" s="53">
        <f ca="1">ROUND(F21*F26,4)</f>
        <v>3.0000000000000001E-3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2137</v>
      </c>
      <c r="D29" s="2510"/>
      <c r="E29" s="2511"/>
      <c r="F29" s="2512"/>
      <c r="G29" s="1580"/>
      <c r="H29" s="823" t="s">
        <v>1787</v>
      </c>
      <c r="I29" s="824" t="s">
        <v>1788</v>
      </c>
      <c r="J29" s="825">
        <f ca="1">ROUND(J26/(1+F40)^F41,0)</f>
        <v>0</v>
      </c>
      <c r="K29" s="826" t="s">
        <v>1789</v>
      </c>
      <c r="L29" s="827"/>
      <c r="M29" s="828">
        <f ca="1">INDIRECT("'数据-取费表'!k"&amp;$G$1)</f>
        <v>4666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73</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38.6</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12.3</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26.3</v>
      </c>
      <c r="D33" s="811" t="s">
        <v>3032</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0</v>
      </c>
      <c r="G34" s="2048"/>
      <c r="H34" s="2051"/>
      <c r="I34" s="835" t="s">
        <v>1813</v>
      </c>
      <c r="J34" s="836"/>
      <c r="K34" s="2066"/>
      <c r="L34" s="2065"/>
      <c r="M34" s="2065"/>
    </row>
    <row r="35" spans="1:18" ht="18" customHeight="1">
      <c r="A35" s="815"/>
      <c r="B35" s="793"/>
      <c r="C35" s="69"/>
      <c r="D35" s="816"/>
      <c r="E35" s="784" t="s">
        <v>1801</v>
      </c>
      <c r="F35" s="785">
        <f ca="1">INDIRECT("'数据-取费表'!r"&amp;$G$1)</f>
        <v>2044.02</v>
      </c>
      <c r="G35" s="2048"/>
      <c r="H35" s="2051"/>
      <c r="I35" s="837" t="s">
        <v>1814</v>
      </c>
      <c r="J35" s="838">
        <f ca="1">ROUND(C13*J36,0)</f>
        <v>0</v>
      </c>
      <c r="K35" s="2064"/>
      <c r="L35" s="2063"/>
      <c r="M35" s="2063"/>
    </row>
    <row r="36" spans="1:18" ht="18" customHeight="1">
      <c r="A36" s="1635" t="s">
        <v>1889</v>
      </c>
      <c r="B36" s="784" t="s">
        <v>1802</v>
      </c>
      <c r="C36" s="53">
        <f ca="1">ROUND(C29*F36,1)</f>
        <v>32.1</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0</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2.2999999999999998</v>
      </c>
      <c r="D38" s="2510" t="s">
        <v>1805</v>
      </c>
      <c r="E38" s="2511" t="s">
        <v>1796</v>
      </c>
      <c r="F38" s="2507">
        <f ca="1">INDIRECT("'数据-取费表'!Am"&amp;$G$1)</f>
        <v>0.01</v>
      </c>
      <c r="G38" s="2048"/>
      <c r="H38" s="2063"/>
      <c r="I38" s="843" t="s">
        <v>1817</v>
      </c>
      <c r="J38" s="844"/>
      <c r="K38" s="2069"/>
      <c r="L38" s="2063"/>
      <c r="M38" s="2063"/>
    </row>
    <row r="39" spans="1:18" ht="24.6" customHeight="1" thickTop="1">
      <c r="A39" s="1815" t="s">
        <v>1894</v>
      </c>
      <c r="B39" s="2963" t="s">
        <v>2821</v>
      </c>
      <c r="C39" s="792">
        <f ca="1">C5-C30</f>
        <v>157</v>
      </c>
      <c r="D39" s="2513" t="s">
        <v>1806</v>
      </c>
      <c r="E39" s="2514"/>
      <c r="F39" s="2515"/>
      <c r="G39" s="2048"/>
      <c r="H39" s="2063"/>
      <c r="I39" s="837" t="s">
        <v>1818</v>
      </c>
      <c r="J39" s="845">
        <f ca="1">ROUND(J35/C39,3)</f>
        <v>0</v>
      </c>
      <c r="K39" s="2069"/>
      <c r="L39" s="2063"/>
      <c r="M39" s="2063"/>
    </row>
    <row r="40" spans="1:18" ht="18" customHeight="1">
      <c r="A40" s="781" t="s">
        <v>1895</v>
      </c>
      <c r="B40" s="2218" t="s">
        <v>2301</v>
      </c>
      <c r="C40" s="783">
        <f ca="1">ROUND(C39*(1-((1+F42)/(1+F40))^F41)/(F40-F42),0)</f>
        <v>2834</v>
      </c>
      <c r="D40" s="814" t="s">
        <v>1807</v>
      </c>
      <c r="E40" s="784" t="s">
        <v>2419</v>
      </c>
      <c r="F40" s="794">
        <f ca="1">INDIRECT("'数据-取费表'!I"&amp;$G$1)</f>
        <v>5.5E-2</v>
      </c>
      <c r="G40" s="2048"/>
      <c r="H40" s="2048"/>
      <c r="I40" s="837" t="s">
        <v>1819</v>
      </c>
      <c r="J40" s="845">
        <f ca="1">1-J39</f>
        <v>1</v>
      </c>
      <c r="K40" s="2069"/>
      <c r="L40" s="2048"/>
      <c r="M40" s="2048"/>
    </row>
    <row r="41" spans="1:18" ht="18" customHeight="1">
      <c r="A41" s="786"/>
      <c r="B41" s="787"/>
      <c r="C41" s="788"/>
      <c r="D41" s="821" t="s">
        <v>1808</v>
      </c>
      <c r="E41" s="784" t="s">
        <v>2964</v>
      </c>
      <c r="F41" s="822">
        <f ca="1">IF(INDIRECT("'数据-取费表'!af"&amp;$G$1)=0,INDIRECT("'数据-取费表'!ae"&amp;$G$1),INDIRECT("'数据-取费表'!af"&amp;$G$1))</f>
        <v>29.62</v>
      </c>
      <c r="G41" s="2048"/>
      <c r="H41" s="1974"/>
      <c r="I41" s="843" t="s">
        <v>1820</v>
      </c>
      <c r="J41" s="846"/>
      <c r="K41" s="2068"/>
      <c r="L41" s="1974"/>
      <c r="M41" s="1974"/>
    </row>
    <row r="42" spans="1:18" ht="18" customHeight="1">
      <c r="A42" s="790"/>
      <c r="B42" s="791"/>
      <c r="C42" s="792"/>
      <c r="D42" s="816"/>
      <c r="E42" s="784" t="s">
        <v>1809</v>
      </c>
      <c r="F42" s="794">
        <f ca="1">INDIRECT("'数据-取费表'!v"&amp;$G$1)</f>
        <v>0.02</v>
      </c>
      <c r="G42" s="2048"/>
      <c r="H42" s="1974"/>
      <c r="I42" s="847" t="s">
        <v>1821</v>
      </c>
      <c r="J42" s="845">
        <f ca="1">ROUND(C13/C40,3)</f>
        <v>0</v>
      </c>
      <c r="K42" s="2068"/>
      <c r="L42" s="1974"/>
      <c r="M42" s="1974"/>
    </row>
    <row r="43" spans="1:18" ht="18" customHeight="1" thickBot="1">
      <c r="A43" s="823" t="s">
        <v>1787</v>
      </c>
      <c r="B43" s="824" t="s">
        <v>1810</v>
      </c>
      <c r="C43" s="825">
        <f ca="1">ROUND(C40*10000/F43,0)</f>
        <v>6074</v>
      </c>
      <c r="D43" s="826" t="s">
        <v>1811</v>
      </c>
      <c r="E43" s="827" t="s">
        <v>1812</v>
      </c>
      <c r="F43" s="828">
        <f ca="1">INDIRECT("'数据-取费表'!k"&amp;$G$1)</f>
        <v>4666</v>
      </c>
      <c r="G43" s="2048"/>
      <c r="H43" s="1974"/>
      <c r="I43" s="847" t="s">
        <v>1822</v>
      </c>
      <c r="J43" s="848">
        <f ca="1">1-J42</f>
        <v>1</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-3297</v>
      </c>
      <c r="D46" s="2071"/>
      <c r="E46" s="2071"/>
      <c r="F46" s="2071"/>
      <c r="I46" s="2343" t="s">
        <v>2343</v>
      </c>
      <c r="J46" s="2344"/>
      <c r="K46" s="2345"/>
      <c r="L46" s="3109">
        <f>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3033</v>
      </c>
      <c r="K47" s="3106" t="s">
        <v>2349</v>
      </c>
      <c r="L47" s="3110">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t="s">
        <v>2350</v>
      </c>
      <c r="K48" s="3107" t="s">
        <v>2351</v>
      </c>
      <c r="L48" s="1894">
        <f ca="1">INDIRECT("'数据-取费表'!f"&amp;$G$1)</f>
        <v>31.62</v>
      </c>
      <c r="O48" s="2363" t="s">
        <v>2379</v>
      </c>
      <c r="P48" s="2364" t="s">
        <v>2405</v>
      </c>
      <c r="Q48" s="2365">
        <f ca="1">C40+J29</f>
        <v>2834</v>
      </c>
      <c r="R48" s="2364" t="s">
        <v>2380</v>
      </c>
    </row>
    <row r="49" spans="1:18" s="2045" customFormat="1" ht="18" customHeight="1" thickBot="1">
      <c r="A49" s="786"/>
      <c r="B49" s="787"/>
      <c r="C49" s="788"/>
      <c r="D49" s="789"/>
      <c r="E49" s="784" t="s">
        <v>1739</v>
      </c>
      <c r="F49" s="785">
        <f ca="1">F7</f>
        <v>4666</v>
      </c>
      <c r="G49" s="2076"/>
      <c r="H49" s="2079"/>
      <c r="I49" s="3079" t="s">
        <v>2346</v>
      </c>
      <c r="J49" s="2348">
        <v>2019</v>
      </c>
      <c r="K49" s="3108" t="s">
        <v>2352</v>
      </c>
      <c r="L49" s="2349"/>
      <c r="O49" s="2363" t="s">
        <v>2381</v>
      </c>
      <c r="P49" s="2364" t="s">
        <v>2406</v>
      </c>
      <c r="Q49" s="2365">
        <f ca="1">J60</f>
        <v>79</v>
      </c>
      <c r="R49" s="2364" t="s">
        <v>2382</v>
      </c>
    </row>
    <row r="50" spans="1:18" s="2045" customFormat="1" ht="18" customHeight="1" thickBot="1">
      <c r="A50" s="786"/>
      <c r="B50" s="787"/>
      <c r="C50" s="788"/>
      <c r="D50" s="789"/>
      <c r="E50" s="784" t="s">
        <v>1740</v>
      </c>
      <c r="F50" s="785">
        <f ca="1">F8</f>
        <v>365</v>
      </c>
      <c r="G50" s="2081"/>
      <c r="H50" s="2079"/>
      <c r="I50" s="3079" t="s">
        <v>2347</v>
      </c>
      <c r="J50" s="3104">
        <f>SUMPRODUCT((I63:I65=J47)*(J62:L62=J48)*(J63:L65))</f>
        <v>60</v>
      </c>
      <c r="K50" s="3108" t="s">
        <v>2353</v>
      </c>
      <c r="L50" s="2349"/>
      <c r="O50" s="2366" t="s">
        <v>2383</v>
      </c>
      <c r="P50" s="2364" t="s">
        <v>2407</v>
      </c>
      <c r="Q50" s="2365">
        <f ca="1">C29</f>
        <v>2137</v>
      </c>
      <c r="R50" s="2364" t="s">
        <v>2380</v>
      </c>
    </row>
    <row r="51" spans="1:18" s="2045" customFormat="1" ht="18" customHeight="1" thickBot="1">
      <c r="A51" s="786"/>
      <c r="B51" s="787"/>
      <c r="C51" s="788"/>
      <c r="D51" s="789"/>
      <c r="E51" s="784" t="s">
        <v>640</v>
      </c>
      <c r="F51" s="2336"/>
      <c r="H51" s="2079"/>
      <c r="I51" s="3101" t="s">
        <v>2348</v>
      </c>
      <c r="J51" s="3105">
        <f>IF(J49="",J50,J49+J50-YEAR('数据-取费表'!B2))</f>
        <v>60</v>
      </c>
      <c r="K51" s="3079" t="s">
        <v>2354</v>
      </c>
      <c r="L51" s="3111">
        <f ca="1">ROUND(-PV(INDIRECT("'数据-取费表'!h"&amp;$G$1),L48,(C39-C13*J36),0),0)</f>
        <v>2469</v>
      </c>
      <c r="O51" s="2366" t="s">
        <v>2384</v>
      </c>
      <c r="P51" s="2364" t="s">
        <v>2385</v>
      </c>
      <c r="Q51" s="2367">
        <f ca="1">J58</f>
        <v>0.47299999999999998</v>
      </c>
      <c r="R51" s="2368"/>
    </row>
    <row r="52" spans="1:18" s="2045" customFormat="1" ht="18" customHeight="1" thickBot="1">
      <c r="A52" s="781" t="s">
        <v>2536</v>
      </c>
      <c r="B52" s="2459" t="s">
        <v>2459</v>
      </c>
      <c r="C52" s="799">
        <f ca="1">ROUND(IF(F52="押一",C48/12*F11,IF(F52="押二",C48/12*2*F11,IF(F52="押三",C48/12*3*F11,C53*F11))),0)</f>
        <v>0</v>
      </c>
      <c r="D52" s="2466" t="s">
        <v>2975</v>
      </c>
      <c r="E52" s="2463" t="s">
        <v>2464</v>
      </c>
      <c r="F52" s="2586"/>
      <c r="I52" s="3102" t="s">
        <v>2421</v>
      </c>
      <c r="J52" s="2350">
        <v>0.09</v>
      </c>
      <c r="K52" s="3102" t="s">
        <v>2420</v>
      </c>
      <c r="L52" s="2350"/>
      <c r="O52" s="2366" t="s">
        <v>2386</v>
      </c>
      <c r="P52" s="2364" t="s">
        <v>2387</v>
      </c>
      <c r="Q52" s="2367">
        <f>J52</f>
        <v>0.09</v>
      </c>
      <c r="R52" s="2368"/>
    </row>
    <row r="53" spans="1:18" s="2045" customFormat="1" ht="39.75" customHeight="1" thickBot="1">
      <c r="A53" s="786"/>
      <c r="B53" s="2460" t="s">
        <v>2573</v>
      </c>
      <c r="C53" s="2464"/>
      <c r="D53" s="2466"/>
      <c r="E53" s="2463"/>
      <c r="F53" s="800"/>
      <c r="I53" s="3103" t="s">
        <v>2978</v>
      </c>
      <c r="J53" s="3182">
        <f ca="1">IF(M47="住宅",IF(D1="——",MAX(J51,L48),MAX(J51,L48-'数据-取费表'!B20)),IF(D1="——",MIN(J51,L48),MIN(J51,L48-'数据-取费表'!B20)))</f>
        <v>29.62</v>
      </c>
      <c r="K53" s="3449" t="s">
        <v>2966</v>
      </c>
      <c r="L53" s="3450"/>
      <c r="O53" s="2366" t="s">
        <v>2388</v>
      </c>
      <c r="P53" s="2364" t="s">
        <v>2389</v>
      </c>
      <c r="Q53" s="2365">
        <f ca="1">J53</f>
        <v>29.62</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2913</v>
      </c>
      <c r="R54" s="2368" t="s">
        <v>2392</v>
      </c>
    </row>
    <row r="55" spans="1:18" s="2045" customFormat="1" ht="18" customHeight="1" thickTop="1" thickBot="1">
      <c r="A55" s="797">
        <v>2</v>
      </c>
      <c r="B55" s="798" t="s">
        <v>644</v>
      </c>
      <c r="C55" s="799">
        <f ca="1">C13</f>
        <v>0</v>
      </c>
      <c r="D55" s="795"/>
      <c r="E55" s="795"/>
      <c r="F55" s="800"/>
      <c r="I55" s="3114" t="s">
        <v>2355</v>
      </c>
      <c r="J55" s="3054">
        <f ca="1">ROUND(IF(J47="钢混",J57/J50,1-(1-2%)*(J50-J57)/J50),3)</f>
        <v>0.47299999999999998</v>
      </c>
      <c r="K55" s="3115" t="s">
        <v>2356</v>
      </c>
      <c r="L55" s="2351"/>
      <c r="O55" s="2369" t="s">
        <v>2411</v>
      </c>
      <c r="P55" s="1579"/>
      <c r="Q55" s="1590"/>
      <c r="R55" s="1579"/>
    </row>
    <row r="56" spans="1:18" s="2045" customFormat="1" ht="42.75" customHeight="1" thickBot="1">
      <c r="A56" s="1636"/>
      <c r="B56" s="2217" t="s">
        <v>2302</v>
      </c>
      <c r="C56" s="53">
        <f ca="1">C29</f>
        <v>2137</v>
      </c>
      <c r="D56" s="2604"/>
      <c r="E56" s="784"/>
      <c r="F56" s="809"/>
      <c r="I56" s="3116" t="s">
        <v>2357</v>
      </c>
      <c r="J56" s="3126" t="s">
        <v>3006</v>
      </c>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32</v>
      </c>
      <c r="D57" s="26" t="s">
        <v>1750</v>
      </c>
      <c r="E57" s="2605"/>
      <c r="F57" s="56"/>
      <c r="I57" s="3117" t="s">
        <v>2358</v>
      </c>
      <c r="J57" s="3118">
        <f ca="1">IF(OR(M47="住宅",J51&lt;L48,J56="是"),"——",J51-L48)</f>
        <v>28.38</v>
      </c>
      <c r="K57" s="3079" t="s">
        <v>2363</v>
      </c>
      <c r="L57" s="1894" t="str">
        <f ca="1">IF(L48&lt;J51,"——",IF(L55="比较法",L49,IF(L55="基准地价",L50,L51)))</f>
        <v>——</v>
      </c>
      <c r="O57" s="2363" t="s">
        <v>2379</v>
      </c>
      <c r="P57" s="2364" t="s">
        <v>2409</v>
      </c>
      <c r="Q57" s="2365">
        <f ca="1">C40+J29</f>
        <v>2834</v>
      </c>
      <c r="R57" s="2364" t="s">
        <v>2380</v>
      </c>
    </row>
    <row r="58" spans="1:18" s="2045" customFormat="1" ht="28.5" customHeight="1" thickBot="1">
      <c r="A58" s="1635" t="s">
        <v>1824</v>
      </c>
      <c r="B58" s="784" t="s">
        <v>656</v>
      </c>
      <c r="C58" s="53">
        <f ca="1">ROUND(IF(项目基本情况!B11="自然人",C47*F58,C59+C60+C61),1)</f>
        <v>0</v>
      </c>
      <c r="D58" s="2603" t="s">
        <v>657</v>
      </c>
      <c r="E58" s="2604" t="s">
        <v>690</v>
      </c>
      <c r="F58" s="810" t="str">
        <f ca="1">IF(项目基本情况!B11="企业","",IF(INDIRECT("'数据-取费表'!c"&amp;$G$1)="住宅",5%,IF(F48*F49*F50/12/(1+'数据-取费表'!C42)&gt;20000,12%,7%)))</f>
        <v/>
      </c>
      <c r="I58" s="3117" t="s">
        <v>2359</v>
      </c>
      <c r="J58" s="3055">
        <f ca="1">IF(J55&lt;0.4,0.4,J55)</f>
        <v>0.47299999999999998</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7" t="s">
        <v>2360</v>
      </c>
      <c r="J59" s="3118">
        <f ca="1">IF(OR(M47="住宅",J51&lt;L48,J56="是"),"——",ROUND(C29*J58,0))</f>
        <v>1011</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2361</v>
      </c>
      <c r="J60" s="3120">
        <f ca="1">IF(OR(M47="住宅",J51&lt;L48,J56="是"),"0",ROUND(J59/(1+J52)^J53,0))</f>
        <v>79</v>
      </c>
      <c r="K60" s="3121" t="s">
        <v>2366</v>
      </c>
      <c r="L60" s="3120">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0</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2044.02</v>
      </c>
      <c r="I62" s="3122" t="s">
        <v>2367</v>
      </c>
      <c r="J62" s="3123" t="s">
        <v>2368</v>
      </c>
      <c r="K62" s="3123" t="s">
        <v>2369</v>
      </c>
      <c r="L62" s="3123" t="s">
        <v>2350</v>
      </c>
      <c r="M62" s="3124" t="s">
        <v>2943</v>
      </c>
      <c r="O62" s="2366" t="s">
        <v>2388</v>
      </c>
      <c r="P62" s="2364" t="str">
        <f>K59</f>
        <v>建设期及建筑物耐用年限下的土地年期修正系数Kn</v>
      </c>
      <c r="Q62" s="2365" t="e">
        <f ca="1">L59</f>
        <v>#DIV/0!</v>
      </c>
      <c r="R62" s="2368" t="s">
        <v>2397</v>
      </c>
    </row>
    <row r="63" spans="1:18" s="2045" customFormat="1" ht="15.75" thickBot="1">
      <c r="A63" s="1635" t="s">
        <v>1889</v>
      </c>
      <c r="B63" s="784" t="s">
        <v>676</v>
      </c>
      <c r="C63" s="53">
        <f ca="1">ROUND(C56*F63,1)</f>
        <v>32.1</v>
      </c>
      <c r="D63" s="2604" t="s">
        <v>1803</v>
      </c>
      <c r="E63" s="784" t="s">
        <v>1747</v>
      </c>
      <c r="F63" s="817">
        <f t="shared" ca="1" si="0"/>
        <v>1.4999999999999999E-2</v>
      </c>
      <c r="I63" s="3122" t="s">
        <v>2370</v>
      </c>
      <c r="J63" s="3123">
        <v>70</v>
      </c>
      <c r="K63" s="3123">
        <v>50</v>
      </c>
      <c r="L63" s="3123">
        <v>80</v>
      </c>
      <c r="M63" s="3125">
        <v>0.02</v>
      </c>
      <c r="O63" s="2363" t="s">
        <v>2391</v>
      </c>
      <c r="P63" s="2364" t="s">
        <v>2408</v>
      </c>
      <c r="Q63" s="2365">
        <f ca="1">Q57+Q58</f>
        <v>2834</v>
      </c>
      <c r="R63" s="2368" t="s">
        <v>2392</v>
      </c>
    </row>
    <row r="64" spans="1:18" s="2045" customFormat="1" ht="16.5" thickBot="1">
      <c r="A64" s="1635" t="s">
        <v>1890</v>
      </c>
      <c r="B64" s="784" t="s">
        <v>679</v>
      </c>
      <c r="C64" s="53">
        <f ca="1">ROUND(C55*F64,1)</f>
        <v>0</v>
      </c>
      <c r="D64" s="2604" t="s">
        <v>680</v>
      </c>
      <c r="E64" s="784" t="s">
        <v>1747</v>
      </c>
      <c r="F64" s="818">
        <f t="shared" ca="1" si="0"/>
        <v>1.5E-3</v>
      </c>
      <c r="I64" s="3122" t="s">
        <v>2371</v>
      </c>
      <c r="J64" s="3123">
        <v>50</v>
      </c>
      <c r="K64" s="3123">
        <v>35</v>
      </c>
      <c r="L64" s="3123">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0.01</v>
      </c>
      <c r="I65" s="3122" t="s">
        <v>2372</v>
      </c>
      <c r="J65" s="3123">
        <v>40</v>
      </c>
      <c r="K65" s="3123">
        <v>30</v>
      </c>
      <c r="L65" s="3123">
        <v>50</v>
      </c>
      <c r="M65" s="3125">
        <v>0.02</v>
      </c>
      <c r="O65" s="2360" t="s">
        <v>2375</v>
      </c>
      <c r="P65" s="2361" t="s">
        <v>2376</v>
      </c>
      <c r="Q65" s="2362" t="s">
        <v>2377</v>
      </c>
      <c r="R65" s="2361" t="s">
        <v>2378</v>
      </c>
    </row>
    <row r="66" spans="1:18" s="2045" customFormat="1" ht="24.75" thickBot="1">
      <c r="A66" s="797" t="s">
        <v>1776</v>
      </c>
      <c r="B66" s="2964" t="s">
        <v>2821</v>
      </c>
      <c r="C66" s="799">
        <f ca="1">C47-C57</f>
        <v>-32</v>
      </c>
      <c r="D66" s="2603" t="s">
        <v>700</v>
      </c>
      <c r="E66" s="2602"/>
      <c r="F66" s="820"/>
      <c r="K66" s="2072"/>
      <c r="O66" s="2363" t="s">
        <v>2379</v>
      </c>
      <c r="P66" s="2364" t="s">
        <v>2409</v>
      </c>
      <c r="Q66" s="2365">
        <f ca="1">C40+J29</f>
        <v>2834</v>
      </c>
      <c r="R66" s="2364" t="s">
        <v>2380</v>
      </c>
    </row>
    <row r="67" spans="1:18" s="2045" customFormat="1" ht="20.25" thickBot="1">
      <c r="A67" s="781" t="s">
        <v>1780</v>
      </c>
      <c r="B67" s="2218" t="s">
        <v>2301</v>
      </c>
      <c r="C67" s="783">
        <f ca="1">ROUND(C66*(1-((1+F69)/(1+F67))^F68)/(F67-F69),0)</f>
        <v>-463</v>
      </c>
      <c r="D67" s="814" t="s">
        <v>704</v>
      </c>
      <c r="E67" s="784" t="s">
        <v>705</v>
      </c>
      <c r="F67" s="794">
        <f ca="1">F40</f>
        <v>5.5E-2</v>
      </c>
      <c r="K67" s="2072"/>
      <c r="O67" s="2363" t="s">
        <v>2381</v>
      </c>
      <c r="P67" s="2364" t="s">
        <v>2412</v>
      </c>
      <c r="Q67" s="2365">
        <f ca="1">L60</f>
        <v>0</v>
      </c>
      <c r="R67" s="2368" t="s">
        <v>2414</v>
      </c>
    </row>
    <row r="68" spans="1:18" ht="21.75" thickBot="1">
      <c r="A68" s="786"/>
      <c r="B68" s="787"/>
      <c r="C68" s="788"/>
      <c r="D68" s="821" t="s">
        <v>1808</v>
      </c>
      <c r="E68" s="784" t="s">
        <v>1784</v>
      </c>
      <c r="F68" s="822">
        <f ca="1">F41</f>
        <v>29.62</v>
      </c>
      <c r="O68" s="2366" t="s">
        <v>2383</v>
      </c>
      <c r="P68" s="2364" t="s">
        <v>2413</v>
      </c>
      <c r="Q68" s="2370">
        <f ca="1">L51</f>
        <v>2469</v>
      </c>
      <c r="R68" s="2371" t="s">
        <v>2416</v>
      </c>
    </row>
    <row r="69" spans="1:18" ht="20.25" thickBot="1">
      <c r="A69" s="790"/>
      <c r="B69" s="791"/>
      <c r="C69" s="792"/>
      <c r="D69" s="816"/>
      <c r="E69" s="784" t="s">
        <v>710</v>
      </c>
      <c r="F69" s="2336"/>
      <c r="O69" s="2366" t="s">
        <v>2384</v>
      </c>
      <c r="P69" s="2372" t="s">
        <v>2398</v>
      </c>
      <c r="Q69" s="2365">
        <f ca="1">ROUND(Q70-Q71*Q72,0)</f>
        <v>157</v>
      </c>
      <c r="R69" s="2368"/>
    </row>
    <row r="70" spans="1:18" ht="15.75" thickBot="1">
      <c r="A70" s="823" t="s">
        <v>1787</v>
      </c>
      <c r="B70" s="824" t="s">
        <v>1810</v>
      </c>
      <c r="C70" s="825">
        <f ca="1">ROUND(C67*10000/F70,0)</f>
        <v>-992</v>
      </c>
      <c r="D70" s="826" t="s">
        <v>1811</v>
      </c>
      <c r="E70" s="827" t="s">
        <v>1812</v>
      </c>
      <c r="F70" s="828">
        <f ca="1">F43</f>
        <v>4666</v>
      </c>
      <c r="O70" s="2366" t="s">
        <v>2399</v>
      </c>
      <c r="P70" s="2372" t="s">
        <v>2400</v>
      </c>
      <c r="Q70" s="2365">
        <f ca="1">C39</f>
        <v>157</v>
      </c>
      <c r="R70" s="2364" t="s">
        <v>2380</v>
      </c>
    </row>
    <row r="71" spans="1:18" ht="15.75" thickBot="1">
      <c r="O71" s="2366" t="s">
        <v>2401</v>
      </c>
      <c r="P71" s="2372" t="s">
        <v>2402</v>
      </c>
      <c r="Q71" s="2365">
        <f ca="1">C13</f>
        <v>0</v>
      </c>
      <c r="R71" s="2364" t="s">
        <v>2380</v>
      </c>
    </row>
    <row r="72" spans="1:18" ht="15.75" thickBot="1">
      <c r="O72" s="2366" t="s">
        <v>2403</v>
      </c>
      <c r="P72" s="2372" t="s">
        <v>2404</v>
      </c>
      <c r="Q72" s="2367">
        <f ca="1">J36</f>
        <v>8.5000000000000006E-2</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建设期及建筑物耐用年限下的土地年期修正系数Kn</v>
      </c>
      <c r="Q75" s="2365" t="e">
        <f ca="1">L59</f>
        <v>#DIV/0!</v>
      </c>
      <c r="R75" s="2368" t="s">
        <v>2397</v>
      </c>
    </row>
    <row r="76" spans="1:18" ht="15.75" thickBot="1">
      <c r="O76" s="2363" t="s">
        <v>2391</v>
      </c>
      <c r="P76" s="2364" t="s">
        <v>2408</v>
      </c>
      <c r="Q76" s="2365">
        <f ca="1">Q66+Q67</f>
        <v>2834</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8" sqref="D38"/>
    </sheetView>
  </sheetViews>
  <sheetFormatPr defaultRowHeight="13.5"/>
  <cols>
    <col min="1" max="1" width="10.5" customWidth="1"/>
    <col min="2" max="2" width="12.875" customWidth="1"/>
    <col min="3" max="3" width="8.75" customWidth="1"/>
  </cols>
  <sheetData>
    <row r="1" spans="1:9" ht="14.25">
      <c r="A1" s="3451" t="s">
        <v>2471</v>
      </c>
      <c r="B1" s="3452"/>
      <c r="C1" s="3453"/>
      <c r="D1" s="3454">
        <f>SUM(I10,I15,I20,I21,I23)</f>
        <v>0</v>
      </c>
      <c r="E1" s="3454"/>
      <c r="F1" s="3454"/>
      <c r="G1" s="3454"/>
      <c r="H1" s="3454"/>
      <c r="I1" s="3455"/>
    </row>
    <row r="2" spans="1:9">
      <c r="A2" s="3456" t="s">
        <v>2472</v>
      </c>
      <c r="B2" s="3457" t="s">
        <v>2473</v>
      </c>
      <c r="C2" s="3457"/>
      <c r="D2" s="2472" t="s">
        <v>2474</v>
      </c>
      <c r="E2" s="2472" t="s">
        <v>2475</v>
      </c>
      <c r="F2" s="2472" t="s">
        <v>2476</v>
      </c>
      <c r="G2" s="2472" t="s">
        <v>2477</v>
      </c>
      <c r="H2" s="2472" t="s">
        <v>2478</v>
      </c>
      <c r="I2" s="2473" t="s">
        <v>2479</v>
      </c>
    </row>
    <row r="3" spans="1:9">
      <c r="A3" s="3456"/>
      <c r="B3" s="3457" t="s">
        <v>2480</v>
      </c>
      <c r="C3" s="3457"/>
      <c r="D3" s="2474"/>
      <c r="E3" s="2472"/>
      <c r="F3" s="2475"/>
      <c r="G3" s="2475"/>
      <c r="H3" s="2476"/>
      <c r="I3" s="2477">
        <f>ROUND(D3*E3*F3*G3*H3/10000,0)</f>
        <v>0</v>
      </c>
    </row>
    <row r="4" spans="1:9">
      <c r="A4" s="3456"/>
      <c r="B4" s="3457" t="s">
        <v>2481</v>
      </c>
      <c r="C4" s="3457"/>
      <c r="D4" s="2474"/>
      <c r="E4" s="2472"/>
      <c r="F4" s="2475"/>
      <c r="G4" s="2475"/>
      <c r="H4" s="2476"/>
      <c r="I4" s="2477">
        <f t="shared" ref="I4:I9" si="0">ROUND(D4*E4*F4*G4*H4/10000,0)</f>
        <v>0</v>
      </c>
    </row>
    <row r="5" spans="1:9">
      <c r="A5" s="3456"/>
      <c r="B5" s="3457" t="s">
        <v>2482</v>
      </c>
      <c r="C5" s="3457"/>
      <c r="D5" s="2474"/>
      <c r="E5" s="2472"/>
      <c r="F5" s="2475"/>
      <c r="G5" s="2475"/>
      <c r="H5" s="2476"/>
      <c r="I5" s="2477">
        <f t="shared" si="0"/>
        <v>0</v>
      </c>
    </row>
    <row r="6" spans="1:9">
      <c r="A6" s="3456"/>
      <c r="B6" s="3457" t="s">
        <v>2483</v>
      </c>
      <c r="C6" s="3457"/>
      <c r="D6" s="2474"/>
      <c r="E6" s="2472"/>
      <c r="F6" s="2475"/>
      <c r="G6" s="2475"/>
      <c r="H6" s="2476"/>
      <c r="I6" s="2477">
        <f t="shared" si="0"/>
        <v>0</v>
      </c>
    </row>
    <row r="7" spans="1:9">
      <c r="A7" s="3456"/>
      <c r="B7" s="3457" t="s">
        <v>2484</v>
      </c>
      <c r="C7" s="3457"/>
      <c r="D7" s="2474"/>
      <c r="E7" s="2472"/>
      <c r="F7" s="2475"/>
      <c r="G7" s="2475"/>
      <c r="H7" s="2476"/>
      <c r="I7" s="2477">
        <f t="shared" si="0"/>
        <v>0</v>
      </c>
    </row>
    <row r="8" spans="1:9">
      <c r="A8" s="3456"/>
      <c r="B8" s="3457" t="s">
        <v>2485</v>
      </c>
      <c r="C8" s="3457"/>
      <c r="D8" s="2474"/>
      <c r="E8" s="2472"/>
      <c r="F8" s="2475"/>
      <c r="G8" s="2475"/>
      <c r="H8" s="2476"/>
      <c r="I8" s="2477">
        <f t="shared" si="0"/>
        <v>0</v>
      </c>
    </row>
    <row r="9" spans="1:9">
      <c r="A9" s="3456"/>
      <c r="B9" s="3457" t="s">
        <v>2486</v>
      </c>
      <c r="C9" s="3457"/>
      <c r="D9" s="2474"/>
      <c r="E9" s="2472"/>
      <c r="F9" s="2475"/>
      <c r="G9" s="2475"/>
      <c r="H9" s="2476"/>
      <c r="I9" s="2477">
        <f t="shared" si="0"/>
        <v>0</v>
      </c>
    </row>
    <row r="10" spans="1:9">
      <c r="A10" s="3456"/>
      <c r="B10" s="3458" t="s">
        <v>2487</v>
      </c>
      <c r="C10" s="3458"/>
      <c r="D10" s="2478">
        <v>527</v>
      </c>
      <c r="E10" s="2478" t="e">
        <f>ROUND(D1*10000/D10/H9,0)</f>
        <v>#DIV/0!</v>
      </c>
      <c r="F10" s="2479"/>
      <c r="G10" s="2479"/>
      <c r="H10" s="2480"/>
      <c r="I10" s="2481">
        <f>SUM(I3:I9)</f>
        <v>0</v>
      </c>
    </row>
    <row r="11" spans="1:9" ht="14.25">
      <c r="A11" s="3456" t="s">
        <v>2488</v>
      </c>
      <c r="B11" s="3457" t="s">
        <v>2489</v>
      </c>
      <c r="C11" s="3457"/>
      <c r="D11" s="2474" t="s">
        <v>2490</v>
      </c>
      <c r="E11" s="2474" t="s">
        <v>2491</v>
      </c>
      <c r="F11" s="2475" t="s">
        <v>2492</v>
      </c>
      <c r="G11" s="2475" t="s">
        <v>2493</v>
      </c>
      <c r="H11" s="2482" t="s">
        <v>2494</v>
      </c>
      <c r="I11" s="2473" t="s">
        <v>2495</v>
      </c>
    </row>
    <row r="12" spans="1:9">
      <c r="A12" s="3456"/>
      <c r="B12" s="3457" t="s">
        <v>2496</v>
      </c>
      <c r="C12" s="3457"/>
      <c r="D12" s="2474"/>
      <c r="E12" s="2474"/>
      <c r="F12" s="2475"/>
      <c r="G12" s="2476"/>
      <c r="H12" s="2483"/>
      <c r="I12" s="2473">
        <f>ROUND(D12*E12*F12*G12/10000,0)</f>
        <v>0</v>
      </c>
    </row>
    <row r="13" spans="1:9">
      <c r="A13" s="3456"/>
      <c r="B13" s="3457" t="s">
        <v>2497</v>
      </c>
      <c r="C13" s="3457"/>
      <c r="D13" s="2474"/>
      <c r="E13" s="2474"/>
      <c r="F13" s="2475"/>
      <c r="G13" s="2476"/>
      <c r="H13" s="2483"/>
      <c r="I13" s="2473">
        <f>ROUND(D13*E13*F13*G13/10000,0)</f>
        <v>0</v>
      </c>
    </row>
    <row r="14" spans="1:9">
      <c r="A14" s="3456"/>
      <c r="B14" s="3457" t="s">
        <v>2498</v>
      </c>
      <c r="C14" s="3457"/>
      <c r="D14" s="2474"/>
      <c r="E14" s="2474"/>
      <c r="F14" s="2475"/>
      <c r="G14" s="2476"/>
      <c r="H14" s="2483"/>
      <c r="I14" s="2473">
        <f>ROUND(D14*E14*F14*G14/10000,0)</f>
        <v>0</v>
      </c>
    </row>
    <row r="15" spans="1:9">
      <c r="A15" s="3456"/>
      <c r="B15" s="3458" t="s">
        <v>2487</v>
      </c>
      <c r="C15" s="3458"/>
      <c r="D15" s="2478"/>
      <c r="E15" s="2478">
        <f>SUM(E12:E14)</f>
        <v>0</v>
      </c>
      <c r="F15" s="2479"/>
      <c r="G15" s="2476"/>
      <c r="H15" s="2483"/>
      <c r="I15" s="2484">
        <f>SUM(I12:I14)</f>
        <v>0</v>
      </c>
    </row>
    <row r="16" spans="1:9" ht="24">
      <c r="A16" s="3456" t="s">
        <v>2499</v>
      </c>
      <c r="B16" s="3457" t="s">
        <v>2500</v>
      </c>
      <c r="C16" s="3457"/>
      <c r="D16" s="2474" t="s">
        <v>2501</v>
      </c>
      <c r="E16" s="2485" t="s">
        <v>2502</v>
      </c>
      <c r="F16" s="2475" t="s">
        <v>2503</v>
      </c>
      <c r="G16" s="2476" t="s">
        <v>2493</v>
      </c>
      <c r="H16" s="2482" t="s">
        <v>2494</v>
      </c>
      <c r="I16" s="2473" t="s">
        <v>2495</v>
      </c>
    </row>
    <row r="17" spans="1:9" ht="14.25">
      <c r="A17" s="3456"/>
      <c r="B17" s="3457" t="s">
        <v>2504</v>
      </c>
      <c r="C17" s="3457"/>
      <c r="D17" s="2474"/>
      <c r="E17" s="2474"/>
      <c r="F17" s="2475"/>
      <c r="G17" s="2476"/>
      <c r="H17" s="2486"/>
      <c r="I17" s="2487">
        <f>ROUND(D17*E17*F17*G17/10000,0)</f>
        <v>0</v>
      </c>
    </row>
    <row r="18" spans="1:9" ht="14.25">
      <c r="A18" s="3456"/>
      <c r="B18" s="3457" t="s">
        <v>2505</v>
      </c>
      <c r="C18" s="3457"/>
      <c r="D18" s="2474"/>
      <c r="E18" s="2474"/>
      <c r="F18" s="2475"/>
      <c r="G18" s="2476"/>
      <c r="H18" s="2486"/>
      <c r="I18" s="2487">
        <f>ROUND(D18*E18*F18*G18/10000,0)</f>
        <v>0</v>
      </c>
    </row>
    <row r="19" spans="1:9" ht="14.25">
      <c r="A19" s="3456"/>
      <c r="B19" s="3457" t="s">
        <v>2506</v>
      </c>
      <c r="C19" s="3457"/>
      <c r="D19" s="2474"/>
      <c r="E19" s="2474"/>
      <c r="F19" s="2475"/>
      <c r="G19" s="2476"/>
      <c r="H19" s="2486"/>
      <c r="I19" s="2487">
        <f>ROUND(D19*E19*F19*G19/10000,0)</f>
        <v>0</v>
      </c>
    </row>
    <row r="20" spans="1:9">
      <c r="A20" s="3456"/>
      <c r="B20" s="3458" t="s">
        <v>2487</v>
      </c>
      <c r="C20" s="3458"/>
      <c r="D20" s="2478">
        <f>SUM(D17:D19)</f>
        <v>0</v>
      </c>
      <c r="E20" s="2478"/>
      <c r="F20" s="2479"/>
      <c r="G20" s="2476"/>
      <c r="H20" s="2483"/>
      <c r="I20" s="2484">
        <f>SUM(I17:I19)</f>
        <v>0</v>
      </c>
    </row>
    <row r="21" spans="1:9">
      <c r="A21" s="3456" t="s">
        <v>2507</v>
      </c>
      <c r="B21" s="3460"/>
      <c r="C21" s="3460"/>
      <c r="D21" s="3460"/>
      <c r="E21" s="3460"/>
      <c r="F21" s="3460"/>
      <c r="G21" s="3460"/>
      <c r="H21" s="2488">
        <v>0.1</v>
      </c>
      <c r="I21" s="2481">
        <f>ROUND(I10*H21,0)</f>
        <v>0</v>
      </c>
    </row>
    <row r="22" spans="1:9" ht="14.25">
      <c r="A22" s="3461" t="s">
        <v>2508</v>
      </c>
      <c r="B22" s="3462"/>
      <c r="C22" s="3463"/>
      <c r="D22" s="2489" t="s">
        <v>2509</v>
      </c>
      <c r="E22" s="2489" t="s">
        <v>2510</v>
      </c>
      <c r="F22" s="2490" t="s">
        <v>2511</v>
      </c>
      <c r="G22" s="2490" t="s">
        <v>2512</v>
      </c>
      <c r="H22" s="2482" t="s">
        <v>2513</v>
      </c>
      <c r="I22" s="2473" t="s">
        <v>2514</v>
      </c>
    </row>
    <row r="23" spans="1:9" ht="14.25" thickBot="1">
      <c r="A23" s="3464"/>
      <c r="B23" s="3465"/>
      <c r="C23" s="3466"/>
      <c r="D23" s="2491"/>
      <c r="E23" s="2491"/>
      <c r="F23" s="2491"/>
      <c r="G23" s="2492"/>
      <c r="H23" s="2493"/>
      <c r="I23" s="2494">
        <f>ROUND(E23*D23*F23*(1-G23)/10000,0)</f>
        <v>0</v>
      </c>
    </row>
    <row r="26" spans="1:9">
      <c r="A26" s="2495" t="s">
        <v>2515</v>
      </c>
      <c r="B26" s="2495"/>
      <c r="C26" s="2495"/>
      <c r="D26" s="2495"/>
      <c r="E26" s="3467">
        <f>C27-C30-C31-C32</f>
        <v>0</v>
      </c>
      <c r="F26" s="3467"/>
      <c r="G26" s="3467"/>
      <c r="H26" s="2996" t="s">
        <v>2842</v>
      </c>
    </row>
    <row r="27" spans="1:9">
      <c r="A27" s="2496">
        <v>1</v>
      </c>
      <c r="B27" s="2497" t="s">
        <v>2516</v>
      </c>
      <c r="C27" s="2497"/>
      <c r="D27" s="2497"/>
      <c r="E27" s="3468"/>
      <c r="F27" s="3468"/>
      <c r="G27" s="3468"/>
    </row>
    <row r="28" spans="1:9">
      <c r="A28" s="2498" t="s">
        <v>2517</v>
      </c>
      <c r="B28" s="2497" t="s">
        <v>2518</v>
      </c>
      <c r="C28" s="2497"/>
      <c r="D28" s="2497"/>
      <c r="E28" s="3468"/>
      <c r="F28" s="3468"/>
      <c r="G28" s="3468"/>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59"/>
      <c r="F32" s="3459"/>
      <c r="G32" s="3459"/>
    </row>
    <row r="33" spans="1:7" hidden="1">
      <c r="A33" s="3469" t="s">
        <v>2526</v>
      </c>
      <c r="B33" s="3470"/>
      <c r="C33" s="3470"/>
      <c r="D33" s="3471"/>
      <c r="E33" s="3467"/>
      <c r="F33" s="3467"/>
      <c r="G33" s="3467"/>
    </row>
    <row r="34" spans="1:7" hidden="1">
      <c r="A34" s="2500">
        <v>1</v>
      </c>
      <c r="B34" s="2497" t="s">
        <v>2527</v>
      </c>
      <c r="C34" s="2497"/>
      <c r="D34" s="2497"/>
      <c r="E34" s="3468"/>
      <c r="F34" s="3468"/>
      <c r="G34" s="3468"/>
    </row>
    <row r="35" spans="1:7" hidden="1">
      <c r="A35" s="2500">
        <v>2</v>
      </c>
      <c r="B35" s="2497" t="s">
        <v>2528</v>
      </c>
      <c r="C35" s="2497"/>
      <c r="D35" s="2497"/>
      <c r="E35" s="3468"/>
      <c r="F35" s="3468"/>
      <c r="G35" s="3468"/>
    </row>
    <row r="36" spans="1:7" hidden="1">
      <c r="A36" s="2500">
        <v>3</v>
      </c>
      <c r="B36" s="2497" t="s">
        <v>2529</v>
      </c>
      <c r="C36" s="2497"/>
      <c r="D36" s="2497"/>
      <c r="E36" s="3468"/>
      <c r="F36" s="3468"/>
      <c r="G36" s="3468"/>
    </row>
    <row r="37" spans="1:7" hidden="1">
      <c r="A37" s="2500">
        <v>4</v>
      </c>
      <c r="B37" s="2497" t="s">
        <v>2530</v>
      </c>
      <c r="C37" s="2497"/>
      <c r="D37" s="2497"/>
      <c r="E37" s="3468"/>
      <c r="F37" s="3468"/>
      <c r="G37" s="3468"/>
    </row>
    <row r="38" spans="1:7" hidden="1">
      <c r="A38" s="3469" t="s">
        <v>2531</v>
      </c>
      <c r="B38" s="3470"/>
      <c r="C38" s="3470"/>
      <c r="D38" s="3471"/>
      <c r="E38" s="3467"/>
      <c r="F38" s="3467"/>
      <c r="G38" s="34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D38" sqref="D38"/>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217672.19</v>
      </c>
      <c r="E10" s="749">
        <f>'数据-取费表'!B31</f>
        <v>200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290</v>
      </c>
      <c r="D12" s="758">
        <f>'数据-汇总表'!E5</f>
        <v>152843.82999999999</v>
      </c>
      <c r="E12" s="757">
        <f>'数据-取费表'!B27</f>
        <v>19</v>
      </c>
      <c r="F12" s="755"/>
      <c r="G12" s="759"/>
    </row>
    <row r="13" spans="1:25" s="2169" customFormat="1" ht="13.5" customHeight="1">
      <c r="A13" s="2441" t="s">
        <v>2447</v>
      </c>
      <c r="B13" s="756" t="s">
        <v>612</v>
      </c>
      <c r="C13" s="757">
        <f>ROUND(D13*E13/10000,0)</f>
        <v>123</v>
      </c>
      <c r="D13" s="758">
        <f>'数据-汇总表'!E6</f>
        <v>64828.360000000015</v>
      </c>
      <c r="E13" s="757">
        <f>'数据-取费表'!B28</f>
        <v>19</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0.92900000000000005</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79" t="s">
        <v>2576</v>
      </c>
      <c r="C1" s="3479"/>
      <c r="D1" s="3479"/>
      <c r="E1" s="3479"/>
      <c r="F1" s="3479"/>
      <c r="G1" s="3478" t="s">
        <v>2577</v>
      </c>
      <c r="H1" s="3478"/>
      <c r="I1" s="3478"/>
      <c r="J1" s="3478"/>
      <c r="K1" s="3478"/>
      <c r="L1" s="3478"/>
      <c r="N1" s="3478" t="s">
        <v>2578</v>
      </c>
      <c r="O1" s="3478"/>
      <c r="P1" s="3478"/>
      <c r="Q1" s="3478"/>
      <c r="R1" s="2619"/>
      <c r="S1" s="3478" t="s">
        <v>2579</v>
      </c>
      <c r="T1" s="3478"/>
      <c r="U1" s="3478"/>
      <c r="V1" s="3478"/>
      <c r="X1" s="3477" t="s">
        <v>2639</v>
      </c>
      <c r="Y1" s="3478"/>
      <c r="Z1" s="3478"/>
      <c r="AA1" s="3478"/>
      <c r="AB1" s="3478"/>
      <c r="AD1" s="3477" t="s">
        <v>2643</v>
      </c>
      <c r="AE1" s="3478"/>
      <c r="AF1" s="3478"/>
      <c r="AG1" s="3478"/>
      <c r="AH1" s="3478"/>
    </row>
    <row r="2" spans="1:34" s="2720" customFormat="1" ht="14.25" thickBot="1">
      <c r="B2" s="2728" t="s">
        <v>2580</v>
      </c>
      <c r="C2" s="2728" t="s">
        <v>2641</v>
      </c>
      <c r="D2" s="2721" t="s">
        <v>1644</v>
      </c>
      <c r="E2" s="2721" t="s">
        <v>1949</v>
      </c>
      <c r="F2" s="2728" t="s">
        <v>2642</v>
      </c>
      <c r="G2" s="2724"/>
      <c r="H2" s="2723"/>
      <c r="I2" s="2728" t="s">
        <v>2956</v>
      </c>
      <c r="J2" s="2721" t="s">
        <v>2958</v>
      </c>
      <c r="K2" s="2721" t="s">
        <v>2959</v>
      </c>
      <c r="L2" s="2728" t="s">
        <v>2960</v>
      </c>
      <c r="N2" s="2728" t="s">
        <v>2580</v>
      </c>
      <c r="O2" s="2721" t="s">
        <v>2957</v>
      </c>
      <c r="P2" s="2721" t="s">
        <v>1949</v>
      </c>
      <c r="Q2" s="2728" t="s">
        <v>2642</v>
      </c>
      <c r="R2" s="2722"/>
      <c r="S2" s="2728" t="s">
        <v>2580</v>
      </c>
      <c r="T2" s="2721" t="s">
        <v>2957</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25">
      <c r="A3" s="3096" t="s">
        <v>2969</v>
      </c>
      <c r="B3" s="3085"/>
      <c r="C3" s="3085"/>
      <c r="D3" s="3086"/>
      <c r="E3" s="3086"/>
      <c r="F3" s="3085"/>
      <c r="G3" s="3087"/>
      <c r="H3" s="3088"/>
      <c r="I3" s="3095">
        <f>ROUND(AVERAGE($I4:$I27),2)</f>
        <v>2.04</v>
      </c>
      <c r="J3" s="3095">
        <f>ROUND(AVERAGE($J4:$J27),2)</f>
        <v>1.44</v>
      </c>
      <c r="K3" s="3095">
        <f>ROUND(AVERAGE($K4:$K27),2)</f>
        <v>2.23</v>
      </c>
      <c r="L3" s="3095">
        <f>ROUND(AVERAGE($L4:$L27),2)</f>
        <v>1.4</v>
      </c>
      <c r="N3" s="3087"/>
      <c r="O3" s="3089"/>
      <c r="P3" s="3089"/>
      <c r="Q3" s="3089"/>
      <c r="R3" s="3089"/>
      <c r="S3" s="3087"/>
      <c r="T3" s="3089"/>
      <c r="U3" s="3089"/>
      <c r="V3" s="3089"/>
      <c r="W3" s="3092"/>
      <c r="X3" s="3090">
        <f>ROUND(SUMPRODUCT(PRODUCT(1+N3:N$26)),4)</f>
        <v>1.5422</v>
      </c>
      <c r="Y3" s="3090">
        <f>ROUND(SUMPRODUCT(PRODUCT(1+O3:O$26)),4)</f>
        <v>1.3557999999999999</v>
      </c>
      <c r="Z3" s="3090">
        <f t="shared" ref="Z3:Z24" si="0">Y3</f>
        <v>1.3557999999999999</v>
      </c>
      <c r="AA3" s="3090">
        <f>ROUND(SUMPRODUCT(PRODUCT(1+P3:P$26)),4)</f>
        <v>1.6036999999999999</v>
      </c>
      <c r="AB3" s="3090">
        <f>ROUND(SUMPRODUCT(PRODUCT(1+Q3:Q$26)),4)</f>
        <v>1.3573</v>
      </c>
      <c r="AD3" s="3091">
        <f>ROUND(AVERAGE(I3:I$27)/100,4)</f>
        <v>2.0400000000000001E-2</v>
      </c>
      <c r="AE3" s="3091">
        <f>ROUND(AVERAGE(J3:J$27)/100,4)</f>
        <v>1.44E-2</v>
      </c>
      <c r="AF3" s="3091">
        <f t="shared" ref="AF3:AF25" si="1">AE3</f>
        <v>1.44E-2</v>
      </c>
      <c r="AG3" s="3091">
        <f>ROUND(AVERAGE(K3:K$27)/100,4)</f>
        <v>2.23E-2</v>
      </c>
      <c r="AH3" s="3091">
        <f>ROUND(AVERAGE(L3:L$27)/100,4)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2995</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7">
        <v>3</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2970</v>
      </c>
      <c r="X5" s="3071">
        <f>ROUND(IF(项目基本情况!B8="出让",SUMPRODUCT(PRODUCT(1+N5:N$27)),SUMPRODUCT(PRODUCT(1+N5:N$26))),4)</f>
        <v>1.5422</v>
      </c>
      <c r="Y5" s="3071">
        <f>ROUND(IF(项目基本情况!B8="出让",SUMPRODUCT(PRODUCT(1+O5:O$27)),SUMPRODUCT(PRODUCT(1+O5:O$26))),4)</f>
        <v>1.3557999999999999</v>
      </c>
      <c r="Z5" s="3071">
        <f t="shared" ref="Z5" si="11">Y5</f>
        <v>1.3557999999999999</v>
      </c>
      <c r="AA5" s="3071">
        <f>ROUND(IF(项目基本情况!B8="出让",SUMPRODUCT(PRODUCT(1+P5:P$27)),SUMPRODUCT(PRODUCT(1+P5:P$26))),4)</f>
        <v>1.6036999999999999</v>
      </c>
      <c r="AB5" s="3071">
        <f>ROUND(IF(项目基本情况!B8="出让",SUMPRODUCT(PRODUCT(1+Q5:Q$27)),SUMPRODUCT(PRODUCT(1+Q5:Q$26))),4)</f>
        <v>1.3573</v>
      </c>
      <c r="AD5" s="3072">
        <f>ROUND(AVERAGE(I5:I$27)/100,4)</f>
        <v>2.0400000000000001E-2</v>
      </c>
      <c r="AE5" s="3072">
        <f>ROUND(AVERAGE(J5:J$27)/100,4)</f>
        <v>1.44E-2</v>
      </c>
      <c r="AF5" s="3072">
        <f t="shared" ref="AF5" si="12">AE5</f>
        <v>1.44E-2</v>
      </c>
      <c r="AG5" s="3072">
        <f>ROUND(AVERAGE(K5:K$27)/100,4)</f>
        <v>2.23E-2</v>
      </c>
      <c r="AH5" s="3072">
        <f>ROUND(AVERAGE(L5:L$27)/100,4)</f>
        <v>1.4E-2</v>
      </c>
    </row>
    <row r="6" spans="1:34" s="2725" customFormat="1">
      <c r="A6" s="2620" t="s">
        <v>2994</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3">
        <v>1.53</v>
      </c>
      <c r="J6" s="3183">
        <v>1.01</v>
      </c>
      <c r="K6" s="3183">
        <v>1.62</v>
      </c>
      <c r="L6" s="3184">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2992</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2989</v>
      </c>
      <c r="B8" s="3180">
        <f t="shared" si="13"/>
        <v>464.37293017158942</v>
      </c>
      <c r="C8" s="3180">
        <f t="shared" ref="C8" si="34">C9*(1+O8)</f>
        <v>344.73679941385956</v>
      </c>
      <c r="D8" s="3180">
        <f t="shared" ref="D8" si="35">C8</f>
        <v>344.73679941385956</v>
      </c>
      <c r="E8" s="3180">
        <f t="shared" ref="E8" si="36">E9*(1+P8)</f>
        <v>663.2377795103107</v>
      </c>
      <c r="F8" s="3181">
        <f t="shared" ref="F8" si="37">F9*(1+Q8)</f>
        <v>304.75936311478398</v>
      </c>
      <c r="G8" s="3473">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2979</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73"/>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2980</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73"/>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2976</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74"/>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2967</v>
      </c>
      <c r="B12" s="3098">
        <v>439</v>
      </c>
      <c r="C12" s="3098">
        <v>327</v>
      </c>
      <c r="D12" s="3098">
        <f t="shared" si="65"/>
        <v>327</v>
      </c>
      <c r="E12" s="3098">
        <v>627</v>
      </c>
      <c r="F12" s="3099">
        <v>283</v>
      </c>
      <c r="G12" s="3472">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2971</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73"/>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73"/>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74"/>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72">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73"/>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73"/>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76"/>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75">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73"/>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73"/>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76"/>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75">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73"/>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73"/>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76"/>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80">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81"/>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81"/>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82"/>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75">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73"/>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73"/>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76"/>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75">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73">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73">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76">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75">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73">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73">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76">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75">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73">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73">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76">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75">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73">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73">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76">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75">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73">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73">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76">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75">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73">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73">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76">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75">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73">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73">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76">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75">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73">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73">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76">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75">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73">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73">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76">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75">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73">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73">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76">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67" zoomScale="80" zoomScaleNormal="80" workbookViewId="0">
      <selection activeCell="G69" sqref="G6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#N/A</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#N/A</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69" t="s">
        <v>522</v>
      </c>
      <c r="D4" s="3370"/>
      <c r="E4" s="3404" t="s">
        <v>523</v>
      </c>
      <c r="F4" s="3405"/>
      <c r="G4" s="3369" t="s">
        <v>524</v>
      </c>
      <c r="H4" s="3370"/>
      <c r="I4" s="3369" t="s">
        <v>525</v>
      </c>
      <c r="J4" s="3370"/>
      <c r="K4" s="514" t="s">
        <v>526</v>
      </c>
      <c r="L4" s="2119"/>
      <c r="M4" s="2120"/>
      <c r="N4" s="2120"/>
      <c r="O4" s="2120"/>
      <c r="P4" s="3371" t="s">
        <v>527</v>
      </c>
      <c r="Q4" s="3372"/>
      <c r="R4" s="3377" t="s">
        <v>523</v>
      </c>
      <c r="S4" s="3378"/>
      <c r="T4" s="3377" t="s">
        <v>524</v>
      </c>
      <c r="U4" s="3378"/>
      <c r="V4" s="3364" t="s">
        <v>525</v>
      </c>
      <c r="W4" s="3364"/>
      <c r="X4" s="1554"/>
      <c r="Y4" s="3377" t="s">
        <v>527</v>
      </c>
      <c r="Z4" s="3378"/>
      <c r="AA4" s="3366" t="s">
        <v>523</v>
      </c>
      <c r="AB4" s="3364" t="s">
        <v>524</v>
      </c>
      <c r="AC4" s="3366" t="s">
        <v>525</v>
      </c>
    </row>
    <row r="5" spans="1:29" ht="15">
      <c r="A5" s="515"/>
      <c r="B5" s="516"/>
      <c r="C5" s="3385" t="s">
        <v>2930</v>
      </c>
      <c r="D5" s="3386"/>
      <c r="E5" s="3406" t="s">
        <v>2931</v>
      </c>
      <c r="F5" s="3407"/>
      <c r="G5" s="3385" t="s">
        <v>2932</v>
      </c>
      <c r="H5" s="3386"/>
      <c r="I5" s="3385" t="s">
        <v>2933</v>
      </c>
      <c r="J5" s="3386"/>
      <c r="K5" s="514"/>
      <c r="L5" s="2119"/>
      <c r="M5" s="2120"/>
      <c r="N5" s="2120"/>
      <c r="O5" s="2120"/>
      <c r="P5" s="3373"/>
      <c r="Q5" s="3374"/>
      <c r="R5" s="3379"/>
      <c r="S5" s="3380"/>
      <c r="T5" s="3379"/>
      <c r="U5" s="3380"/>
      <c r="V5" s="3364"/>
      <c r="W5" s="3364"/>
      <c r="X5" s="1554"/>
      <c r="Y5" s="3379"/>
      <c r="Z5" s="3380"/>
      <c r="AA5" s="3367"/>
      <c r="AB5" s="3364"/>
      <c r="AC5" s="3367"/>
    </row>
    <row r="6" spans="1:29" ht="15.75" thickBot="1">
      <c r="A6" s="517"/>
      <c r="B6" s="518"/>
      <c r="C6" s="3383" t="s">
        <v>2934</v>
      </c>
      <c r="D6" s="3384"/>
      <c r="E6" s="3402" t="s">
        <v>2934</v>
      </c>
      <c r="F6" s="3403"/>
      <c r="G6" s="3383" t="s">
        <v>2934</v>
      </c>
      <c r="H6" s="3384"/>
      <c r="I6" s="3383" t="s">
        <v>2934</v>
      </c>
      <c r="J6" s="3384"/>
      <c r="K6" s="514" t="s">
        <v>528</v>
      </c>
      <c r="L6" s="2119"/>
      <c r="M6" s="2120"/>
      <c r="N6" s="2120"/>
      <c r="O6" s="2120"/>
      <c r="P6" s="3375"/>
      <c r="Q6" s="3376"/>
      <c r="R6" s="3379"/>
      <c r="S6" s="3380"/>
      <c r="T6" s="3381"/>
      <c r="U6" s="3382"/>
      <c r="V6" s="3364"/>
      <c r="W6" s="3364"/>
      <c r="X6" s="1554"/>
      <c r="Y6" s="3381"/>
      <c r="Z6" s="3382"/>
      <c r="AA6" s="3368"/>
      <c r="AB6" s="3364"/>
      <c r="AC6" s="3368"/>
    </row>
    <row r="7" spans="1:29" s="1216" customFormat="1" ht="15.75" thickBot="1">
      <c r="A7" s="2868"/>
      <c r="B7" s="2875" t="s">
        <v>529</v>
      </c>
      <c r="C7" s="519">
        <f>'数据-取费表'!B2</f>
        <v>43698</v>
      </c>
      <c r="D7" s="520">
        <v>100</v>
      </c>
      <c r="E7" s="521">
        <v>43679</v>
      </c>
      <c r="F7" s="522">
        <f>SUMIF(58:58,YEAR(E7)&amp;"-"&amp;MONTH(E7),59:59)</f>
        <v>100</v>
      </c>
      <c r="G7" s="521">
        <f>E7</f>
        <v>43679</v>
      </c>
      <c r="H7" s="520">
        <f>SUMIF(58:58,YEAR(G7)&amp;"-"&amp;MONTH(G7),59:59)</f>
        <v>100</v>
      </c>
      <c r="I7" s="521">
        <f>G7</f>
        <v>43679</v>
      </c>
      <c r="J7" s="520">
        <f>SUMIF(58:58,YEAR(I7)&amp;"-"&amp;MONTH(I7),59:59)</f>
        <v>100</v>
      </c>
      <c r="K7" s="524"/>
      <c r="L7" s="2121"/>
      <c r="M7" s="2122"/>
      <c r="N7" s="2122"/>
      <c r="O7" s="2122"/>
      <c r="P7" s="3395" t="s">
        <v>530</v>
      </c>
      <c r="Q7" s="3397"/>
      <c r="R7" s="1555" t="s">
        <v>8</v>
      </c>
      <c r="S7" s="1556">
        <f t="shared" ref="S7:S15" si="0">F7</f>
        <v>100</v>
      </c>
      <c r="T7" s="1555" t="s">
        <v>8</v>
      </c>
      <c r="U7" s="1556">
        <f t="shared" ref="U7:U15" si="1">H7</f>
        <v>100</v>
      </c>
      <c r="V7" s="1555" t="s">
        <v>8</v>
      </c>
      <c r="W7" s="1556">
        <f t="shared" ref="W7:W15" si="2">J7</f>
        <v>100</v>
      </c>
      <c r="X7" s="1557"/>
      <c r="Y7" s="3395" t="s">
        <v>530</v>
      </c>
      <c r="Z7" s="3396"/>
      <c r="AA7" s="1558">
        <f>D7/F7</f>
        <v>1</v>
      </c>
      <c r="AB7" s="1558">
        <f>D7/H7</f>
        <v>1</v>
      </c>
      <c r="AC7" s="1558">
        <f>D7/J7</f>
        <v>1</v>
      </c>
    </row>
    <row r="8" spans="1:29" s="1216" customFormat="1" ht="15.75" thickBot="1">
      <c r="A8" s="2869"/>
      <c r="B8" s="2876" t="s">
        <v>531</v>
      </c>
      <c r="C8" s="525" t="s">
        <v>576</v>
      </c>
      <c r="D8" s="520">
        <v>100</v>
      </c>
      <c r="E8" s="525" t="s">
        <v>3024</v>
      </c>
      <c r="F8" s="522">
        <f>SUMIF(61:61,E8,62:62)-SUMIF(61:61,C8,62:62)+100</f>
        <v>100</v>
      </c>
      <c r="G8" s="525" t="s">
        <v>3024</v>
      </c>
      <c r="H8" s="520">
        <f>SUMIF(61:61,G8,62:62)-SUMIF(61:61,C8,62:62)+100</f>
        <v>100</v>
      </c>
      <c r="I8" s="525" t="s">
        <v>3024</v>
      </c>
      <c r="J8" s="520">
        <f>SUMIF(61:61,I8,62:62)-SUMIF(61:61,C8,62:62)+100</f>
        <v>100</v>
      </c>
      <c r="K8" s="524"/>
      <c r="L8" s="2121"/>
      <c r="M8" s="2122"/>
      <c r="N8" s="2122"/>
      <c r="O8" s="2122"/>
      <c r="P8" s="3395" t="s">
        <v>533</v>
      </c>
      <c r="Q8" s="3396"/>
      <c r="R8" s="1555" t="s">
        <v>8</v>
      </c>
      <c r="S8" s="1556">
        <f t="shared" si="0"/>
        <v>100</v>
      </c>
      <c r="T8" s="1555" t="s">
        <v>8</v>
      </c>
      <c r="U8" s="1556">
        <f t="shared" si="1"/>
        <v>100</v>
      </c>
      <c r="V8" s="1555" t="s">
        <v>8</v>
      </c>
      <c r="W8" s="1556">
        <f t="shared" si="2"/>
        <v>100</v>
      </c>
      <c r="X8" s="1557"/>
      <c r="Y8" s="3395" t="s">
        <v>533</v>
      </c>
      <c r="Z8" s="3396"/>
      <c r="AA8" s="1558">
        <f t="shared" ref="AA8:AA46" si="3">D8/F8</f>
        <v>1</v>
      </c>
      <c r="AB8" s="1558">
        <f t="shared" ref="AB8:AB46" si="4">D8/H8</f>
        <v>1</v>
      </c>
      <c r="AC8" s="1558">
        <f t="shared" ref="AC8:AC46" si="5">D8/J8</f>
        <v>1</v>
      </c>
    </row>
    <row r="9" spans="1:29" s="1216" customFormat="1" ht="15">
      <c r="A9" s="2870"/>
      <c r="B9" s="2877" t="s">
        <v>2755</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63" t="s">
        <v>535</v>
      </c>
      <c r="Q9" s="1147" t="str">
        <f t="shared" ref="Q9:Q15" si="6">B9</f>
        <v>用途</v>
      </c>
      <c r="R9" s="1555" t="s">
        <v>8</v>
      </c>
      <c r="S9" s="1556">
        <f t="shared" si="0"/>
        <v>100</v>
      </c>
      <c r="T9" s="1555" t="s">
        <v>8</v>
      </c>
      <c r="U9" s="1556">
        <f t="shared" si="1"/>
        <v>100</v>
      </c>
      <c r="V9" s="1555" t="s">
        <v>8</v>
      </c>
      <c r="W9" s="1556">
        <f t="shared" si="2"/>
        <v>100</v>
      </c>
      <c r="X9" s="1557"/>
      <c r="Y9" s="3309"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63"/>
      <c r="Q10" s="1147" t="str">
        <f t="shared" si="6"/>
        <v>土地使用年限（年）</v>
      </c>
      <c r="R10" s="1555" t="s">
        <v>8</v>
      </c>
      <c r="S10" s="1556">
        <f t="shared" si="0"/>
        <v>100</v>
      </c>
      <c r="T10" s="1555" t="s">
        <v>8</v>
      </c>
      <c r="U10" s="1556">
        <f t="shared" si="1"/>
        <v>100</v>
      </c>
      <c r="V10" s="1555" t="s">
        <v>8</v>
      </c>
      <c r="W10" s="1556">
        <f t="shared" si="2"/>
        <v>100</v>
      </c>
      <c r="X10" s="1557"/>
      <c r="Y10" s="3309"/>
      <c r="Z10" s="1146" t="str">
        <f t="shared" si="7"/>
        <v>土地使用年限（年）</v>
      </c>
      <c r="AA10" s="1558">
        <f t="shared" si="3"/>
        <v>1</v>
      </c>
      <c r="AB10" s="1558">
        <f t="shared" si="4"/>
        <v>1</v>
      </c>
      <c r="AC10" s="1558">
        <f t="shared" si="5"/>
        <v>1</v>
      </c>
    </row>
    <row r="11" spans="1:29" ht="15">
      <c r="A11" s="2872"/>
      <c r="B11" s="2876" t="s">
        <v>2757</v>
      </c>
      <c r="C11" s="533">
        <v>2.2999999999999998</v>
      </c>
      <c r="D11" s="255">
        <v>100</v>
      </c>
      <c r="E11" s="533"/>
      <c r="F11" s="255">
        <f>LOOKUP(E11,68:68,69:69)-LOOKUP(C11,68:68,69:69)+100</f>
        <v>100</v>
      </c>
      <c r="G11" s="534"/>
      <c r="H11" s="255">
        <f>LOOKUP(G11,68:68,69:69)-LOOKUP(C11,68:68,69:69)+100</f>
        <v>100</v>
      </c>
      <c r="I11" s="533"/>
      <c r="J11" s="255">
        <f>LOOKUP(I11,68:68,69:69)-LOOKUP(C11,68:68,69:69)+100</f>
        <v>100</v>
      </c>
      <c r="K11" s="584"/>
      <c r="L11" s="2126"/>
      <c r="M11" s="2120"/>
      <c r="N11" s="2120"/>
      <c r="O11" s="2127"/>
      <c r="P11" s="3363"/>
      <c r="Q11" s="1147" t="str">
        <f t="shared" si="6"/>
        <v>容积率</v>
      </c>
      <c r="R11" s="1555" t="s">
        <v>8</v>
      </c>
      <c r="S11" s="1556">
        <f t="shared" si="0"/>
        <v>100</v>
      </c>
      <c r="T11" s="1555" t="s">
        <v>8</v>
      </c>
      <c r="U11" s="1556">
        <f t="shared" si="1"/>
        <v>100</v>
      </c>
      <c r="V11" s="1555" t="s">
        <v>8</v>
      </c>
      <c r="W11" s="1556">
        <f t="shared" si="2"/>
        <v>100</v>
      </c>
      <c r="X11" s="1557"/>
      <c r="Y11" s="3309"/>
      <c r="Z11" s="1146" t="str">
        <f t="shared" si="7"/>
        <v>容积率</v>
      </c>
      <c r="AA11" s="1558">
        <f t="shared" si="3"/>
        <v>1</v>
      </c>
      <c r="AB11" s="1558">
        <f t="shared" si="4"/>
        <v>1</v>
      </c>
      <c r="AC11" s="1558">
        <f t="shared" si="5"/>
        <v>1</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63"/>
      <c r="Q12" s="1147">
        <f t="shared" si="6"/>
        <v>111</v>
      </c>
      <c r="R12" s="1555" t="s">
        <v>8</v>
      </c>
      <c r="S12" s="1556">
        <f t="shared" si="0"/>
        <v>100</v>
      </c>
      <c r="T12" s="1555" t="s">
        <v>8</v>
      </c>
      <c r="U12" s="1556">
        <f t="shared" si="1"/>
        <v>100</v>
      </c>
      <c r="V12" s="1555" t="s">
        <v>8</v>
      </c>
      <c r="W12" s="1556">
        <f t="shared" si="2"/>
        <v>100</v>
      </c>
      <c r="X12" s="1557"/>
      <c r="Y12" s="3309"/>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63"/>
      <c r="Q13" s="1147">
        <f t="shared" si="6"/>
        <v>111</v>
      </c>
      <c r="R13" s="1555" t="s">
        <v>8</v>
      </c>
      <c r="S13" s="1556">
        <f t="shared" si="0"/>
        <v>100</v>
      </c>
      <c r="T13" s="1555" t="s">
        <v>8</v>
      </c>
      <c r="U13" s="1556">
        <f t="shared" si="1"/>
        <v>100</v>
      </c>
      <c r="V13" s="1555" t="s">
        <v>8</v>
      </c>
      <c r="W13" s="1556">
        <f t="shared" si="2"/>
        <v>100</v>
      </c>
      <c r="X13" s="1557"/>
      <c r="Y13" s="3309"/>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63"/>
      <c r="Q14" s="1147">
        <f t="shared" si="6"/>
        <v>111</v>
      </c>
      <c r="R14" s="1555" t="s">
        <v>8</v>
      </c>
      <c r="S14" s="1556">
        <f t="shared" si="0"/>
        <v>100</v>
      </c>
      <c r="T14" s="1555" t="s">
        <v>8</v>
      </c>
      <c r="U14" s="1556">
        <f t="shared" si="1"/>
        <v>100</v>
      </c>
      <c r="V14" s="1555" t="s">
        <v>8</v>
      </c>
      <c r="W14" s="1556">
        <f t="shared" si="2"/>
        <v>100</v>
      </c>
      <c r="X14" s="1557"/>
      <c r="Y14" s="3309"/>
      <c r="Z14" s="1146">
        <f t="shared" si="7"/>
        <v>111</v>
      </c>
      <c r="AA14" s="1558">
        <f t="shared" si="3"/>
        <v>1</v>
      </c>
      <c r="AB14" s="1558">
        <f t="shared" si="4"/>
        <v>1</v>
      </c>
      <c r="AC14" s="1558">
        <f t="shared" si="5"/>
        <v>1</v>
      </c>
    </row>
    <row r="15" spans="1:29" ht="71.25">
      <c r="A15" s="2866"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98" t="s">
        <v>540</v>
      </c>
      <c r="Q15" s="1559" t="str">
        <f t="shared" si="6"/>
        <v>商业繁华度</v>
      </c>
      <c r="R15" s="1560" t="s">
        <v>8</v>
      </c>
      <c r="S15" s="1561">
        <f t="shared" si="0"/>
        <v>100</v>
      </c>
      <c r="T15" s="1560" t="s">
        <v>8</v>
      </c>
      <c r="U15" s="1561">
        <f t="shared" si="1"/>
        <v>100</v>
      </c>
      <c r="V15" s="1560" t="s">
        <v>8</v>
      </c>
      <c r="W15" s="1561">
        <f t="shared" si="2"/>
        <v>100</v>
      </c>
      <c r="X15" s="1554"/>
      <c r="Y15" s="3398"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9"/>
      <c r="Q16" s="1559"/>
      <c r="R16" s="1560"/>
      <c r="S16" s="1561"/>
      <c r="T16" s="1560"/>
      <c r="U16" s="1561"/>
      <c r="V16" s="1560"/>
      <c r="W16" s="1561"/>
      <c r="X16" s="1554"/>
      <c r="Y16" s="3399"/>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99"/>
      <c r="Q17" s="1559" t="str">
        <f>B17</f>
        <v>交通便捷度</v>
      </c>
      <c r="R17" s="1560" t="s">
        <v>8</v>
      </c>
      <c r="S17" s="1561">
        <f>F17</f>
        <v>100</v>
      </c>
      <c r="T17" s="1560" t="s">
        <v>8</v>
      </c>
      <c r="U17" s="1561">
        <f>H17</f>
        <v>100</v>
      </c>
      <c r="V17" s="1560" t="s">
        <v>8</v>
      </c>
      <c r="W17" s="1561">
        <f>J17</f>
        <v>100</v>
      </c>
      <c r="X17" s="1554"/>
      <c r="Y17" s="339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9"/>
      <c r="Q18" s="1559"/>
      <c r="R18" s="1560"/>
      <c r="S18" s="1561"/>
      <c r="T18" s="1560"/>
      <c r="U18" s="1561"/>
      <c r="V18" s="1560"/>
      <c r="W18" s="1561"/>
      <c r="X18" s="1554"/>
      <c r="Y18" s="3399"/>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99"/>
      <c r="Q19" s="1559" t="str">
        <f>B19</f>
        <v>公共配套设施</v>
      </c>
      <c r="R19" s="1560" t="s">
        <v>8</v>
      </c>
      <c r="S19" s="1561">
        <f>F19</f>
        <v>100</v>
      </c>
      <c r="T19" s="1560" t="s">
        <v>8</v>
      </c>
      <c r="U19" s="1561">
        <f>H19</f>
        <v>100</v>
      </c>
      <c r="V19" s="1560" t="s">
        <v>8</v>
      </c>
      <c r="W19" s="1561">
        <f>J19</f>
        <v>100</v>
      </c>
      <c r="X19" s="1554"/>
      <c r="Y19" s="339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99"/>
      <c r="Q20" s="1559"/>
      <c r="R20" s="1560"/>
      <c r="S20" s="1561"/>
      <c r="T20" s="1560"/>
      <c r="U20" s="1561"/>
      <c r="V20" s="1560"/>
      <c r="W20" s="1561"/>
      <c r="X20" s="1554"/>
      <c r="Y20" s="3399"/>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99"/>
      <c r="Q21" s="2544" t="str">
        <f>B21</f>
        <v>基础设施水平</v>
      </c>
      <c r="R21" s="1560" t="s">
        <v>8</v>
      </c>
      <c r="S21" s="1561">
        <f>F21</f>
        <v>100</v>
      </c>
      <c r="T21" s="1560" t="s">
        <v>8</v>
      </c>
      <c r="U21" s="1561">
        <f>H21</f>
        <v>100</v>
      </c>
      <c r="V21" s="1560" t="s">
        <v>8</v>
      </c>
      <c r="W21" s="1561">
        <f>J21</f>
        <v>100</v>
      </c>
      <c r="X21" s="2546"/>
      <c r="Y21" s="3399"/>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99"/>
      <c r="Q22" s="2544"/>
      <c r="R22" s="1560"/>
      <c r="S22" s="1561"/>
      <c r="T22" s="1560"/>
      <c r="U22" s="1561"/>
      <c r="V22" s="1560"/>
      <c r="W22" s="1561"/>
      <c r="X22" s="2546"/>
      <c r="Y22" s="3399"/>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99"/>
      <c r="Q23" s="1559" t="str">
        <f>B23</f>
        <v>自然及人文环境</v>
      </c>
      <c r="R23" s="1560" t="s">
        <v>8</v>
      </c>
      <c r="S23" s="1561">
        <f>F23</f>
        <v>100</v>
      </c>
      <c r="T23" s="1560" t="s">
        <v>8</v>
      </c>
      <c r="U23" s="1561">
        <f>H23</f>
        <v>100</v>
      </c>
      <c r="V23" s="1560" t="s">
        <v>8</v>
      </c>
      <c r="W23" s="1561">
        <f>J23</f>
        <v>100</v>
      </c>
      <c r="X23" s="1554"/>
      <c r="Y23" s="339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99"/>
      <c r="Q24" s="1559"/>
      <c r="R24" s="1560"/>
      <c r="S24" s="1561"/>
      <c r="T24" s="1560"/>
      <c r="U24" s="1561"/>
      <c r="V24" s="1560"/>
      <c r="W24" s="1561"/>
      <c r="X24" s="1554"/>
      <c r="Y24" s="3399"/>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99"/>
      <c r="Q25" s="1559" t="str">
        <f t="shared" ref="Q25:Q46" si="11">B25</f>
        <v>临街状况</v>
      </c>
      <c r="R25" s="1560" t="s">
        <v>8</v>
      </c>
      <c r="S25" s="1561">
        <f>F25</f>
        <v>100</v>
      </c>
      <c r="T25" s="1560" t="s">
        <v>8</v>
      </c>
      <c r="U25" s="1561">
        <f>H25</f>
        <v>100</v>
      </c>
      <c r="V25" s="1560" t="s">
        <v>8</v>
      </c>
      <c r="W25" s="1561">
        <f>J25</f>
        <v>100</v>
      </c>
      <c r="X25" s="1554"/>
      <c r="Y25" s="3399"/>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99"/>
      <c r="Q26" s="1559" t="str">
        <f t="shared" si="11"/>
        <v>平面位置/可视性</v>
      </c>
      <c r="R26" s="1560" t="s">
        <v>8</v>
      </c>
      <c r="S26" s="1561">
        <f>F26</f>
        <v>100</v>
      </c>
      <c r="T26" s="1560" t="s">
        <v>8</v>
      </c>
      <c r="U26" s="1561">
        <f>H26</f>
        <v>100</v>
      </c>
      <c r="V26" s="1560" t="s">
        <v>8</v>
      </c>
      <c r="W26" s="1561">
        <f>J26</f>
        <v>100</v>
      </c>
      <c r="X26" s="1554"/>
      <c r="Y26" s="3399"/>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99"/>
      <c r="Q27" s="1147" t="str">
        <f t="shared" si="11"/>
        <v>人流量</v>
      </c>
      <c r="R27" s="1555" t="s">
        <v>8</v>
      </c>
      <c r="S27" s="1556">
        <f>F27</f>
        <v>100</v>
      </c>
      <c r="T27" s="1555" t="s">
        <v>8</v>
      </c>
      <c r="U27" s="1556">
        <f>H27</f>
        <v>100</v>
      </c>
      <c r="V27" s="1555" t="s">
        <v>8</v>
      </c>
      <c r="W27" s="1556">
        <f>J27</f>
        <v>100</v>
      </c>
      <c r="X27" s="1557"/>
      <c r="Y27" s="3399"/>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99"/>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99"/>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99"/>
      <c r="Q29" s="1559">
        <f t="shared" si="11"/>
        <v>111</v>
      </c>
      <c r="R29" s="1560" t="s">
        <v>8</v>
      </c>
      <c r="S29" s="1561">
        <f t="shared" si="12"/>
        <v>100</v>
      </c>
      <c r="T29" s="1560" t="s">
        <v>8</v>
      </c>
      <c r="U29" s="1561">
        <f t="shared" si="13"/>
        <v>100</v>
      </c>
      <c r="V29" s="1560" t="s">
        <v>8</v>
      </c>
      <c r="W29" s="1561">
        <f t="shared" si="14"/>
        <v>100</v>
      </c>
      <c r="X29" s="1554"/>
      <c r="Y29" s="339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99"/>
      <c r="Q30" s="1559">
        <f t="shared" si="11"/>
        <v>111</v>
      </c>
      <c r="R30" s="1560" t="s">
        <v>8</v>
      </c>
      <c r="S30" s="1561">
        <f t="shared" si="12"/>
        <v>100</v>
      </c>
      <c r="T30" s="1560" t="s">
        <v>8</v>
      </c>
      <c r="U30" s="1561">
        <f t="shared" si="13"/>
        <v>100</v>
      </c>
      <c r="V30" s="1560" t="s">
        <v>8</v>
      </c>
      <c r="W30" s="1561">
        <f t="shared" si="14"/>
        <v>100</v>
      </c>
      <c r="X30" s="1554"/>
      <c r="Y30" s="3399"/>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99"/>
      <c r="Q31" s="1559">
        <f t="shared" si="11"/>
        <v>111</v>
      </c>
      <c r="R31" s="1560" t="s">
        <v>8</v>
      </c>
      <c r="S31" s="1561">
        <f t="shared" si="12"/>
        <v>100</v>
      </c>
      <c r="T31" s="1560" t="s">
        <v>8</v>
      </c>
      <c r="U31" s="1561">
        <f t="shared" si="13"/>
        <v>100</v>
      </c>
      <c r="V31" s="1560" t="s">
        <v>8</v>
      </c>
      <c r="W31" s="1561">
        <f t="shared" si="14"/>
        <v>100</v>
      </c>
      <c r="X31" s="1554"/>
      <c r="Y31" s="3399"/>
      <c r="Z31" s="1562">
        <f t="shared" si="15"/>
        <v>111</v>
      </c>
      <c r="AA31" s="1563">
        <f t="shared" si="3"/>
        <v>1</v>
      </c>
      <c r="AB31" s="1563">
        <f t="shared" si="4"/>
        <v>1</v>
      </c>
      <c r="AC31" s="1563">
        <f t="shared" si="5"/>
        <v>1</v>
      </c>
    </row>
    <row r="32" spans="1:29" ht="15">
      <c r="A32" s="2863"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00" t="s">
        <v>550</v>
      </c>
      <c r="Q32" s="1559" t="str">
        <f t="shared" si="11"/>
        <v>商业类型</v>
      </c>
      <c r="R32" s="1560" t="s">
        <v>8</v>
      </c>
      <c r="S32" s="1561">
        <f t="shared" si="12"/>
        <v>100</v>
      </c>
      <c r="T32" s="1560" t="s">
        <v>8</v>
      </c>
      <c r="U32" s="1561">
        <f t="shared" si="13"/>
        <v>100</v>
      </c>
      <c r="V32" s="1560" t="s">
        <v>8</v>
      </c>
      <c r="W32" s="1561">
        <f t="shared" si="14"/>
        <v>100</v>
      </c>
      <c r="X32" s="1554"/>
      <c r="Y32" s="3401"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01"/>
      <c r="Q33" s="1591" t="str">
        <f t="shared" si="11"/>
        <v>项目建筑规模</v>
      </c>
      <c r="R33" s="1564" t="s">
        <v>8</v>
      </c>
      <c r="S33" s="1565" t="e">
        <f t="shared" si="12"/>
        <v>#N/A</v>
      </c>
      <c r="T33" s="1564" t="s">
        <v>8</v>
      </c>
      <c r="U33" s="1565" t="e">
        <f t="shared" si="13"/>
        <v>#N/A</v>
      </c>
      <c r="V33" s="1564" t="s">
        <v>8</v>
      </c>
      <c r="W33" s="1565" t="e">
        <f t="shared" si="14"/>
        <v>#N/A</v>
      </c>
      <c r="X33" s="1566"/>
      <c r="Y33" s="3401"/>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01"/>
      <c r="Q34" s="1559" t="str">
        <f t="shared" si="11"/>
        <v>建筑结构</v>
      </c>
      <c r="R34" s="1560" t="s">
        <v>8</v>
      </c>
      <c r="S34" s="1561">
        <f t="shared" si="12"/>
        <v>100</v>
      </c>
      <c r="T34" s="1560" t="s">
        <v>8</v>
      </c>
      <c r="U34" s="1561">
        <f t="shared" si="13"/>
        <v>100</v>
      </c>
      <c r="V34" s="1560" t="s">
        <v>8</v>
      </c>
      <c r="W34" s="1561">
        <f t="shared" si="14"/>
        <v>100</v>
      </c>
      <c r="X34" s="1554"/>
      <c r="Y34" s="3401"/>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01"/>
      <c r="Q35" s="1559" t="str">
        <f t="shared" si="11"/>
        <v>公共部分装修</v>
      </c>
      <c r="R35" s="1560" t="s">
        <v>8</v>
      </c>
      <c r="S35" s="1561">
        <f t="shared" si="12"/>
        <v>100</v>
      </c>
      <c r="T35" s="1560" t="s">
        <v>8</v>
      </c>
      <c r="U35" s="1561">
        <f t="shared" si="13"/>
        <v>100</v>
      </c>
      <c r="V35" s="1560" t="s">
        <v>8</v>
      </c>
      <c r="W35" s="1561">
        <f t="shared" si="14"/>
        <v>100</v>
      </c>
      <c r="X35" s="1554"/>
      <c r="Y35" s="3401"/>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01"/>
      <c r="Q36" s="1559" t="str">
        <f t="shared" si="11"/>
        <v>成新度</v>
      </c>
      <c r="R36" s="1560" t="s">
        <v>8</v>
      </c>
      <c r="S36" s="1561" t="e">
        <f t="shared" si="12"/>
        <v>#N/A</v>
      </c>
      <c r="T36" s="1560" t="s">
        <v>8</v>
      </c>
      <c r="U36" s="1561" t="e">
        <f t="shared" si="13"/>
        <v>#N/A</v>
      </c>
      <c r="V36" s="1560" t="s">
        <v>8</v>
      </c>
      <c r="W36" s="1561" t="e">
        <f t="shared" si="14"/>
        <v>#N/A</v>
      </c>
      <c r="X36" s="1554"/>
      <c r="Y36" s="3401"/>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01"/>
      <c r="Q37" s="1147" t="str">
        <f t="shared" si="11"/>
        <v>市政基础设施</v>
      </c>
      <c r="R37" s="1555" t="s">
        <v>8</v>
      </c>
      <c r="S37" s="1556">
        <f t="shared" si="12"/>
        <v>100</v>
      </c>
      <c r="T37" s="1555" t="s">
        <v>8</v>
      </c>
      <c r="U37" s="1556">
        <f t="shared" si="13"/>
        <v>100</v>
      </c>
      <c r="V37" s="1555" t="s">
        <v>8</v>
      </c>
      <c r="W37" s="1556">
        <f t="shared" si="14"/>
        <v>100</v>
      </c>
      <c r="X37" s="1557"/>
      <c r="Y37" s="3401"/>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01" t="s">
        <v>766</v>
      </c>
      <c r="Q38" s="1559" t="str">
        <f t="shared" si="11"/>
        <v>业态</v>
      </c>
      <c r="R38" s="1560" t="s">
        <v>8</v>
      </c>
      <c r="S38" s="1561">
        <f t="shared" si="12"/>
        <v>100</v>
      </c>
      <c r="T38" s="1560" t="s">
        <v>8</v>
      </c>
      <c r="U38" s="1561">
        <f t="shared" si="13"/>
        <v>100</v>
      </c>
      <c r="V38" s="1560" t="s">
        <v>8</v>
      </c>
      <c r="W38" s="1561">
        <f t="shared" si="14"/>
        <v>100</v>
      </c>
      <c r="X38" s="1554"/>
      <c r="Y38" s="3401"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1"/>
      <c r="Q39" s="1559" t="str">
        <f t="shared" si="11"/>
        <v>层高</v>
      </c>
      <c r="R39" s="1560" t="s">
        <v>8</v>
      </c>
      <c r="S39" s="1561">
        <f t="shared" si="12"/>
        <v>100</v>
      </c>
      <c r="T39" s="1560" t="s">
        <v>8</v>
      </c>
      <c r="U39" s="1561">
        <f t="shared" si="13"/>
        <v>100</v>
      </c>
      <c r="V39" s="1560" t="s">
        <v>8</v>
      </c>
      <c r="W39" s="1561">
        <f t="shared" si="14"/>
        <v>100</v>
      </c>
      <c r="X39" s="1554"/>
      <c r="Y39" s="3401"/>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01"/>
      <c r="Q40" s="1559" t="str">
        <f t="shared" si="11"/>
        <v>单套建筑面积</v>
      </c>
      <c r="R40" s="1560" t="s">
        <v>8</v>
      </c>
      <c r="S40" s="1561">
        <f t="shared" si="12"/>
        <v>100</v>
      </c>
      <c r="T40" s="1560" t="s">
        <v>8</v>
      </c>
      <c r="U40" s="1561">
        <f t="shared" si="13"/>
        <v>100</v>
      </c>
      <c r="V40" s="1560" t="s">
        <v>8</v>
      </c>
      <c r="W40" s="1561">
        <f t="shared" si="14"/>
        <v>100</v>
      </c>
      <c r="X40" s="1554"/>
      <c r="Y40" s="3401"/>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01"/>
      <c r="Q41" s="1591" t="str">
        <f t="shared" si="11"/>
        <v>进深比</v>
      </c>
      <c r="R41" s="1564" t="s">
        <v>8</v>
      </c>
      <c r="S41" s="1565">
        <f t="shared" si="12"/>
        <v>100</v>
      </c>
      <c r="T41" s="1564" t="s">
        <v>8</v>
      </c>
      <c r="U41" s="1565">
        <f t="shared" si="13"/>
        <v>100</v>
      </c>
      <c r="V41" s="1564" t="s">
        <v>8</v>
      </c>
      <c r="W41" s="1565">
        <f t="shared" si="14"/>
        <v>100</v>
      </c>
      <c r="X41" s="1566"/>
      <c r="Y41" s="3401"/>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01"/>
      <c r="Q42" s="1559" t="str">
        <f t="shared" si="11"/>
        <v>内部装修</v>
      </c>
      <c r="R42" s="1560" t="s">
        <v>8</v>
      </c>
      <c r="S42" s="1561">
        <f t="shared" si="12"/>
        <v>100</v>
      </c>
      <c r="T42" s="1560" t="s">
        <v>8</v>
      </c>
      <c r="U42" s="1561">
        <f t="shared" si="13"/>
        <v>100</v>
      </c>
      <c r="V42" s="1560" t="s">
        <v>8</v>
      </c>
      <c r="W42" s="1561">
        <f t="shared" si="14"/>
        <v>100</v>
      </c>
      <c r="X42" s="1554"/>
      <c r="Y42" s="3401"/>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01"/>
      <c r="Q43" s="1559" t="str">
        <f t="shared" si="11"/>
        <v>内部装修维护情况</v>
      </c>
      <c r="R43" s="1560" t="s">
        <v>8</v>
      </c>
      <c r="S43" s="1561">
        <f t="shared" si="12"/>
        <v>100</v>
      </c>
      <c r="T43" s="1560" t="s">
        <v>8</v>
      </c>
      <c r="U43" s="1561">
        <f t="shared" si="13"/>
        <v>100</v>
      </c>
      <c r="V43" s="1560" t="s">
        <v>8</v>
      </c>
      <c r="W43" s="1561">
        <f t="shared" si="14"/>
        <v>100</v>
      </c>
      <c r="X43" s="1554"/>
      <c r="Y43" s="3401"/>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01"/>
      <c r="Q44" s="1147">
        <f t="shared" si="11"/>
        <v>111</v>
      </c>
      <c r="R44" s="1555" t="s">
        <v>8</v>
      </c>
      <c r="S44" s="1556">
        <f t="shared" si="12"/>
        <v>100</v>
      </c>
      <c r="T44" s="1555" t="s">
        <v>8</v>
      </c>
      <c r="U44" s="1556">
        <f t="shared" si="13"/>
        <v>100</v>
      </c>
      <c r="V44" s="1555" t="s">
        <v>8</v>
      </c>
      <c r="W44" s="1556">
        <f t="shared" si="14"/>
        <v>100</v>
      </c>
      <c r="X44" s="1557"/>
      <c r="Y44" s="3401"/>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01"/>
      <c r="Q45" s="1559">
        <f t="shared" si="11"/>
        <v>111</v>
      </c>
      <c r="R45" s="1560" t="s">
        <v>8</v>
      </c>
      <c r="S45" s="1561">
        <f t="shared" si="12"/>
        <v>100</v>
      </c>
      <c r="T45" s="1560" t="s">
        <v>8</v>
      </c>
      <c r="U45" s="1561">
        <f t="shared" si="13"/>
        <v>100</v>
      </c>
      <c r="V45" s="1560" t="s">
        <v>8</v>
      </c>
      <c r="W45" s="1561">
        <f t="shared" si="14"/>
        <v>100</v>
      </c>
      <c r="X45" s="1554"/>
      <c r="Y45" s="3401"/>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48"/>
      <c r="Q46" s="1559">
        <f t="shared" si="11"/>
        <v>111</v>
      </c>
      <c r="R46" s="1560" t="s">
        <v>8</v>
      </c>
      <c r="S46" s="1561">
        <f t="shared" si="12"/>
        <v>100</v>
      </c>
      <c r="T46" s="1560" t="s">
        <v>8</v>
      </c>
      <c r="U46" s="1561">
        <f t="shared" si="13"/>
        <v>100</v>
      </c>
      <c r="V46" s="1560" t="s">
        <v>8</v>
      </c>
      <c r="W46" s="1561">
        <f t="shared" si="14"/>
        <v>100</v>
      </c>
      <c r="X46" s="1554"/>
      <c r="Y46" s="3448"/>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63" t="str">
        <f>A47</f>
        <v>成交单价（元/平方米）</v>
      </c>
      <c r="Q47" s="3363"/>
      <c r="R47" s="3447">
        <f>E47</f>
        <v>0</v>
      </c>
      <c r="S47" s="3447"/>
      <c r="T47" s="3447">
        <f>G47</f>
        <v>0</v>
      </c>
      <c r="U47" s="3447"/>
      <c r="V47" s="3447">
        <f>I47</f>
        <v>0</v>
      </c>
      <c r="W47" s="3447"/>
      <c r="X47" s="1546"/>
      <c r="Y47" s="1568"/>
      <c r="Z47" s="1546"/>
      <c r="AA47" s="1546"/>
      <c r="AB47" s="1546"/>
      <c r="AC47" s="1546"/>
    </row>
    <row r="48" spans="1:29" ht="15.75" thickBot="1">
      <c r="A48" s="615" t="s">
        <v>2759</v>
      </c>
      <c r="B48" s="888"/>
      <c r="C48" s="2598" t="e">
        <f>R49</f>
        <v>#N/A</v>
      </c>
      <c r="D48" s="2599"/>
      <c r="E48" s="2600" t="e">
        <f>R48</f>
        <v>#N/A</v>
      </c>
      <c r="F48" s="2600"/>
      <c r="G48" s="2598" t="e">
        <f>T48</f>
        <v>#N/A</v>
      </c>
      <c r="H48" s="2599"/>
      <c r="I48" s="2600" t="e">
        <f>V48</f>
        <v>#N/A</v>
      </c>
      <c r="J48" s="2599"/>
      <c r="K48" s="1598"/>
      <c r="L48" s="2130"/>
      <c r="M48" s="2131"/>
      <c r="N48" s="2120"/>
      <c r="O48" s="2131"/>
      <c r="P48" s="3363" t="str">
        <f>A48</f>
        <v>比较价格（元/平方米）</v>
      </c>
      <c r="Q48" s="3363"/>
      <c r="R48" s="3447" t="e">
        <f>IF(F1="售价",ROUND(PRODUCT(R47,AA7:AA46),0),ROUND(PRODUCT(R47,AA7:AA46),1))</f>
        <v>#N/A</v>
      </c>
      <c r="S48" s="3447"/>
      <c r="T48" s="3447" t="e">
        <f>IF(F1="售价",ROUND(PRODUCT(T47,AB7:AB46),0),ROUND(PRODUCT(T47,AB7:AB46),1))</f>
        <v>#N/A</v>
      </c>
      <c r="U48" s="3447"/>
      <c r="V48" s="3447" t="e">
        <f>IF(F1="售价",ROUND(PRODUCT(V47,AC7:AC46),0),ROUND(PRODUCT(V47,AC7:AC46),1))</f>
        <v>#N/A</v>
      </c>
      <c r="W48" s="3447"/>
      <c r="X48" s="1546"/>
      <c r="Y48" s="1546"/>
      <c r="Z48" s="1546"/>
      <c r="AA48" s="1546"/>
      <c r="AB48" s="1546"/>
      <c r="AC48" s="1546"/>
    </row>
    <row r="49" spans="1:29" ht="15.75" thickBot="1">
      <c r="A49" s="621" t="s">
        <v>2936</v>
      </c>
      <c r="B49" s="622"/>
      <c r="C49" s="2601" t="e">
        <f>R49</f>
        <v>#N/A</v>
      </c>
      <c r="D49" s="2601"/>
      <c r="E49" s="2601"/>
      <c r="F49" s="2601"/>
      <c r="G49" s="2601"/>
      <c r="H49" s="2601"/>
      <c r="I49" s="2601"/>
      <c r="J49" s="2601"/>
      <c r="K49" s="1599"/>
      <c r="L49" s="2130"/>
      <c r="M49" s="2131"/>
      <c r="N49" s="2120"/>
      <c r="O49" s="2131"/>
      <c r="P49" s="3360" t="str">
        <f>A49</f>
        <v>估价对象XX用房的比较价格（楼面单价，元/平方米）</v>
      </c>
      <c r="Q49" s="3361"/>
      <c r="R49" s="3446" t="e">
        <f>IF(F1="售价",ROUND(AVERAGE(R48:V48),0),ROUND(AVERAGE(R48:V48),1))</f>
        <v>#N/A</v>
      </c>
      <c r="S49" s="3446"/>
      <c r="T49" s="3446"/>
      <c r="U49" s="3446"/>
      <c r="V49" s="3446"/>
      <c r="W49" s="344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#N/A</v>
      </c>
      <c r="F52" s="627" t="e">
        <f>IF(OR(E52&gt;=0.3,E52&lt;=-0.3),"超过30%","")</f>
        <v>#N/A</v>
      </c>
      <c r="G52" s="626" t="e">
        <f>IF(G47&lt;G48,G48/G47-1,G47/G48-1)</f>
        <v>#N/A</v>
      </c>
      <c r="H52" s="627" t="e">
        <f>IF(OR(G52&gt;=0.3,G52&lt;=-0.3),"超过30%","")</f>
        <v>#N/A</v>
      </c>
      <c r="I52" s="626" t="e">
        <f>IF(I47&lt;I48,I48/I47-1,I47/I48-1)</f>
        <v>#N/A</v>
      </c>
      <c r="J52" s="627" t="e">
        <f>IF(OR(I52&gt;=0.3,I52&lt;=-0.3),"超过30%","")</f>
        <v>#N/A</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#N/A</v>
      </c>
      <c r="F53" s="627" t="e">
        <f>IF(OR(E53&gt;=0.2,E53&lt;=-0.2),"超过20%","")</f>
        <v>#N/A</v>
      </c>
      <c r="G53" s="626" t="e">
        <f>IF(G48&lt;I48,I48/G48-1,G48/I48-1)</f>
        <v>#N/A</v>
      </c>
      <c r="H53" s="627" t="e">
        <f>IF(OR(G53&gt;=0.2,G53&lt;=-0.2),"超过20%","")</f>
        <v>#N/A</v>
      </c>
      <c r="I53" s="626" t="e">
        <f>IF(I48&lt;E48,E48/I48-1,I48/E48-1)</f>
        <v>#N/A</v>
      </c>
      <c r="J53" s="627" t="e">
        <f>IF(OR(I53&gt;=0.2,I53&lt;=-0.2),"超过20%","")</f>
        <v>#N/A</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v>1</v>
      </c>
      <c r="E68" s="541">
        <v>2</v>
      </c>
      <c r="F68" s="541">
        <v>3</v>
      </c>
      <c r="G68" s="541">
        <v>4</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69" t="s">
        <v>522</v>
      </c>
      <c r="D4" s="3370"/>
      <c r="E4" s="3404" t="s">
        <v>523</v>
      </c>
      <c r="F4" s="3405"/>
      <c r="G4" s="3369" t="s">
        <v>524</v>
      </c>
      <c r="H4" s="3370"/>
      <c r="I4" s="3369" t="s">
        <v>525</v>
      </c>
      <c r="J4" s="3370"/>
      <c r="K4" s="514" t="s">
        <v>526</v>
      </c>
      <c r="L4" s="2119"/>
      <c r="M4" s="2120"/>
      <c r="N4" s="2120"/>
      <c r="O4" s="2120"/>
      <c r="P4" s="3484" t="s">
        <v>527</v>
      </c>
      <c r="Q4" s="3372"/>
      <c r="R4" s="3377" t="s">
        <v>523</v>
      </c>
      <c r="S4" s="3378"/>
      <c r="T4" s="3377" t="s">
        <v>524</v>
      </c>
      <c r="U4" s="3378"/>
      <c r="V4" s="3364" t="s">
        <v>525</v>
      </c>
      <c r="W4" s="3364"/>
      <c r="X4" s="1554"/>
      <c r="Y4" s="3377" t="s">
        <v>527</v>
      </c>
      <c r="Z4" s="3378"/>
      <c r="AA4" s="3366" t="s">
        <v>523</v>
      </c>
      <c r="AB4" s="3366" t="s">
        <v>524</v>
      </c>
      <c r="AC4" s="3366" t="s">
        <v>525</v>
      </c>
    </row>
    <row r="5" spans="1:29" ht="15">
      <c r="A5" s="515"/>
      <c r="B5" s="516"/>
      <c r="C5" s="3385" t="s">
        <v>2930</v>
      </c>
      <c r="D5" s="3386"/>
      <c r="E5" s="3406" t="s">
        <v>2931</v>
      </c>
      <c r="F5" s="3407"/>
      <c r="G5" s="3385" t="s">
        <v>2932</v>
      </c>
      <c r="H5" s="3386"/>
      <c r="I5" s="3385" t="s">
        <v>2933</v>
      </c>
      <c r="J5" s="3386"/>
      <c r="K5" s="514"/>
      <c r="L5" s="2119"/>
      <c r="M5" s="2120"/>
      <c r="N5" s="2120"/>
      <c r="O5" s="2120"/>
      <c r="P5" s="3485"/>
      <c r="Q5" s="3374"/>
      <c r="R5" s="3379"/>
      <c r="S5" s="3380"/>
      <c r="T5" s="3379"/>
      <c r="U5" s="3380"/>
      <c r="V5" s="3364"/>
      <c r="W5" s="3364"/>
      <c r="X5" s="1554"/>
      <c r="Y5" s="3379"/>
      <c r="Z5" s="3380"/>
      <c r="AA5" s="3367"/>
      <c r="AB5" s="3367"/>
      <c r="AC5" s="3367"/>
    </row>
    <row r="6" spans="1:29" ht="15.75" thickBot="1">
      <c r="A6" s="517"/>
      <c r="B6" s="518"/>
      <c r="C6" s="3383" t="s">
        <v>2934</v>
      </c>
      <c r="D6" s="3384"/>
      <c r="E6" s="3402" t="s">
        <v>2934</v>
      </c>
      <c r="F6" s="3403"/>
      <c r="G6" s="3383" t="s">
        <v>2934</v>
      </c>
      <c r="H6" s="3384"/>
      <c r="I6" s="3383" t="s">
        <v>2934</v>
      </c>
      <c r="J6" s="3384"/>
      <c r="K6" s="514" t="s">
        <v>528</v>
      </c>
      <c r="L6" s="2119"/>
      <c r="M6" s="2120"/>
      <c r="N6" s="2120"/>
      <c r="O6" s="2120"/>
      <c r="P6" s="3486"/>
      <c r="Q6" s="3376"/>
      <c r="R6" s="3379"/>
      <c r="S6" s="3380"/>
      <c r="T6" s="3381"/>
      <c r="U6" s="3382"/>
      <c r="V6" s="3364"/>
      <c r="W6" s="3364"/>
      <c r="X6" s="1554"/>
      <c r="Y6" s="3381"/>
      <c r="Z6" s="3382"/>
      <c r="AA6" s="3368"/>
      <c r="AB6" s="3368"/>
      <c r="AC6" s="3368"/>
    </row>
    <row r="7" spans="1:29" s="1216" customFormat="1" ht="15.75" thickBot="1">
      <c r="A7" s="2868"/>
      <c r="B7" s="2875" t="s">
        <v>529</v>
      </c>
      <c r="C7" s="519">
        <f>'数据-取费表'!B2</f>
        <v>43698</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97" t="s">
        <v>530</v>
      </c>
      <c r="Q7" s="3397"/>
      <c r="R7" s="1555" t="s">
        <v>8</v>
      </c>
      <c r="S7" s="1556">
        <f t="shared" ref="S7:S15" si="0">F7</f>
        <v>0</v>
      </c>
      <c r="T7" s="1555" t="s">
        <v>8</v>
      </c>
      <c r="U7" s="1556">
        <f t="shared" ref="U7:U15" si="1">H7</f>
        <v>0</v>
      </c>
      <c r="V7" s="1555" t="s">
        <v>8</v>
      </c>
      <c r="W7" s="1556">
        <f t="shared" ref="W7:W15" si="2">J7</f>
        <v>0</v>
      </c>
      <c r="X7" s="1557"/>
      <c r="Y7" s="3395" t="s">
        <v>530</v>
      </c>
      <c r="Z7" s="3396"/>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97" t="s">
        <v>533</v>
      </c>
      <c r="Q8" s="3396"/>
      <c r="R8" s="1555" t="s">
        <v>8</v>
      </c>
      <c r="S8" s="1556">
        <f t="shared" si="0"/>
        <v>0</v>
      </c>
      <c r="T8" s="1555" t="s">
        <v>8</v>
      </c>
      <c r="U8" s="1556">
        <f t="shared" si="1"/>
        <v>0</v>
      </c>
      <c r="V8" s="1555" t="s">
        <v>8</v>
      </c>
      <c r="W8" s="1556">
        <f t="shared" si="2"/>
        <v>0</v>
      </c>
      <c r="X8" s="1557"/>
      <c r="Y8" s="3395" t="s">
        <v>533</v>
      </c>
      <c r="Z8" s="3396"/>
      <c r="AA8" s="1558" t="e">
        <f t="shared" ref="AA8:AA47" si="3">D8/F8</f>
        <v>#DIV/0!</v>
      </c>
      <c r="AB8" s="1558" t="e">
        <f t="shared" ref="AB8:AB47" si="4">D8/H8</f>
        <v>#DIV/0!</v>
      </c>
      <c r="AC8" s="1558" t="e">
        <f t="shared" ref="AC8:AC47" si="5">D8/J8</f>
        <v>#DIV/0!</v>
      </c>
    </row>
    <row r="9" spans="1:29" s="1216" customFormat="1" ht="15">
      <c r="A9" s="2870"/>
      <c r="B9" s="2877" t="s">
        <v>2755</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63" t="s">
        <v>535</v>
      </c>
      <c r="Q9" s="1147" t="str">
        <f t="shared" ref="Q9:Q15" si="6">B9</f>
        <v>用途</v>
      </c>
      <c r="R9" s="1555" t="s">
        <v>8</v>
      </c>
      <c r="S9" s="1556">
        <f t="shared" si="0"/>
        <v>100</v>
      </c>
      <c r="T9" s="1555" t="s">
        <v>8</v>
      </c>
      <c r="U9" s="1556">
        <f t="shared" si="1"/>
        <v>100</v>
      </c>
      <c r="V9" s="1555" t="s">
        <v>8</v>
      </c>
      <c r="W9" s="1556">
        <f t="shared" si="2"/>
        <v>100</v>
      </c>
      <c r="X9" s="1557"/>
      <c r="Y9" s="3309"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63"/>
      <c r="Q10" s="1147" t="str">
        <f t="shared" si="6"/>
        <v>土地使用年限（年）</v>
      </c>
      <c r="R10" s="1555" t="s">
        <v>8</v>
      </c>
      <c r="S10" s="1556">
        <f t="shared" si="0"/>
        <v>100</v>
      </c>
      <c r="T10" s="1555" t="s">
        <v>8</v>
      </c>
      <c r="U10" s="1556">
        <f t="shared" si="1"/>
        <v>100</v>
      </c>
      <c r="V10" s="1555" t="s">
        <v>8</v>
      </c>
      <c r="W10" s="1556">
        <f t="shared" si="2"/>
        <v>100</v>
      </c>
      <c r="X10" s="1557"/>
      <c r="Y10" s="3309"/>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63"/>
      <c r="Q11" s="1147" t="str">
        <f t="shared" si="6"/>
        <v>容积率</v>
      </c>
      <c r="R11" s="1555" t="s">
        <v>8</v>
      </c>
      <c r="S11" s="1556" t="e">
        <f t="shared" si="0"/>
        <v>#N/A</v>
      </c>
      <c r="T11" s="1555" t="s">
        <v>8</v>
      </c>
      <c r="U11" s="1556" t="e">
        <f t="shared" si="1"/>
        <v>#N/A</v>
      </c>
      <c r="V11" s="1555" t="s">
        <v>8</v>
      </c>
      <c r="W11" s="1556" t="e">
        <f t="shared" si="2"/>
        <v>#N/A</v>
      </c>
      <c r="X11" s="1557"/>
      <c r="Y11" s="330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63"/>
      <c r="Q12" s="1147">
        <f t="shared" si="6"/>
        <v>111</v>
      </c>
      <c r="R12" s="1555" t="s">
        <v>8</v>
      </c>
      <c r="S12" s="1556">
        <f t="shared" si="0"/>
        <v>100</v>
      </c>
      <c r="T12" s="1555" t="s">
        <v>8</v>
      </c>
      <c r="U12" s="1556">
        <f t="shared" si="1"/>
        <v>100</v>
      </c>
      <c r="V12" s="1555" t="s">
        <v>8</v>
      </c>
      <c r="W12" s="1556">
        <f t="shared" si="2"/>
        <v>100</v>
      </c>
      <c r="X12" s="1557"/>
      <c r="Y12" s="3309"/>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63"/>
      <c r="Q13" s="1147">
        <f t="shared" si="6"/>
        <v>111</v>
      </c>
      <c r="R13" s="1555" t="s">
        <v>8</v>
      </c>
      <c r="S13" s="1556">
        <f t="shared" si="0"/>
        <v>100</v>
      </c>
      <c r="T13" s="1555" t="s">
        <v>8</v>
      </c>
      <c r="U13" s="1556">
        <f t="shared" si="1"/>
        <v>100</v>
      </c>
      <c r="V13" s="1555" t="s">
        <v>8</v>
      </c>
      <c r="W13" s="1556">
        <f t="shared" si="2"/>
        <v>100</v>
      </c>
      <c r="X13" s="1557"/>
      <c r="Y13" s="3309"/>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63"/>
      <c r="Q14" s="1147">
        <f t="shared" si="6"/>
        <v>111</v>
      </c>
      <c r="R14" s="1555" t="s">
        <v>8</v>
      </c>
      <c r="S14" s="1556">
        <f t="shared" si="0"/>
        <v>100</v>
      </c>
      <c r="T14" s="1555" t="s">
        <v>8</v>
      </c>
      <c r="U14" s="1556">
        <f t="shared" si="1"/>
        <v>100</v>
      </c>
      <c r="V14" s="1555" t="s">
        <v>8</v>
      </c>
      <c r="W14" s="1556">
        <f t="shared" si="2"/>
        <v>100</v>
      </c>
      <c r="X14" s="1557"/>
      <c r="Y14" s="3309"/>
      <c r="Z14" s="1146">
        <f t="shared" si="7"/>
        <v>111</v>
      </c>
      <c r="AA14" s="1558">
        <f t="shared" si="3"/>
        <v>1</v>
      </c>
      <c r="AB14" s="1558">
        <f t="shared" si="4"/>
        <v>1</v>
      </c>
      <c r="AC14" s="1558">
        <f t="shared" si="5"/>
        <v>1</v>
      </c>
    </row>
    <row r="15" spans="1:29" ht="71.25">
      <c r="A15" s="2866"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98" t="s">
        <v>540</v>
      </c>
      <c r="Q15" s="1559" t="str">
        <f t="shared" si="6"/>
        <v>办公集聚程度</v>
      </c>
      <c r="R15" s="1560" t="s">
        <v>8</v>
      </c>
      <c r="S15" s="1561">
        <f t="shared" si="0"/>
        <v>100</v>
      </c>
      <c r="T15" s="1560" t="s">
        <v>8</v>
      </c>
      <c r="U15" s="1561">
        <f t="shared" si="1"/>
        <v>100</v>
      </c>
      <c r="V15" s="1560" t="s">
        <v>8</v>
      </c>
      <c r="W15" s="1561">
        <f t="shared" si="2"/>
        <v>100</v>
      </c>
      <c r="X15" s="1554"/>
      <c r="Y15" s="3398"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99"/>
      <c r="Q16" s="1559"/>
      <c r="R16" s="1560"/>
      <c r="S16" s="1561"/>
      <c r="T16" s="1560"/>
      <c r="U16" s="1561"/>
      <c r="V16" s="1560"/>
      <c r="W16" s="1561"/>
      <c r="X16" s="1554"/>
      <c r="Y16" s="3399"/>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99"/>
      <c r="Q17" s="1559" t="str">
        <f>B17</f>
        <v>交通便捷度</v>
      </c>
      <c r="R17" s="1560" t="s">
        <v>8</v>
      </c>
      <c r="S17" s="1561">
        <f>F17</f>
        <v>100</v>
      </c>
      <c r="T17" s="1560" t="s">
        <v>8</v>
      </c>
      <c r="U17" s="1561">
        <f>H17</f>
        <v>100</v>
      </c>
      <c r="V17" s="1560" t="s">
        <v>8</v>
      </c>
      <c r="W17" s="1561">
        <f>J17</f>
        <v>100</v>
      </c>
      <c r="X17" s="1554"/>
      <c r="Y17" s="3399"/>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99"/>
      <c r="Q18" s="1559"/>
      <c r="R18" s="1560"/>
      <c r="S18" s="1561"/>
      <c r="T18" s="1560"/>
      <c r="U18" s="1561"/>
      <c r="V18" s="1560"/>
      <c r="W18" s="1561"/>
      <c r="X18" s="1554"/>
      <c r="Y18" s="3399"/>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99"/>
      <c r="Q19" s="1559" t="str">
        <f>B19</f>
        <v>公共配套设施</v>
      </c>
      <c r="R19" s="1560" t="s">
        <v>8</v>
      </c>
      <c r="S19" s="1561">
        <f>F19</f>
        <v>100</v>
      </c>
      <c r="T19" s="1560" t="s">
        <v>8</v>
      </c>
      <c r="U19" s="1561">
        <f>H19</f>
        <v>100</v>
      </c>
      <c r="V19" s="1560" t="s">
        <v>8</v>
      </c>
      <c r="W19" s="1561">
        <f>J19</f>
        <v>100</v>
      </c>
      <c r="X19" s="1554"/>
      <c r="Y19" s="3399"/>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99"/>
      <c r="Q20" s="1559"/>
      <c r="R20" s="1560"/>
      <c r="S20" s="1561"/>
      <c r="T20" s="1560"/>
      <c r="U20" s="1561"/>
      <c r="V20" s="1560"/>
      <c r="W20" s="1561"/>
      <c r="X20" s="1554"/>
      <c r="Y20" s="3399"/>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99"/>
      <c r="Q21" s="2544" t="str">
        <f>B21</f>
        <v>基础设施水平</v>
      </c>
      <c r="R21" s="1560" t="s">
        <v>8</v>
      </c>
      <c r="S21" s="1561">
        <f>F21</f>
        <v>100</v>
      </c>
      <c r="T21" s="1560" t="s">
        <v>8</v>
      </c>
      <c r="U21" s="1561">
        <f>H21</f>
        <v>100</v>
      </c>
      <c r="V21" s="1560" t="s">
        <v>8</v>
      </c>
      <c r="W21" s="1561">
        <f>J21</f>
        <v>100</v>
      </c>
      <c r="X21" s="2546"/>
      <c r="Y21" s="3399"/>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99"/>
      <c r="Q22" s="2544"/>
      <c r="R22" s="1560"/>
      <c r="S22" s="1561"/>
      <c r="T22" s="1560"/>
      <c r="U22" s="1561"/>
      <c r="V22" s="1560"/>
      <c r="W22" s="1561"/>
      <c r="X22" s="2546"/>
      <c r="Y22" s="3399"/>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99"/>
      <c r="Q23" s="1559" t="str">
        <f>B23</f>
        <v>环境质量</v>
      </c>
      <c r="R23" s="1560" t="s">
        <v>8</v>
      </c>
      <c r="S23" s="1561">
        <f>F23</f>
        <v>100</v>
      </c>
      <c r="T23" s="1560" t="s">
        <v>8</v>
      </c>
      <c r="U23" s="1561">
        <f>H23</f>
        <v>100</v>
      </c>
      <c r="V23" s="1560" t="s">
        <v>8</v>
      </c>
      <c r="W23" s="1561">
        <f>J23</f>
        <v>100</v>
      </c>
      <c r="X23" s="1554"/>
      <c r="Y23" s="3399"/>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99"/>
      <c r="Q24" s="1559"/>
      <c r="R24" s="1560"/>
      <c r="S24" s="1561"/>
      <c r="T24" s="1560"/>
      <c r="U24" s="1561"/>
      <c r="V24" s="1560"/>
      <c r="W24" s="1561"/>
      <c r="X24" s="1554"/>
      <c r="Y24" s="3399"/>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99"/>
      <c r="Q25" s="1559" t="str">
        <f>B25</f>
        <v>毗邻道路的类型与等级</v>
      </c>
      <c r="R25" s="1560" t="s">
        <v>8</v>
      </c>
      <c r="S25" s="1561">
        <f>F25</f>
        <v>100</v>
      </c>
      <c r="T25" s="1560" t="s">
        <v>8</v>
      </c>
      <c r="U25" s="1561">
        <f>H25</f>
        <v>100</v>
      </c>
      <c r="V25" s="1560" t="s">
        <v>8</v>
      </c>
      <c r="W25" s="1561">
        <f>J25</f>
        <v>100</v>
      </c>
      <c r="X25" s="1554"/>
      <c r="Y25" s="3399"/>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99"/>
      <c r="Q26" s="1559"/>
      <c r="R26" s="1560"/>
      <c r="S26" s="1561"/>
      <c r="T26" s="1560"/>
      <c r="U26" s="1561"/>
      <c r="V26" s="1560"/>
      <c r="W26" s="1561"/>
      <c r="X26" s="1554"/>
      <c r="Y26" s="3399"/>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99"/>
      <c r="Q27" s="1559" t="str">
        <f t="shared" ref="Q27:Q47" si="11">B27</f>
        <v>楼层</v>
      </c>
      <c r="R27" s="1560" t="s">
        <v>8</v>
      </c>
      <c r="S27" s="1561">
        <f>F27</f>
        <v>100</v>
      </c>
      <c r="T27" s="1560" t="s">
        <v>8</v>
      </c>
      <c r="U27" s="1561">
        <f>H27</f>
        <v>100</v>
      </c>
      <c r="V27" s="1560" t="s">
        <v>8</v>
      </c>
      <c r="W27" s="1561">
        <f>J27</f>
        <v>100</v>
      </c>
      <c r="X27" s="1554"/>
      <c r="Y27" s="3399"/>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99"/>
      <c r="Q28" s="1147" t="str">
        <f t="shared" si="11"/>
        <v>朝向</v>
      </c>
      <c r="R28" s="1555" t="s">
        <v>8</v>
      </c>
      <c r="S28" s="1556">
        <f>F28</f>
        <v>100</v>
      </c>
      <c r="T28" s="1555" t="s">
        <v>8</v>
      </c>
      <c r="U28" s="1556">
        <f>H28</f>
        <v>100</v>
      </c>
      <c r="V28" s="1555" t="s">
        <v>8</v>
      </c>
      <c r="W28" s="1556">
        <f>J28</f>
        <v>100</v>
      </c>
      <c r="X28" s="1557"/>
      <c r="Y28" s="3399"/>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99"/>
      <c r="Q29" s="1559">
        <f t="shared" si="11"/>
        <v>111</v>
      </c>
      <c r="R29" s="1560" t="s">
        <v>8</v>
      </c>
      <c r="S29" s="1561">
        <f t="shared" ref="S29:S47" si="12">F29</f>
        <v>100</v>
      </c>
      <c r="T29" s="1560" t="s">
        <v>8</v>
      </c>
      <c r="U29" s="1561">
        <f t="shared" ref="U29:U47" si="13">H29</f>
        <v>100</v>
      </c>
      <c r="V29" s="1560" t="s">
        <v>8</v>
      </c>
      <c r="W29" s="1561">
        <f t="shared" ref="W29:W47" si="14">J29</f>
        <v>100</v>
      </c>
      <c r="X29" s="1554"/>
      <c r="Y29" s="3399"/>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99"/>
      <c r="Q30" s="1559">
        <f t="shared" si="11"/>
        <v>111</v>
      </c>
      <c r="R30" s="1560" t="s">
        <v>8</v>
      </c>
      <c r="S30" s="1561">
        <f t="shared" si="12"/>
        <v>100</v>
      </c>
      <c r="T30" s="1560" t="s">
        <v>8</v>
      </c>
      <c r="U30" s="1561">
        <f t="shared" si="13"/>
        <v>100</v>
      </c>
      <c r="V30" s="1560" t="s">
        <v>8</v>
      </c>
      <c r="W30" s="1561">
        <f t="shared" si="14"/>
        <v>100</v>
      </c>
      <c r="X30" s="1554"/>
      <c r="Y30" s="3399"/>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99"/>
      <c r="Q31" s="1559">
        <f t="shared" si="11"/>
        <v>111</v>
      </c>
      <c r="R31" s="1560" t="s">
        <v>8</v>
      </c>
      <c r="S31" s="1561">
        <f t="shared" si="12"/>
        <v>100</v>
      </c>
      <c r="T31" s="1560" t="s">
        <v>8</v>
      </c>
      <c r="U31" s="1561">
        <f t="shared" si="13"/>
        <v>100</v>
      </c>
      <c r="V31" s="1560" t="s">
        <v>8</v>
      </c>
      <c r="W31" s="1561">
        <f t="shared" si="14"/>
        <v>100</v>
      </c>
      <c r="X31" s="1554"/>
      <c r="Y31" s="3399"/>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99"/>
      <c r="Q32" s="1559">
        <f t="shared" si="11"/>
        <v>111</v>
      </c>
      <c r="R32" s="1560" t="s">
        <v>8</v>
      </c>
      <c r="S32" s="1561">
        <f t="shared" si="12"/>
        <v>100</v>
      </c>
      <c r="T32" s="1560" t="s">
        <v>8</v>
      </c>
      <c r="U32" s="1561">
        <f t="shared" si="13"/>
        <v>100</v>
      </c>
      <c r="V32" s="1560" t="s">
        <v>8</v>
      </c>
      <c r="W32" s="1561">
        <f t="shared" si="14"/>
        <v>100</v>
      </c>
      <c r="X32" s="1554"/>
      <c r="Y32" s="3399"/>
      <c r="Z32" s="1562">
        <f t="shared" si="15"/>
        <v>111</v>
      </c>
      <c r="AA32" s="1563">
        <f t="shared" si="3"/>
        <v>1</v>
      </c>
      <c r="AB32" s="1563">
        <f t="shared" si="4"/>
        <v>1</v>
      </c>
      <c r="AC32" s="1563">
        <f t="shared" si="5"/>
        <v>1</v>
      </c>
    </row>
    <row r="33" spans="1:29" ht="15">
      <c r="A33" s="2863"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00" t="s">
        <v>550</v>
      </c>
      <c r="Q33" s="1559" t="str">
        <f t="shared" si="11"/>
        <v>建筑类型</v>
      </c>
      <c r="R33" s="1560" t="s">
        <v>8</v>
      </c>
      <c r="S33" s="1561">
        <f t="shared" si="12"/>
        <v>100</v>
      </c>
      <c r="T33" s="1560" t="s">
        <v>8</v>
      </c>
      <c r="U33" s="1561">
        <f t="shared" si="13"/>
        <v>100</v>
      </c>
      <c r="V33" s="1560" t="s">
        <v>8</v>
      </c>
      <c r="W33" s="1561">
        <f t="shared" si="14"/>
        <v>100</v>
      </c>
      <c r="X33" s="1554"/>
      <c r="Y33" s="3401"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01"/>
      <c r="Q34" s="1591" t="str">
        <f t="shared" si="11"/>
        <v>项目建筑规模</v>
      </c>
      <c r="R34" s="1564" t="s">
        <v>8</v>
      </c>
      <c r="S34" s="1565" t="e">
        <f t="shared" si="12"/>
        <v>#N/A</v>
      </c>
      <c r="T34" s="1564" t="s">
        <v>8</v>
      </c>
      <c r="U34" s="1565" t="e">
        <f t="shared" si="13"/>
        <v>#N/A</v>
      </c>
      <c r="V34" s="1564" t="s">
        <v>8</v>
      </c>
      <c r="W34" s="1565" t="e">
        <f t="shared" si="14"/>
        <v>#N/A</v>
      </c>
      <c r="X34" s="1566"/>
      <c r="Y34" s="3401"/>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01"/>
      <c r="Q35" s="1559" t="str">
        <f t="shared" si="11"/>
        <v>建筑结构</v>
      </c>
      <c r="R35" s="1560" t="s">
        <v>8</v>
      </c>
      <c r="S35" s="1561">
        <f t="shared" si="12"/>
        <v>100</v>
      </c>
      <c r="T35" s="1560" t="s">
        <v>8</v>
      </c>
      <c r="U35" s="1561">
        <f t="shared" si="13"/>
        <v>100</v>
      </c>
      <c r="V35" s="1560" t="s">
        <v>8</v>
      </c>
      <c r="W35" s="1561">
        <f t="shared" si="14"/>
        <v>100</v>
      </c>
      <c r="X35" s="1554"/>
      <c r="Y35" s="3401"/>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01"/>
      <c r="Q36" s="1559" t="str">
        <f t="shared" si="11"/>
        <v>公共部分装修</v>
      </c>
      <c r="R36" s="1560" t="s">
        <v>8</v>
      </c>
      <c r="S36" s="1561">
        <f t="shared" si="12"/>
        <v>100</v>
      </c>
      <c r="T36" s="1560" t="s">
        <v>8</v>
      </c>
      <c r="U36" s="1561">
        <f t="shared" si="13"/>
        <v>100</v>
      </c>
      <c r="V36" s="1560" t="s">
        <v>8</v>
      </c>
      <c r="W36" s="1561">
        <f t="shared" si="14"/>
        <v>100</v>
      </c>
      <c r="X36" s="1554"/>
      <c r="Y36" s="3401"/>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01"/>
      <c r="Q37" s="1559" t="str">
        <f t="shared" si="11"/>
        <v>成新度</v>
      </c>
      <c r="R37" s="1560" t="s">
        <v>8</v>
      </c>
      <c r="S37" s="1561" t="e">
        <f t="shared" si="12"/>
        <v>#N/A</v>
      </c>
      <c r="T37" s="1560" t="s">
        <v>8</v>
      </c>
      <c r="U37" s="1561" t="e">
        <f t="shared" si="13"/>
        <v>#N/A</v>
      </c>
      <c r="V37" s="1560" t="s">
        <v>8</v>
      </c>
      <c r="W37" s="1561" t="e">
        <f t="shared" si="14"/>
        <v>#N/A</v>
      </c>
      <c r="X37" s="1554"/>
      <c r="Y37" s="3401"/>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01"/>
      <c r="Q38" s="1147" t="str">
        <f t="shared" si="11"/>
        <v>写字楼等级</v>
      </c>
      <c r="R38" s="1555" t="s">
        <v>8</v>
      </c>
      <c r="S38" s="1556">
        <f t="shared" si="12"/>
        <v>100</v>
      </c>
      <c r="T38" s="1555" t="s">
        <v>8</v>
      </c>
      <c r="U38" s="1556">
        <f t="shared" si="13"/>
        <v>100</v>
      </c>
      <c r="V38" s="1555" t="s">
        <v>8</v>
      </c>
      <c r="W38" s="1556">
        <f t="shared" si="14"/>
        <v>100</v>
      </c>
      <c r="X38" s="1557"/>
      <c r="Y38" s="3401"/>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01" t="s">
        <v>550</v>
      </c>
      <c r="Q39" s="1559" t="str">
        <f t="shared" si="11"/>
        <v>物业管理</v>
      </c>
      <c r="R39" s="1560" t="s">
        <v>8</v>
      </c>
      <c r="S39" s="1561">
        <f t="shared" si="12"/>
        <v>100</v>
      </c>
      <c r="T39" s="1560" t="s">
        <v>8</v>
      </c>
      <c r="U39" s="1561">
        <f t="shared" si="13"/>
        <v>100</v>
      </c>
      <c r="V39" s="1560" t="s">
        <v>8</v>
      </c>
      <c r="W39" s="1561">
        <f t="shared" si="14"/>
        <v>100</v>
      </c>
      <c r="X39" s="1554"/>
      <c r="Y39" s="3401"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01"/>
      <c r="Q40" s="1559" t="str">
        <f t="shared" si="11"/>
        <v>市政基础设施</v>
      </c>
      <c r="R40" s="1560" t="s">
        <v>8</v>
      </c>
      <c r="S40" s="1561">
        <f t="shared" si="12"/>
        <v>100</v>
      </c>
      <c r="T40" s="1560" t="s">
        <v>8</v>
      </c>
      <c r="U40" s="1561">
        <f t="shared" si="13"/>
        <v>100</v>
      </c>
      <c r="V40" s="1560" t="s">
        <v>8</v>
      </c>
      <c r="W40" s="1561">
        <f t="shared" si="14"/>
        <v>100</v>
      </c>
      <c r="X40" s="1554"/>
      <c r="Y40" s="3401"/>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01"/>
      <c r="Q41" s="1559" t="str">
        <f t="shared" si="11"/>
        <v>层高</v>
      </c>
      <c r="R41" s="1560" t="s">
        <v>8</v>
      </c>
      <c r="S41" s="1561">
        <f t="shared" si="12"/>
        <v>100</v>
      </c>
      <c r="T41" s="1560" t="s">
        <v>8</v>
      </c>
      <c r="U41" s="1561">
        <f t="shared" si="13"/>
        <v>100</v>
      </c>
      <c r="V41" s="1560" t="s">
        <v>8</v>
      </c>
      <c r="W41" s="1561">
        <f t="shared" si="14"/>
        <v>100</v>
      </c>
      <c r="X41" s="1554"/>
      <c r="Y41" s="3401"/>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01"/>
      <c r="Q42" s="1591" t="str">
        <f t="shared" si="11"/>
        <v>单套建筑面积</v>
      </c>
      <c r="R42" s="1564" t="s">
        <v>8</v>
      </c>
      <c r="S42" s="1565">
        <f t="shared" si="12"/>
        <v>100</v>
      </c>
      <c r="T42" s="1564" t="s">
        <v>8</v>
      </c>
      <c r="U42" s="1565">
        <f t="shared" si="13"/>
        <v>100</v>
      </c>
      <c r="V42" s="1564" t="s">
        <v>8</v>
      </c>
      <c r="W42" s="1565">
        <f t="shared" si="14"/>
        <v>100</v>
      </c>
      <c r="X42" s="1566"/>
      <c r="Y42" s="3401"/>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01"/>
      <c r="Q43" s="1559" t="str">
        <f t="shared" si="11"/>
        <v>内部装修</v>
      </c>
      <c r="R43" s="1560" t="s">
        <v>8</v>
      </c>
      <c r="S43" s="1561">
        <f t="shared" si="12"/>
        <v>100</v>
      </c>
      <c r="T43" s="1560" t="s">
        <v>8</v>
      </c>
      <c r="U43" s="1561">
        <f t="shared" si="13"/>
        <v>100</v>
      </c>
      <c r="V43" s="1560" t="s">
        <v>8</v>
      </c>
      <c r="W43" s="1561">
        <f t="shared" si="14"/>
        <v>100</v>
      </c>
      <c r="X43" s="1554"/>
      <c r="Y43" s="3401"/>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01"/>
      <c r="Q44" s="1559" t="str">
        <f t="shared" si="11"/>
        <v>内部装修维护情况</v>
      </c>
      <c r="R44" s="1560" t="s">
        <v>8</v>
      </c>
      <c r="S44" s="1561">
        <f t="shared" si="12"/>
        <v>100</v>
      </c>
      <c r="T44" s="1560" t="s">
        <v>8</v>
      </c>
      <c r="U44" s="1561">
        <f t="shared" si="13"/>
        <v>100</v>
      </c>
      <c r="V44" s="1560" t="s">
        <v>8</v>
      </c>
      <c r="W44" s="1561">
        <f t="shared" si="14"/>
        <v>100</v>
      </c>
      <c r="X44" s="1554"/>
      <c r="Y44" s="3401"/>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01"/>
      <c r="Q45" s="1147">
        <f t="shared" si="11"/>
        <v>111</v>
      </c>
      <c r="R45" s="1555" t="s">
        <v>8</v>
      </c>
      <c r="S45" s="1556">
        <f t="shared" si="12"/>
        <v>100</v>
      </c>
      <c r="T45" s="1555" t="s">
        <v>8</v>
      </c>
      <c r="U45" s="1556">
        <f t="shared" si="13"/>
        <v>100</v>
      </c>
      <c r="V45" s="1555" t="s">
        <v>8</v>
      </c>
      <c r="W45" s="1556">
        <f t="shared" si="14"/>
        <v>100</v>
      </c>
      <c r="X45" s="1557"/>
      <c r="Y45" s="3401"/>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01"/>
      <c r="Q46" s="1559">
        <f t="shared" si="11"/>
        <v>111</v>
      </c>
      <c r="R46" s="1560" t="s">
        <v>8</v>
      </c>
      <c r="S46" s="1561">
        <f t="shared" si="12"/>
        <v>100</v>
      </c>
      <c r="T46" s="1560" t="s">
        <v>8</v>
      </c>
      <c r="U46" s="1561">
        <f t="shared" si="13"/>
        <v>100</v>
      </c>
      <c r="V46" s="1560" t="s">
        <v>8</v>
      </c>
      <c r="W46" s="1561">
        <f t="shared" si="14"/>
        <v>100</v>
      </c>
      <c r="X46" s="1554"/>
      <c r="Y46" s="3401"/>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48"/>
      <c r="Q47" s="1559">
        <f t="shared" si="11"/>
        <v>111</v>
      </c>
      <c r="R47" s="1560" t="s">
        <v>8</v>
      </c>
      <c r="S47" s="1561">
        <f t="shared" si="12"/>
        <v>100</v>
      </c>
      <c r="T47" s="1560" t="s">
        <v>8</v>
      </c>
      <c r="U47" s="1561">
        <f t="shared" si="13"/>
        <v>100</v>
      </c>
      <c r="V47" s="1560" t="s">
        <v>8</v>
      </c>
      <c r="W47" s="1561">
        <f t="shared" si="14"/>
        <v>100</v>
      </c>
      <c r="X47" s="1554"/>
      <c r="Y47" s="3448"/>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61" t="str">
        <f>A48</f>
        <v>成交单价（元/平方米）</v>
      </c>
      <c r="Q48" s="3363"/>
      <c r="R48" s="3447">
        <f>E48</f>
        <v>0</v>
      </c>
      <c r="S48" s="3447"/>
      <c r="T48" s="3447">
        <f>G48</f>
        <v>0</v>
      </c>
      <c r="U48" s="3447"/>
      <c r="V48" s="3447">
        <f>I48</f>
        <v>0</v>
      </c>
      <c r="W48" s="3447"/>
      <c r="X48" s="1546"/>
      <c r="Y48" s="1568"/>
      <c r="Z48" s="1546"/>
      <c r="AA48" s="1546"/>
      <c r="AB48" s="1546"/>
      <c r="AC48" s="1546"/>
    </row>
    <row r="49" spans="1:29" ht="15.75" thickBot="1">
      <c r="A49" s="615" t="s">
        <v>2759</v>
      </c>
      <c r="B49" s="888"/>
      <c r="C49" s="2598" t="e">
        <f>R50</f>
        <v>#DIV/0!</v>
      </c>
      <c r="D49" s="2599"/>
      <c r="E49" s="2600" t="e">
        <f>R49</f>
        <v>#DIV/0!</v>
      </c>
      <c r="F49" s="2600"/>
      <c r="G49" s="2598" t="e">
        <f>T49</f>
        <v>#DIV/0!</v>
      </c>
      <c r="H49" s="2599"/>
      <c r="I49" s="2600" t="e">
        <f>V49</f>
        <v>#DIV/0!</v>
      </c>
      <c r="J49" s="2599"/>
      <c r="K49" s="1598"/>
      <c r="L49" s="2130"/>
      <c r="M49" s="2120"/>
      <c r="N49" s="2120"/>
      <c r="O49" s="2120"/>
      <c r="P49" s="3361" t="str">
        <f>A49</f>
        <v>比较价格（元/平方米）</v>
      </c>
      <c r="Q49" s="3363"/>
      <c r="R49" s="3447" t="e">
        <f>IF(F1="售价",ROUND(PRODUCT(R48,AA7:AA47),0),ROUND(PRODUCT(R48,AA7:AA47),1))</f>
        <v>#DIV/0!</v>
      </c>
      <c r="S49" s="3447"/>
      <c r="T49" s="3447" t="e">
        <f>IF(F1="售价",ROUND(PRODUCT(T48,AB7:AB47),0),ROUND(PRODUCT(T48,AB7:AB47),1))</f>
        <v>#DIV/0!</v>
      </c>
      <c r="U49" s="3447"/>
      <c r="V49" s="3447" t="e">
        <f>IF(F1="售价",ROUND(PRODUCT(V48,AC7:AC47),0),ROUND(PRODUCT(V48,AC7:AC47),1))</f>
        <v>#DIV/0!</v>
      </c>
      <c r="W49" s="3447"/>
      <c r="X49" s="1546"/>
      <c r="Y49" s="1546"/>
      <c r="Z49" s="1546"/>
      <c r="AA49" s="1546"/>
      <c r="AB49" s="1546"/>
      <c r="AC49" s="1546"/>
    </row>
    <row r="50" spans="1:29" ht="15.75" thickBot="1">
      <c r="A50" s="621" t="s">
        <v>2936</v>
      </c>
      <c r="B50" s="622"/>
      <c r="C50" s="2601" t="e">
        <f>R50</f>
        <v>#DIV/0!</v>
      </c>
      <c r="D50" s="2601"/>
      <c r="E50" s="2601"/>
      <c r="F50" s="2601"/>
      <c r="G50" s="2601"/>
      <c r="H50" s="2601"/>
      <c r="I50" s="2601"/>
      <c r="J50" s="2601"/>
      <c r="K50" s="1599"/>
      <c r="L50" s="2130"/>
      <c r="M50" s="2120"/>
      <c r="N50" s="2120"/>
      <c r="O50" s="2120"/>
      <c r="P50" s="3483" t="str">
        <f>A50</f>
        <v>估价对象XX用房的比较价格（楼面单价，元/平方米）</v>
      </c>
      <c r="Q50" s="3361"/>
      <c r="R50" s="3446" t="e">
        <f>IF(F1="售价",ROUND(AVERAGE(R49:V49),0),ROUND(AVERAGE(R49:V49),1))</f>
        <v>#DIV/0!</v>
      </c>
      <c r="S50" s="3446"/>
      <c r="T50" s="3446"/>
      <c r="U50" s="3446"/>
      <c r="V50" s="3446"/>
      <c r="W50" s="3446"/>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2019-8</v>
      </c>
      <c r="D59" s="2760">
        <f>EDATE(C59,-1)</f>
        <v>43647</v>
      </c>
      <c r="E59" s="2760">
        <f t="shared" ref="E59:O59" si="16">EDATE(D59,-1)</f>
        <v>43617</v>
      </c>
      <c r="F59" s="2760">
        <f t="shared" si="16"/>
        <v>43586</v>
      </c>
      <c r="G59" s="2760">
        <f t="shared" si="16"/>
        <v>43556</v>
      </c>
      <c r="H59" s="2760">
        <f t="shared" si="16"/>
        <v>43525</v>
      </c>
      <c r="I59" s="2760">
        <f t="shared" si="16"/>
        <v>43497</v>
      </c>
      <c r="J59" s="2760">
        <f t="shared" si="16"/>
        <v>43466</v>
      </c>
      <c r="K59" s="2760">
        <f t="shared" si="16"/>
        <v>43435</v>
      </c>
      <c r="L59" s="2760">
        <f t="shared" si="16"/>
        <v>43405</v>
      </c>
      <c r="M59" s="2760">
        <f t="shared" si="16"/>
        <v>43374</v>
      </c>
      <c r="N59" s="2760">
        <f t="shared" si="16"/>
        <v>43344</v>
      </c>
      <c r="O59" s="2760">
        <f t="shared" si="16"/>
        <v>43313</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69" t="s">
        <v>522</v>
      </c>
      <c r="D4" s="3370"/>
      <c r="E4" s="3404" t="s">
        <v>523</v>
      </c>
      <c r="F4" s="3405"/>
      <c r="G4" s="3369" t="s">
        <v>524</v>
      </c>
      <c r="H4" s="3370"/>
      <c r="I4" s="3369" t="s">
        <v>525</v>
      </c>
      <c r="J4" s="3370"/>
      <c r="K4" s="514" t="s">
        <v>526</v>
      </c>
      <c r="L4" s="2119"/>
      <c r="M4" s="2120"/>
      <c r="N4" s="2120"/>
      <c r="O4" s="2120"/>
      <c r="P4" s="3371" t="s">
        <v>527</v>
      </c>
      <c r="Q4" s="3372"/>
      <c r="R4" s="3377" t="s">
        <v>523</v>
      </c>
      <c r="S4" s="3378"/>
      <c r="T4" s="3377" t="s">
        <v>524</v>
      </c>
      <c r="U4" s="3378"/>
      <c r="V4" s="3364" t="s">
        <v>525</v>
      </c>
      <c r="W4" s="3364"/>
      <c r="X4" s="1554"/>
      <c r="Y4" s="3377" t="s">
        <v>527</v>
      </c>
      <c r="Z4" s="3378"/>
      <c r="AA4" s="3366" t="s">
        <v>523</v>
      </c>
      <c r="AB4" s="3367" t="s">
        <v>524</v>
      </c>
      <c r="AC4" s="3366" t="s">
        <v>525</v>
      </c>
    </row>
    <row r="5" spans="1:29" ht="15">
      <c r="A5" s="515"/>
      <c r="B5" s="516"/>
      <c r="C5" s="3385" t="s">
        <v>2930</v>
      </c>
      <c r="D5" s="3386"/>
      <c r="E5" s="3406" t="s">
        <v>2931</v>
      </c>
      <c r="F5" s="3407"/>
      <c r="G5" s="3385" t="s">
        <v>2932</v>
      </c>
      <c r="H5" s="3386"/>
      <c r="I5" s="3385" t="s">
        <v>2933</v>
      </c>
      <c r="J5" s="3386"/>
      <c r="K5" s="514"/>
      <c r="L5" s="2119"/>
      <c r="M5" s="2120"/>
      <c r="N5" s="2120"/>
      <c r="O5" s="2120"/>
      <c r="P5" s="3373"/>
      <c r="Q5" s="3374"/>
      <c r="R5" s="3379"/>
      <c r="S5" s="3380"/>
      <c r="T5" s="3379"/>
      <c r="U5" s="3380"/>
      <c r="V5" s="3364"/>
      <c r="W5" s="3364"/>
      <c r="X5" s="1554"/>
      <c r="Y5" s="3379"/>
      <c r="Z5" s="3380"/>
      <c r="AA5" s="3367"/>
      <c r="AB5" s="3367"/>
      <c r="AC5" s="3367"/>
    </row>
    <row r="6" spans="1:29" ht="15.75" thickBot="1">
      <c r="A6" s="517"/>
      <c r="B6" s="518"/>
      <c r="C6" s="3383" t="s">
        <v>2934</v>
      </c>
      <c r="D6" s="3384"/>
      <c r="E6" s="3402" t="s">
        <v>2934</v>
      </c>
      <c r="F6" s="3403"/>
      <c r="G6" s="3383" t="s">
        <v>2934</v>
      </c>
      <c r="H6" s="3384"/>
      <c r="I6" s="3383" t="s">
        <v>2934</v>
      </c>
      <c r="J6" s="3384"/>
      <c r="K6" s="514" t="s">
        <v>528</v>
      </c>
      <c r="L6" s="2119"/>
      <c r="M6" s="2120"/>
      <c r="N6" s="2120"/>
      <c r="O6" s="2120"/>
      <c r="P6" s="3375"/>
      <c r="Q6" s="3376"/>
      <c r="R6" s="3379"/>
      <c r="S6" s="3380"/>
      <c r="T6" s="3381"/>
      <c r="U6" s="3382"/>
      <c r="V6" s="3364"/>
      <c r="W6" s="3364"/>
      <c r="X6" s="1554"/>
      <c r="Y6" s="3381"/>
      <c r="Z6" s="3382"/>
      <c r="AA6" s="3368"/>
      <c r="AB6" s="3368"/>
      <c r="AC6" s="3368"/>
    </row>
    <row r="7" spans="1:29" s="1216" customFormat="1" ht="15.75" thickBot="1">
      <c r="A7" s="2868"/>
      <c r="B7" s="2875" t="s">
        <v>529</v>
      </c>
      <c r="C7" s="519">
        <f>'数据-取费表'!B2</f>
        <v>43698</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95" t="s">
        <v>530</v>
      </c>
      <c r="Q7" s="3397"/>
      <c r="R7" s="1555" t="s">
        <v>8</v>
      </c>
      <c r="S7" s="1556">
        <f t="shared" ref="S7:S15" si="0">F7</f>
        <v>0</v>
      </c>
      <c r="T7" s="1555" t="s">
        <v>8</v>
      </c>
      <c r="U7" s="1556">
        <f t="shared" ref="U7:U15" si="1">H7</f>
        <v>0</v>
      </c>
      <c r="V7" s="1555" t="s">
        <v>8</v>
      </c>
      <c r="W7" s="1556">
        <f t="shared" ref="W7:W15" si="2">J7</f>
        <v>0</v>
      </c>
      <c r="X7" s="1557"/>
      <c r="Y7" s="3395" t="s">
        <v>530</v>
      </c>
      <c r="Z7" s="3396"/>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95" t="s">
        <v>533</v>
      </c>
      <c r="Q8" s="3396"/>
      <c r="R8" s="1555" t="s">
        <v>8</v>
      </c>
      <c r="S8" s="1556">
        <f t="shared" si="0"/>
        <v>0</v>
      </c>
      <c r="T8" s="1555" t="s">
        <v>8</v>
      </c>
      <c r="U8" s="1556">
        <f t="shared" si="1"/>
        <v>0</v>
      </c>
      <c r="V8" s="1555" t="s">
        <v>8</v>
      </c>
      <c r="W8" s="1556">
        <f t="shared" si="2"/>
        <v>0</v>
      </c>
      <c r="X8" s="1557"/>
      <c r="Y8" s="3395" t="s">
        <v>533</v>
      </c>
      <c r="Z8" s="3396"/>
      <c r="AA8" s="1558" t="e">
        <f t="shared" ref="AA8:AA40" si="3">D8/F8</f>
        <v>#DIV/0!</v>
      </c>
      <c r="AB8" s="1558" t="e">
        <f t="shared" ref="AB8:AB40" si="4">D8/H8</f>
        <v>#DIV/0!</v>
      </c>
      <c r="AC8" s="1558" t="e">
        <f t="shared" ref="AC8:AC40" si="5">D8/J8</f>
        <v>#DIV/0!</v>
      </c>
    </row>
    <row r="9" spans="1:29" s="1216" customFormat="1" ht="15">
      <c r="A9" s="2870"/>
      <c r="B9" s="2877" t="s">
        <v>2755</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63" t="s">
        <v>535</v>
      </c>
      <c r="Q9" s="1147" t="str">
        <f t="shared" ref="Q9:Q15" si="6">B9</f>
        <v>用途</v>
      </c>
      <c r="R9" s="1555" t="s">
        <v>8</v>
      </c>
      <c r="S9" s="1556">
        <f t="shared" si="0"/>
        <v>100</v>
      </c>
      <c r="T9" s="1555" t="s">
        <v>8</v>
      </c>
      <c r="U9" s="1556">
        <f t="shared" si="1"/>
        <v>100</v>
      </c>
      <c r="V9" s="1555" t="s">
        <v>8</v>
      </c>
      <c r="W9" s="1556">
        <f t="shared" si="2"/>
        <v>100</v>
      </c>
      <c r="X9" s="1557"/>
      <c r="Y9" s="3309"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63"/>
      <c r="Q10" s="1147" t="str">
        <f t="shared" si="6"/>
        <v>土地使用年限（年）</v>
      </c>
      <c r="R10" s="1555" t="s">
        <v>8</v>
      </c>
      <c r="S10" s="1556">
        <f t="shared" si="0"/>
        <v>100</v>
      </c>
      <c r="T10" s="1555" t="s">
        <v>8</v>
      </c>
      <c r="U10" s="1556">
        <f t="shared" si="1"/>
        <v>100</v>
      </c>
      <c r="V10" s="1555" t="s">
        <v>8</v>
      </c>
      <c r="W10" s="1556">
        <f t="shared" si="2"/>
        <v>100</v>
      </c>
      <c r="X10" s="1557"/>
      <c r="Y10" s="3309"/>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63"/>
      <c r="Q11" s="1147" t="str">
        <f t="shared" si="6"/>
        <v>容积率</v>
      </c>
      <c r="R11" s="1555" t="s">
        <v>8</v>
      </c>
      <c r="S11" s="1556" t="e">
        <f t="shared" si="0"/>
        <v>#N/A</v>
      </c>
      <c r="T11" s="1555" t="s">
        <v>8</v>
      </c>
      <c r="U11" s="1556" t="e">
        <f t="shared" si="1"/>
        <v>#N/A</v>
      </c>
      <c r="V11" s="1555" t="s">
        <v>8</v>
      </c>
      <c r="W11" s="1556" t="e">
        <f t="shared" si="2"/>
        <v>#N/A</v>
      </c>
      <c r="X11" s="1557"/>
      <c r="Y11" s="330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63"/>
      <c r="Q12" s="1147">
        <f t="shared" si="6"/>
        <v>111</v>
      </c>
      <c r="R12" s="1555" t="s">
        <v>8</v>
      </c>
      <c r="S12" s="1556">
        <f t="shared" si="0"/>
        <v>100</v>
      </c>
      <c r="T12" s="1555" t="s">
        <v>8</v>
      </c>
      <c r="U12" s="1556">
        <f t="shared" si="1"/>
        <v>100</v>
      </c>
      <c r="V12" s="1555" t="s">
        <v>8</v>
      </c>
      <c r="W12" s="1556">
        <f t="shared" si="2"/>
        <v>100</v>
      </c>
      <c r="X12" s="1557"/>
      <c r="Y12" s="3309"/>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63"/>
      <c r="Q13" s="1147">
        <f t="shared" si="6"/>
        <v>111</v>
      </c>
      <c r="R13" s="1555" t="s">
        <v>8</v>
      </c>
      <c r="S13" s="1556">
        <f t="shared" si="0"/>
        <v>100</v>
      </c>
      <c r="T13" s="1555" t="s">
        <v>8</v>
      </c>
      <c r="U13" s="1556">
        <f t="shared" si="1"/>
        <v>100</v>
      </c>
      <c r="V13" s="1555" t="s">
        <v>8</v>
      </c>
      <c r="W13" s="1556">
        <f t="shared" si="2"/>
        <v>100</v>
      </c>
      <c r="X13" s="1557"/>
      <c r="Y13" s="3309"/>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63"/>
      <c r="Q14" s="1147">
        <f t="shared" si="6"/>
        <v>111</v>
      </c>
      <c r="R14" s="1555" t="s">
        <v>8</v>
      </c>
      <c r="S14" s="1556">
        <f t="shared" si="0"/>
        <v>100</v>
      </c>
      <c r="T14" s="1555" t="s">
        <v>8</v>
      </c>
      <c r="U14" s="1556">
        <f t="shared" si="1"/>
        <v>100</v>
      </c>
      <c r="V14" s="1555" t="s">
        <v>8</v>
      </c>
      <c r="W14" s="1556">
        <f t="shared" si="2"/>
        <v>100</v>
      </c>
      <c r="X14" s="1557"/>
      <c r="Y14" s="3309"/>
      <c r="Z14" s="1146">
        <f t="shared" si="7"/>
        <v>111</v>
      </c>
      <c r="AA14" s="1558">
        <f t="shared" si="3"/>
        <v>1</v>
      </c>
      <c r="AB14" s="1558">
        <f t="shared" si="4"/>
        <v>1</v>
      </c>
      <c r="AC14" s="1558">
        <f t="shared" si="5"/>
        <v>1</v>
      </c>
    </row>
    <row r="15" spans="1:29" ht="57">
      <c r="A15" s="2866"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98" t="s">
        <v>540</v>
      </c>
      <c r="Q15" s="1559" t="str">
        <f t="shared" si="6"/>
        <v>产业集聚程度</v>
      </c>
      <c r="R15" s="1560" t="s">
        <v>8</v>
      </c>
      <c r="S15" s="1561">
        <f t="shared" si="0"/>
        <v>100</v>
      </c>
      <c r="T15" s="1560" t="s">
        <v>8</v>
      </c>
      <c r="U15" s="1561">
        <f t="shared" si="1"/>
        <v>100</v>
      </c>
      <c r="V15" s="1560" t="s">
        <v>8</v>
      </c>
      <c r="W15" s="1561">
        <f t="shared" si="2"/>
        <v>100</v>
      </c>
      <c r="X15" s="1554"/>
      <c r="Y15" s="3398"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9"/>
      <c r="Q16" s="1559"/>
      <c r="R16" s="1560"/>
      <c r="S16" s="1561"/>
      <c r="T16" s="1560"/>
      <c r="U16" s="1561"/>
      <c r="V16" s="1560"/>
      <c r="W16" s="1561"/>
      <c r="X16" s="1554"/>
      <c r="Y16" s="3399"/>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99"/>
      <c r="Q17" s="1559" t="str">
        <f>B17</f>
        <v>交通便捷度</v>
      </c>
      <c r="R17" s="1560" t="s">
        <v>8</v>
      </c>
      <c r="S17" s="1561">
        <f>F17</f>
        <v>100</v>
      </c>
      <c r="T17" s="1560" t="s">
        <v>8</v>
      </c>
      <c r="U17" s="1561">
        <f>H17</f>
        <v>100</v>
      </c>
      <c r="V17" s="1560" t="s">
        <v>8</v>
      </c>
      <c r="W17" s="1561">
        <f>J17</f>
        <v>100</v>
      </c>
      <c r="X17" s="1554"/>
      <c r="Y17" s="339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9"/>
      <c r="Q18" s="1559"/>
      <c r="R18" s="1560"/>
      <c r="S18" s="1561"/>
      <c r="T18" s="1560"/>
      <c r="U18" s="1561"/>
      <c r="V18" s="1560"/>
      <c r="W18" s="1561"/>
      <c r="X18" s="1554"/>
      <c r="Y18" s="3399"/>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99"/>
      <c r="Q19" s="1559" t="str">
        <f>B19</f>
        <v>公共配套设施</v>
      </c>
      <c r="R19" s="1560" t="s">
        <v>8</v>
      </c>
      <c r="S19" s="1561">
        <f>F19</f>
        <v>100</v>
      </c>
      <c r="T19" s="1560" t="s">
        <v>8</v>
      </c>
      <c r="U19" s="1561">
        <f>H19</f>
        <v>100</v>
      </c>
      <c r="V19" s="1560" t="s">
        <v>8</v>
      </c>
      <c r="W19" s="1561">
        <f>J19</f>
        <v>100</v>
      </c>
      <c r="X19" s="1554"/>
      <c r="Y19" s="3399"/>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99"/>
      <c r="Q20" s="1559"/>
      <c r="R20" s="1560"/>
      <c r="S20" s="1561"/>
      <c r="T20" s="1560"/>
      <c r="U20" s="1561"/>
      <c r="V20" s="1560"/>
      <c r="W20" s="1561"/>
      <c r="X20" s="1554"/>
      <c r="Y20" s="3399"/>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99"/>
      <c r="Q21" s="2544" t="str">
        <f>B21</f>
        <v>基础设施水平</v>
      </c>
      <c r="R21" s="1560" t="s">
        <v>8</v>
      </c>
      <c r="S21" s="1561">
        <f>F21</f>
        <v>100</v>
      </c>
      <c r="T21" s="1560" t="s">
        <v>8</v>
      </c>
      <c r="U21" s="1561">
        <f>H21</f>
        <v>100</v>
      </c>
      <c r="V21" s="1560" t="s">
        <v>8</v>
      </c>
      <c r="W21" s="1561">
        <f>J21</f>
        <v>100</v>
      </c>
      <c r="X21" s="2546"/>
      <c r="Y21" s="3399"/>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99"/>
      <c r="Q22" s="2544"/>
      <c r="R22" s="1560"/>
      <c r="S22" s="1561"/>
      <c r="T22" s="1560"/>
      <c r="U22" s="1561"/>
      <c r="V22" s="1560"/>
      <c r="W22" s="1561"/>
      <c r="X22" s="2546"/>
      <c r="Y22" s="3399"/>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99"/>
      <c r="Q23" s="1559" t="str">
        <f>B23</f>
        <v>环境质量</v>
      </c>
      <c r="R23" s="1560" t="s">
        <v>8</v>
      </c>
      <c r="S23" s="1561">
        <f>F23</f>
        <v>100</v>
      </c>
      <c r="T23" s="1560" t="s">
        <v>8</v>
      </c>
      <c r="U23" s="1561">
        <f>H23</f>
        <v>100</v>
      </c>
      <c r="V23" s="1560" t="s">
        <v>8</v>
      </c>
      <c r="W23" s="1561">
        <f>J23</f>
        <v>100</v>
      </c>
      <c r="X23" s="1554"/>
      <c r="Y23" s="3399"/>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99"/>
      <c r="Q24" s="1559"/>
      <c r="R24" s="1560"/>
      <c r="S24" s="1561"/>
      <c r="T24" s="1560"/>
      <c r="U24" s="1561"/>
      <c r="V24" s="1560"/>
      <c r="W24" s="1561"/>
      <c r="X24" s="1554"/>
      <c r="Y24" s="3399"/>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99"/>
      <c r="Q25" s="1559">
        <f>B25</f>
        <v>111</v>
      </c>
      <c r="R25" s="1560" t="s">
        <v>8</v>
      </c>
      <c r="S25" s="1561">
        <f>F25</f>
        <v>100</v>
      </c>
      <c r="T25" s="1560" t="s">
        <v>8</v>
      </c>
      <c r="U25" s="1561">
        <f>H25</f>
        <v>100</v>
      </c>
      <c r="V25" s="1560" t="s">
        <v>8</v>
      </c>
      <c r="W25" s="1561">
        <f>J25</f>
        <v>100</v>
      </c>
      <c r="X25" s="1554"/>
      <c r="Y25" s="3399"/>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99"/>
      <c r="Q26" s="1559">
        <f t="shared" ref="Q26:Q40" si="11">B26</f>
        <v>111</v>
      </c>
      <c r="R26" s="1560" t="s">
        <v>8</v>
      </c>
      <c r="S26" s="1561">
        <f>F26</f>
        <v>100</v>
      </c>
      <c r="T26" s="1560" t="s">
        <v>8</v>
      </c>
      <c r="U26" s="1561">
        <f>H26</f>
        <v>100</v>
      </c>
      <c r="V26" s="1560" t="s">
        <v>8</v>
      </c>
      <c r="W26" s="1561">
        <f>J26</f>
        <v>100</v>
      </c>
      <c r="X26" s="1554"/>
      <c r="Y26" s="3399"/>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99"/>
      <c r="Q27" s="1147">
        <f t="shared" si="11"/>
        <v>111</v>
      </c>
      <c r="R27" s="1555" t="s">
        <v>8</v>
      </c>
      <c r="S27" s="1556">
        <f>F27</f>
        <v>100</v>
      </c>
      <c r="T27" s="1555" t="s">
        <v>8</v>
      </c>
      <c r="U27" s="1556">
        <f>H27</f>
        <v>100</v>
      </c>
      <c r="V27" s="1555" t="s">
        <v>8</v>
      </c>
      <c r="W27" s="1556">
        <f>J27</f>
        <v>100</v>
      </c>
      <c r="X27" s="1557"/>
      <c r="Y27" s="3399"/>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99"/>
      <c r="Q28" s="1559">
        <f t="shared" si="11"/>
        <v>111</v>
      </c>
      <c r="R28" s="1560" t="s">
        <v>8</v>
      </c>
      <c r="S28" s="1561">
        <f t="shared" ref="S28:S40" si="12">F28</f>
        <v>100</v>
      </c>
      <c r="T28" s="1560" t="s">
        <v>8</v>
      </c>
      <c r="U28" s="1561">
        <f t="shared" ref="U28:U40" si="13">H28</f>
        <v>100</v>
      </c>
      <c r="V28" s="1560" t="s">
        <v>8</v>
      </c>
      <c r="W28" s="1561">
        <f t="shared" ref="W28:W40" si="14">J28</f>
        <v>100</v>
      </c>
      <c r="X28" s="1554"/>
      <c r="Y28" s="3399"/>
      <c r="Z28" s="1562">
        <f t="shared" ref="Z28:Z40" si="15">Q28</f>
        <v>111</v>
      </c>
      <c r="AA28" s="1563">
        <f t="shared" si="3"/>
        <v>1</v>
      </c>
      <c r="AB28" s="1563">
        <f t="shared" si="4"/>
        <v>1</v>
      </c>
      <c r="AC28" s="1563">
        <f t="shared" si="5"/>
        <v>1</v>
      </c>
    </row>
    <row r="29" spans="1:29" ht="15">
      <c r="A29" s="2863"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00" t="s">
        <v>550</v>
      </c>
      <c r="Q29" s="1559" t="str">
        <f t="shared" si="11"/>
        <v>建筑类型</v>
      </c>
      <c r="R29" s="1560" t="s">
        <v>8</v>
      </c>
      <c r="S29" s="1561">
        <f t="shared" si="12"/>
        <v>100</v>
      </c>
      <c r="T29" s="1560" t="s">
        <v>8</v>
      </c>
      <c r="U29" s="1561">
        <f t="shared" si="13"/>
        <v>100</v>
      </c>
      <c r="V29" s="1560" t="s">
        <v>8</v>
      </c>
      <c r="W29" s="1561">
        <f t="shared" si="14"/>
        <v>100</v>
      </c>
      <c r="X29" s="1554"/>
      <c r="Y29" s="3401"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01"/>
      <c r="Q30" s="1591" t="str">
        <f t="shared" si="11"/>
        <v>项目建筑规模</v>
      </c>
      <c r="R30" s="1564" t="s">
        <v>8</v>
      </c>
      <c r="S30" s="1565" t="e">
        <f t="shared" si="12"/>
        <v>#N/A</v>
      </c>
      <c r="T30" s="1564" t="s">
        <v>8</v>
      </c>
      <c r="U30" s="1565" t="e">
        <f t="shared" si="13"/>
        <v>#N/A</v>
      </c>
      <c r="V30" s="1564" t="s">
        <v>8</v>
      </c>
      <c r="W30" s="1565" t="e">
        <f t="shared" si="14"/>
        <v>#N/A</v>
      </c>
      <c r="X30" s="1566"/>
      <c r="Y30" s="3401"/>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01"/>
      <c r="Q31" s="1559" t="str">
        <f t="shared" si="11"/>
        <v>建筑结构</v>
      </c>
      <c r="R31" s="1560" t="s">
        <v>8</v>
      </c>
      <c r="S31" s="1561">
        <f t="shared" si="12"/>
        <v>100</v>
      </c>
      <c r="T31" s="1560" t="s">
        <v>8</v>
      </c>
      <c r="U31" s="1561">
        <f t="shared" si="13"/>
        <v>100</v>
      </c>
      <c r="V31" s="1560" t="s">
        <v>8</v>
      </c>
      <c r="W31" s="1561">
        <f t="shared" si="14"/>
        <v>100</v>
      </c>
      <c r="X31" s="1554"/>
      <c r="Y31" s="3401"/>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01"/>
      <c r="Q32" s="1559" t="str">
        <f t="shared" si="11"/>
        <v>公共部分装修</v>
      </c>
      <c r="R32" s="1560" t="s">
        <v>8</v>
      </c>
      <c r="S32" s="1561">
        <f t="shared" si="12"/>
        <v>100</v>
      </c>
      <c r="T32" s="1560" t="s">
        <v>8</v>
      </c>
      <c r="U32" s="1561">
        <f t="shared" si="13"/>
        <v>100</v>
      </c>
      <c r="V32" s="1560" t="s">
        <v>8</v>
      </c>
      <c r="W32" s="1561">
        <f t="shared" si="14"/>
        <v>100</v>
      </c>
      <c r="X32" s="1554"/>
      <c r="Y32" s="3401"/>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01"/>
      <c r="Q33" s="1559" t="str">
        <f t="shared" si="11"/>
        <v>成新度</v>
      </c>
      <c r="R33" s="1560" t="s">
        <v>8</v>
      </c>
      <c r="S33" s="1561" t="e">
        <f t="shared" si="12"/>
        <v>#N/A</v>
      </c>
      <c r="T33" s="1560" t="s">
        <v>8</v>
      </c>
      <c r="U33" s="1561" t="e">
        <f t="shared" si="13"/>
        <v>#N/A</v>
      </c>
      <c r="V33" s="1560" t="s">
        <v>8</v>
      </c>
      <c r="W33" s="1561" t="e">
        <f t="shared" si="14"/>
        <v>#N/A</v>
      </c>
      <c r="X33" s="1554"/>
      <c r="Y33" s="3401"/>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01"/>
      <c r="Q34" s="1147" t="str">
        <f t="shared" si="11"/>
        <v>物业管理</v>
      </c>
      <c r="R34" s="1555" t="s">
        <v>8</v>
      </c>
      <c r="S34" s="1556">
        <f t="shared" si="12"/>
        <v>100</v>
      </c>
      <c r="T34" s="1555" t="s">
        <v>8</v>
      </c>
      <c r="U34" s="1556">
        <f t="shared" si="13"/>
        <v>100</v>
      </c>
      <c r="V34" s="1555" t="s">
        <v>8</v>
      </c>
      <c r="W34" s="1556">
        <f t="shared" si="14"/>
        <v>100</v>
      </c>
      <c r="X34" s="1557"/>
      <c r="Y34" s="3401"/>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01" t="s">
        <v>550</v>
      </c>
      <c r="Q35" s="1559" t="str">
        <f t="shared" si="11"/>
        <v>市政基础设施</v>
      </c>
      <c r="R35" s="1560" t="s">
        <v>8</v>
      </c>
      <c r="S35" s="1561">
        <f t="shared" si="12"/>
        <v>100</v>
      </c>
      <c r="T35" s="1560" t="s">
        <v>8</v>
      </c>
      <c r="U35" s="1561">
        <f t="shared" si="13"/>
        <v>100</v>
      </c>
      <c r="V35" s="1560" t="s">
        <v>8</v>
      </c>
      <c r="W35" s="1561">
        <f t="shared" si="14"/>
        <v>100</v>
      </c>
      <c r="X35" s="1554"/>
      <c r="Y35" s="3401"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01"/>
      <c r="Q36" s="1559" t="str">
        <f t="shared" si="11"/>
        <v>内部装修</v>
      </c>
      <c r="R36" s="1560" t="s">
        <v>8</v>
      </c>
      <c r="S36" s="1561">
        <f t="shared" si="12"/>
        <v>100</v>
      </c>
      <c r="T36" s="1560" t="s">
        <v>8</v>
      </c>
      <c r="U36" s="1561">
        <f t="shared" si="13"/>
        <v>100</v>
      </c>
      <c r="V36" s="1560" t="s">
        <v>8</v>
      </c>
      <c r="W36" s="1561">
        <f t="shared" si="14"/>
        <v>100</v>
      </c>
      <c r="X36" s="1554"/>
      <c r="Y36" s="3401"/>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01"/>
      <c r="Q37" s="1559" t="str">
        <f t="shared" si="11"/>
        <v>内部装修状况</v>
      </c>
      <c r="R37" s="1560" t="s">
        <v>8</v>
      </c>
      <c r="S37" s="1561">
        <f t="shared" si="12"/>
        <v>100</v>
      </c>
      <c r="T37" s="1560" t="s">
        <v>8</v>
      </c>
      <c r="U37" s="1561">
        <f t="shared" si="13"/>
        <v>100</v>
      </c>
      <c r="V37" s="1560" t="s">
        <v>8</v>
      </c>
      <c r="W37" s="1561">
        <f t="shared" si="14"/>
        <v>100</v>
      </c>
      <c r="X37" s="1554"/>
      <c r="Y37" s="3401"/>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01"/>
      <c r="Q38" s="1591">
        <f t="shared" si="11"/>
        <v>111</v>
      </c>
      <c r="R38" s="1564" t="s">
        <v>8</v>
      </c>
      <c r="S38" s="1565">
        <f t="shared" si="12"/>
        <v>100</v>
      </c>
      <c r="T38" s="1564" t="s">
        <v>8</v>
      </c>
      <c r="U38" s="1565">
        <f t="shared" si="13"/>
        <v>100</v>
      </c>
      <c r="V38" s="1564" t="s">
        <v>8</v>
      </c>
      <c r="W38" s="1565">
        <f t="shared" si="14"/>
        <v>100</v>
      </c>
      <c r="X38" s="1566"/>
      <c r="Y38" s="3401"/>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01"/>
      <c r="Q39" s="1559">
        <f t="shared" si="11"/>
        <v>111</v>
      </c>
      <c r="R39" s="1560" t="s">
        <v>8</v>
      </c>
      <c r="S39" s="1561">
        <f t="shared" si="12"/>
        <v>100</v>
      </c>
      <c r="T39" s="1560" t="s">
        <v>8</v>
      </c>
      <c r="U39" s="1561">
        <f t="shared" si="13"/>
        <v>100</v>
      </c>
      <c r="V39" s="1560" t="s">
        <v>8</v>
      </c>
      <c r="W39" s="1561">
        <f t="shared" si="14"/>
        <v>100</v>
      </c>
      <c r="X39" s="1554"/>
      <c r="Y39" s="3401"/>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48"/>
      <c r="Q40" s="1559">
        <f t="shared" si="11"/>
        <v>111</v>
      </c>
      <c r="R40" s="1560" t="s">
        <v>8</v>
      </c>
      <c r="S40" s="1561">
        <f t="shared" si="12"/>
        <v>100</v>
      </c>
      <c r="T40" s="1560" t="s">
        <v>8</v>
      </c>
      <c r="U40" s="1561">
        <f t="shared" si="13"/>
        <v>100</v>
      </c>
      <c r="V40" s="1560" t="s">
        <v>8</v>
      </c>
      <c r="W40" s="1561">
        <f t="shared" si="14"/>
        <v>100</v>
      </c>
      <c r="X40" s="1554"/>
      <c r="Y40" s="3448"/>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63" t="str">
        <f>A41</f>
        <v>成交单价（元/平方米）</v>
      </c>
      <c r="Q41" s="3363"/>
      <c r="R41" s="3447">
        <f>E41</f>
        <v>0</v>
      </c>
      <c r="S41" s="3447"/>
      <c r="T41" s="3447">
        <f>G41</f>
        <v>0</v>
      </c>
      <c r="U41" s="3447"/>
      <c r="V41" s="3447">
        <f>I41</f>
        <v>0</v>
      </c>
      <c r="W41" s="3447"/>
      <c r="X41" s="1546"/>
      <c r="Y41" s="1568"/>
      <c r="Z41" s="1546"/>
      <c r="AA41" s="1546"/>
      <c r="AB41" s="1546"/>
      <c r="AC41" s="1546"/>
    </row>
    <row r="42" spans="1:29" ht="15.75" thickBot="1">
      <c r="A42" s="615" t="s">
        <v>2759</v>
      </c>
      <c r="B42" s="888"/>
      <c r="C42" s="2598" t="e">
        <f>R43</f>
        <v>#DIV/0!</v>
      </c>
      <c r="D42" s="2599"/>
      <c r="E42" s="2600" t="e">
        <f>R42</f>
        <v>#DIV/0!</v>
      </c>
      <c r="F42" s="2600"/>
      <c r="G42" s="2598" t="e">
        <f>T42</f>
        <v>#DIV/0!</v>
      </c>
      <c r="H42" s="2599"/>
      <c r="I42" s="2600" t="e">
        <f>V42</f>
        <v>#DIV/0!</v>
      </c>
      <c r="J42" s="2599"/>
      <c r="K42" s="1598"/>
      <c r="L42" s="2130"/>
      <c r="M42" s="2131"/>
      <c r="N42" s="2120"/>
      <c r="O42" s="2131"/>
      <c r="P42" s="3363" t="str">
        <f>A42</f>
        <v>比较价格（元/平方米）</v>
      </c>
      <c r="Q42" s="3363"/>
      <c r="R42" s="3447" t="e">
        <f>IF(F1="售价",ROUND(PRODUCT(R41,AA7:AA40),0),ROUND(PRODUCT(R41,AA7:AA40),1))</f>
        <v>#DIV/0!</v>
      </c>
      <c r="S42" s="3447"/>
      <c r="T42" s="3447" t="e">
        <f>IF(F1="售价",ROUND(PRODUCT(T41,AB7:AB40),0),ROUND(PRODUCT(T41,AB7:AB40),1))</f>
        <v>#DIV/0!</v>
      </c>
      <c r="U42" s="3447"/>
      <c r="V42" s="3447" t="e">
        <f>IF(F1="售价",ROUND(PRODUCT(V41,AC7:AC40),0),ROUND(PRODUCT(V41,AC7:AC40),1))</f>
        <v>#DIV/0!</v>
      </c>
      <c r="W42" s="3447"/>
      <c r="X42" s="1546"/>
      <c r="Y42" s="1546"/>
      <c r="Z42" s="1546"/>
      <c r="AA42" s="1546"/>
      <c r="AB42" s="1546"/>
      <c r="AC42" s="1546"/>
    </row>
    <row r="43" spans="1:29" ht="15.75" thickBot="1">
      <c r="A43" s="621" t="s">
        <v>2936</v>
      </c>
      <c r="B43" s="622"/>
      <c r="C43" s="2601" t="e">
        <f>R43</f>
        <v>#DIV/0!</v>
      </c>
      <c r="D43" s="2601"/>
      <c r="E43" s="2601"/>
      <c r="F43" s="2601"/>
      <c r="G43" s="2601"/>
      <c r="H43" s="2601"/>
      <c r="I43" s="2601"/>
      <c r="J43" s="2601"/>
      <c r="K43" s="1599"/>
      <c r="L43" s="2130"/>
      <c r="M43" s="2131"/>
      <c r="N43" s="2131"/>
      <c r="O43" s="2131"/>
      <c r="P43" s="3360" t="str">
        <f>A43</f>
        <v>估价对象XX用房的比较价格（楼面单价，元/平方米）</v>
      </c>
      <c r="Q43" s="3361"/>
      <c r="R43" s="3446" t="e">
        <f>IF(F1="售价",ROUND(AVERAGE(R42:V42),0),ROUND(AVERAGE(R42:V42),1))</f>
        <v>#DIV/0!</v>
      </c>
      <c r="S43" s="3446"/>
      <c r="T43" s="3446"/>
      <c r="U43" s="3446"/>
      <c r="V43" s="3446"/>
      <c r="W43" s="3446"/>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2019-8</v>
      </c>
      <c r="D52" s="2760">
        <f>EDATE(C52,-1)</f>
        <v>43647</v>
      </c>
      <c r="E52" s="2760">
        <f t="shared" ref="E52:O52" si="16">EDATE(D52,-1)</f>
        <v>43617</v>
      </c>
      <c r="F52" s="2760">
        <f t="shared" si="16"/>
        <v>43586</v>
      </c>
      <c r="G52" s="2760">
        <f t="shared" si="16"/>
        <v>43556</v>
      </c>
      <c r="H52" s="2760">
        <f t="shared" si="16"/>
        <v>43525</v>
      </c>
      <c r="I52" s="2760">
        <f t="shared" si="16"/>
        <v>43497</v>
      </c>
      <c r="J52" s="2760">
        <f t="shared" si="16"/>
        <v>43466</v>
      </c>
      <c r="K52" s="2760">
        <f t="shared" si="16"/>
        <v>43435</v>
      </c>
      <c r="L52" s="2760">
        <f t="shared" si="16"/>
        <v>43405</v>
      </c>
      <c r="M52" s="2760">
        <f t="shared" si="16"/>
        <v>43374</v>
      </c>
      <c r="N52" s="2760">
        <f t="shared" si="16"/>
        <v>43344</v>
      </c>
      <c r="O52" s="2760">
        <f t="shared" si="16"/>
        <v>43313</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69" t="s">
        <v>798</v>
      </c>
      <c r="D4" s="3370"/>
      <c r="E4" s="3369" t="s">
        <v>799</v>
      </c>
      <c r="F4" s="3370"/>
      <c r="G4" s="3369" t="s">
        <v>800</v>
      </c>
      <c r="H4" s="3370"/>
      <c r="I4" s="3369" t="s">
        <v>801</v>
      </c>
      <c r="J4" s="3370"/>
      <c r="K4" s="514" t="s">
        <v>802</v>
      </c>
      <c r="L4" s="2119"/>
      <c r="M4" s="2120"/>
      <c r="N4" s="2120"/>
      <c r="O4" s="2120"/>
      <c r="P4" s="3371" t="s">
        <v>803</v>
      </c>
      <c r="Q4" s="3372"/>
      <c r="R4" s="3377" t="s">
        <v>799</v>
      </c>
      <c r="S4" s="3378"/>
      <c r="T4" s="3377" t="s">
        <v>800</v>
      </c>
      <c r="U4" s="3378"/>
      <c r="V4" s="3364" t="s">
        <v>801</v>
      </c>
      <c r="W4" s="3364"/>
      <c r="X4" s="1554"/>
      <c r="Y4" s="3377" t="s">
        <v>803</v>
      </c>
      <c r="Z4" s="3378"/>
      <c r="AA4" s="3366" t="s">
        <v>799</v>
      </c>
      <c r="AB4" s="3367" t="s">
        <v>800</v>
      </c>
      <c r="AC4" s="3366" t="s">
        <v>801</v>
      </c>
    </row>
    <row r="5" spans="1:29" ht="15">
      <c r="A5" s="515"/>
      <c r="B5" s="516"/>
      <c r="C5" s="3385" t="s">
        <v>2930</v>
      </c>
      <c r="D5" s="3386"/>
      <c r="E5" s="3385" t="s">
        <v>2931</v>
      </c>
      <c r="F5" s="3386"/>
      <c r="G5" s="3385" t="s">
        <v>2932</v>
      </c>
      <c r="H5" s="3386"/>
      <c r="I5" s="3385" t="s">
        <v>2933</v>
      </c>
      <c r="J5" s="3386"/>
      <c r="K5" s="514"/>
      <c r="L5" s="2119"/>
      <c r="M5" s="2120"/>
      <c r="N5" s="2120"/>
      <c r="O5" s="2120"/>
      <c r="P5" s="3373"/>
      <c r="Q5" s="3374"/>
      <c r="R5" s="3379"/>
      <c r="S5" s="3380"/>
      <c r="T5" s="3379"/>
      <c r="U5" s="3380"/>
      <c r="V5" s="3364"/>
      <c r="W5" s="3364"/>
      <c r="X5" s="1554"/>
      <c r="Y5" s="3379"/>
      <c r="Z5" s="3380"/>
      <c r="AA5" s="3367"/>
      <c r="AB5" s="3367"/>
      <c r="AC5" s="3367"/>
    </row>
    <row r="6" spans="1:29" ht="15.75" thickBot="1">
      <c r="A6" s="517"/>
      <c r="B6" s="518"/>
      <c r="C6" s="3383" t="s">
        <v>2934</v>
      </c>
      <c r="D6" s="3384"/>
      <c r="E6" s="3387" t="s">
        <v>2934</v>
      </c>
      <c r="F6" s="3388"/>
      <c r="G6" s="3383" t="s">
        <v>2934</v>
      </c>
      <c r="H6" s="3384"/>
      <c r="I6" s="3383" t="s">
        <v>2934</v>
      </c>
      <c r="J6" s="3384"/>
      <c r="K6" s="514" t="s">
        <v>528</v>
      </c>
      <c r="L6" s="2119"/>
      <c r="M6" s="2120"/>
      <c r="N6" s="2120"/>
      <c r="O6" s="2120"/>
      <c r="P6" s="3375"/>
      <c r="Q6" s="3376"/>
      <c r="R6" s="3379"/>
      <c r="S6" s="3380"/>
      <c r="T6" s="3381"/>
      <c r="U6" s="3382"/>
      <c r="V6" s="3364"/>
      <c r="W6" s="3364"/>
      <c r="X6" s="1554"/>
      <c r="Y6" s="3381"/>
      <c r="Z6" s="3382"/>
      <c r="AA6" s="3368"/>
      <c r="AB6" s="3368"/>
      <c r="AC6" s="3368"/>
    </row>
    <row r="7" spans="1:29" s="1216" customFormat="1" ht="15.75" thickBot="1">
      <c r="A7" s="2868"/>
      <c r="B7" s="2875" t="s">
        <v>529</v>
      </c>
      <c r="C7" s="519">
        <f>'数据-取费表'!B2</f>
        <v>43698</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95" t="s">
        <v>530</v>
      </c>
      <c r="Q7" s="3397"/>
      <c r="R7" s="1555" t="s">
        <v>8</v>
      </c>
      <c r="S7" s="1556">
        <f t="shared" ref="S7:S14" si="0">F7</f>
        <v>0</v>
      </c>
      <c r="T7" s="1555" t="s">
        <v>8</v>
      </c>
      <c r="U7" s="1556">
        <f t="shared" ref="U7:U14" si="1">H7</f>
        <v>0</v>
      </c>
      <c r="V7" s="1555" t="s">
        <v>8</v>
      </c>
      <c r="W7" s="1556">
        <f t="shared" ref="W7:W14" si="2">J7</f>
        <v>0</v>
      </c>
      <c r="X7" s="1557"/>
      <c r="Y7" s="3395" t="s">
        <v>530</v>
      </c>
      <c r="Z7" s="3396"/>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95" t="s">
        <v>533</v>
      </c>
      <c r="Q8" s="3396"/>
      <c r="R8" s="1555" t="s">
        <v>8</v>
      </c>
      <c r="S8" s="1556">
        <f t="shared" si="0"/>
        <v>0</v>
      </c>
      <c r="T8" s="1555" t="s">
        <v>8</v>
      </c>
      <c r="U8" s="1556">
        <f t="shared" si="1"/>
        <v>0</v>
      </c>
      <c r="V8" s="1555" t="s">
        <v>8</v>
      </c>
      <c r="W8" s="1556">
        <f t="shared" si="2"/>
        <v>0</v>
      </c>
      <c r="X8" s="1557"/>
      <c r="Y8" s="3395" t="s">
        <v>533</v>
      </c>
      <c r="Z8" s="3396"/>
      <c r="AA8" s="1558" t="e">
        <f t="shared" ref="AA8:AA36" si="3">D8/F8</f>
        <v>#DIV/0!</v>
      </c>
      <c r="AB8" s="1558" t="e">
        <f t="shared" ref="AB8:AB36" si="4">D8/H8</f>
        <v>#DIV/0!</v>
      </c>
      <c r="AC8" s="1558" t="e">
        <f t="shared" ref="AC8:AC36" si="5">D8/J8</f>
        <v>#DIV/0!</v>
      </c>
    </row>
    <row r="9" spans="1:29" s="1216" customFormat="1" ht="15">
      <c r="A9" s="2870"/>
      <c r="B9" s="2877" t="s">
        <v>2755</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63" t="s">
        <v>535</v>
      </c>
      <c r="Q9" s="1147" t="str">
        <f t="shared" ref="Q9:Q14" si="6">B9</f>
        <v>用途</v>
      </c>
      <c r="R9" s="1555" t="s">
        <v>8</v>
      </c>
      <c r="S9" s="1556">
        <f t="shared" si="0"/>
        <v>100</v>
      </c>
      <c r="T9" s="1555" t="s">
        <v>8</v>
      </c>
      <c r="U9" s="1556">
        <f t="shared" si="1"/>
        <v>100</v>
      </c>
      <c r="V9" s="1555" t="s">
        <v>8</v>
      </c>
      <c r="W9" s="1556">
        <f t="shared" si="2"/>
        <v>100</v>
      </c>
      <c r="X9" s="1557"/>
      <c r="Y9" s="3309" t="s">
        <v>536</v>
      </c>
      <c r="Z9" s="1146" t="str">
        <f t="shared" ref="Z9:Z14" si="7">Q9</f>
        <v>用途</v>
      </c>
      <c r="AA9" s="1558">
        <f t="shared" si="3"/>
        <v>1</v>
      </c>
      <c r="AB9" s="1558">
        <f t="shared" si="4"/>
        <v>1</v>
      </c>
      <c r="AC9" s="1558">
        <f t="shared" si="5"/>
        <v>1</v>
      </c>
    </row>
    <row r="10" spans="1:29" s="1334" customFormat="1" ht="27">
      <c r="A10" s="2871"/>
      <c r="B10" s="2876" t="s">
        <v>2756</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63"/>
      <c r="Q10" s="1147" t="str">
        <f t="shared" si="6"/>
        <v>土地使用年限（年）</v>
      </c>
      <c r="R10" s="1555" t="s">
        <v>8</v>
      </c>
      <c r="S10" s="1556">
        <f t="shared" si="0"/>
        <v>100</v>
      </c>
      <c r="T10" s="1555" t="s">
        <v>8</v>
      </c>
      <c r="U10" s="1556">
        <f t="shared" si="1"/>
        <v>100</v>
      </c>
      <c r="V10" s="1555" t="s">
        <v>8</v>
      </c>
      <c r="W10" s="1556">
        <f t="shared" si="2"/>
        <v>100</v>
      </c>
      <c r="X10" s="1557"/>
      <c r="Y10" s="3309"/>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63"/>
      <c r="Q11" s="1147">
        <f t="shared" si="6"/>
        <v>111</v>
      </c>
      <c r="R11" s="1555" t="s">
        <v>8</v>
      </c>
      <c r="S11" s="1556">
        <f t="shared" si="0"/>
        <v>100</v>
      </c>
      <c r="T11" s="1555" t="s">
        <v>8</v>
      </c>
      <c r="U11" s="1556">
        <f t="shared" si="1"/>
        <v>100</v>
      </c>
      <c r="V11" s="1555" t="s">
        <v>8</v>
      </c>
      <c r="W11" s="1556">
        <f t="shared" si="2"/>
        <v>100</v>
      </c>
      <c r="X11" s="1557"/>
      <c r="Y11" s="3309"/>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63"/>
      <c r="Q12" s="1147">
        <f t="shared" si="6"/>
        <v>111</v>
      </c>
      <c r="R12" s="1555" t="s">
        <v>8</v>
      </c>
      <c r="S12" s="1556">
        <f t="shared" si="0"/>
        <v>100</v>
      </c>
      <c r="T12" s="1555" t="s">
        <v>8</v>
      </c>
      <c r="U12" s="1556">
        <f t="shared" si="1"/>
        <v>100</v>
      </c>
      <c r="V12" s="1555" t="s">
        <v>8</v>
      </c>
      <c r="W12" s="1556">
        <f t="shared" si="2"/>
        <v>100</v>
      </c>
      <c r="X12" s="1557"/>
      <c r="Y12" s="3309"/>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63"/>
      <c r="Q13" s="1147">
        <f t="shared" si="6"/>
        <v>111</v>
      </c>
      <c r="R13" s="1555" t="s">
        <v>8</v>
      </c>
      <c r="S13" s="1556">
        <f t="shared" si="0"/>
        <v>100</v>
      </c>
      <c r="T13" s="1555" t="s">
        <v>8</v>
      </c>
      <c r="U13" s="1556">
        <f t="shared" si="1"/>
        <v>100</v>
      </c>
      <c r="V13" s="1555" t="s">
        <v>8</v>
      </c>
      <c r="W13" s="1556">
        <f t="shared" si="2"/>
        <v>100</v>
      </c>
      <c r="X13" s="1557"/>
      <c r="Y13" s="3309"/>
      <c r="Z13" s="1146">
        <f t="shared" si="7"/>
        <v>111</v>
      </c>
      <c r="AA13" s="1558">
        <f t="shared" si="3"/>
        <v>1</v>
      </c>
      <c r="AB13" s="1558">
        <f t="shared" si="4"/>
        <v>1</v>
      </c>
      <c r="AC13" s="1558">
        <f t="shared" si="5"/>
        <v>1</v>
      </c>
    </row>
    <row r="14" spans="1:29" ht="85.5">
      <c r="A14" s="2866"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98" t="s">
        <v>540</v>
      </c>
      <c r="Q14" s="1559" t="str">
        <f t="shared" si="6"/>
        <v>交通便捷度</v>
      </c>
      <c r="R14" s="1560" t="s">
        <v>8</v>
      </c>
      <c r="S14" s="1561">
        <f t="shared" si="0"/>
        <v>100</v>
      </c>
      <c r="T14" s="1560" t="s">
        <v>8</v>
      </c>
      <c r="U14" s="1561">
        <f t="shared" si="1"/>
        <v>100</v>
      </c>
      <c r="V14" s="1560" t="s">
        <v>8</v>
      </c>
      <c r="W14" s="1561">
        <f t="shared" si="2"/>
        <v>100</v>
      </c>
      <c r="X14" s="1554"/>
      <c r="Y14" s="3398"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99"/>
      <c r="Q15" s="1559"/>
      <c r="R15" s="1560"/>
      <c r="S15" s="1561"/>
      <c r="T15" s="1560"/>
      <c r="U15" s="1561"/>
      <c r="V15" s="1560"/>
      <c r="W15" s="1561"/>
      <c r="X15" s="1554"/>
      <c r="Y15" s="3399"/>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99"/>
      <c r="Q16" s="1559" t="str">
        <f>B16</f>
        <v>公共配套设施</v>
      </c>
      <c r="R16" s="1560" t="s">
        <v>8</v>
      </c>
      <c r="S16" s="1561">
        <f>F16</f>
        <v>100</v>
      </c>
      <c r="T16" s="1560" t="s">
        <v>8</v>
      </c>
      <c r="U16" s="1561">
        <f>H16</f>
        <v>100</v>
      </c>
      <c r="V16" s="1560" t="s">
        <v>8</v>
      </c>
      <c r="W16" s="1561">
        <f>J16</f>
        <v>100</v>
      </c>
      <c r="X16" s="1554"/>
      <c r="Y16" s="3399"/>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99"/>
      <c r="Q17" s="1559"/>
      <c r="R17" s="1560"/>
      <c r="S17" s="1561"/>
      <c r="T17" s="1560"/>
      <c r="U17" s="1561"/>
      <c r="V17" s="1560"/>
      <c r="W17" s="1561"/>
      <c r="X17" s="1554"/>
      <c r="Y17" s="3399"/>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99"/>
      <c r="Q18" s="2544" t="str">
        <f>B18</f>
        <v>基础设施水平</v>
      </c>
      <c r="R18" s="1560" t="s">
        <v>8</v>
      </c>
      <c r="S18" s="1561">
        <f>F18</f>
        <v>100</v>
      </c>
      <c r="T18" s="1560" t="s">
        <v>8</v>
      </c>
      <c r="U18" s="1561">
        <f>H18</f>
        <v>100</v>
      </c>
      <c r="V18" s="1560" t="s">
        <v>8</v>
      </c>
      <c r="W18" s="1561">
        <f>J18</f>
        <v>100</v>
      </c>
      <c r="X18" s="2546"/>
      <c r="Y18" s="3399"/>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99"/>
      <c r="Q19" s="2544"/>
      <c r="R19" s="1560"/>
      <c r="S19" s="1561"/>
      <c r="T19" s="1560"/>
      <c r="U19" s="1561"/>
      <c r="V19" s="1560"/>
      <c r="W19" s="1561"/>
      <c r="X19" s="2546"/>
      <c r="Y19" s="3399"/>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99"/>
      <c r="Q20" s="1559" t="str">
        <f>B20</f>
        <v>自然及人文环境</v>
      </c>
      <c r="R20" s="1560" t="s">
        <v>8</v>
      </c>
      <c r="S20" s="1561">
        <f>F20</f>
        <v>100</v>
      </c>
      <c r="T20" s="1560" t="s">
        <v>8</v>
      </c>
      <c r="U20" s="1561">
        <f>H20</f>
        <v>100</v>
      </c>
      <c r="V20" s="1560" t="s">
        <v>8</v>
      </c>
      <c r="W20" s="1561">
        <f>J20</f>
        <v>100</v>
      </c>
      <c r="X20" s="1554"/>
      <c r="Y20" s="3399"/>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99"/>
      <c r="Q21" s="1559"/>
      <c r="R21" s="1560"/>
      <c r="S21" s="1561"/>
      <c r="T21" s="1560"/>
      <c r="U21" s="1561"/>
      <c r="V21" s="1560"/>
      <c r="W21" s="1561"/>
      <c r="X21" s="1554"/>
      <c r="Y21" s="3399"/>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99"/>
      <c r="Q22" s="1559" t="str">
        <f>B22</f>
        <v>楼层</v>
      </c>
      <c r="R22" s="1560" t="s">
        <v>8</v>
      </c>
      <c r="S22" s="1561">
        <f>F22</f>
        <v>100</v>
      </c>
      <c r="T22" s="1560" t="s">
        <v>8</v>
      </c>
      <c r="U22" s="1561">
        <f>H22</f>
        <v>100</v>
      </c>
      <c r="V22" s="1560" t="s">
        <v>8</v>
      </c>
      <c r="W22" s="1561">
        <f>J22</f>
        <v>100</v>
      </c>
      <c r="X22" s="1554"/>
      <c r="Y22" s="3399"/>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99"/>
      <c r="Q23" s="1559">
        <f>B23</f>
        <v>111</v>
      </c>
      <c r="R23" s="1560" t="s">
        <v>8</v>
      </c>
      <c r="S23" s="1561">
        <f>F23</f>
        <v>100</v>
      </c>
      <c r="T23" s="1560" t="s">
        <v>8</v>
      </c>
      <c r="U23" s="1561">
        <f>H23</f>
        <v>100</v>
      </c>
      <c r="V23" s="1560" t="s">
        <v>8</v>
      </c>
      <c r="W23" s="1561">
        <f>J23</f>
        <v>100</v>
      </c>
      <c r="X23" s="1554"/>
      <c r="Y23" s="3399"/>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99"/>
      <c r="Q24" s="1559">
        <f t="shared" ref="Q24:Q36" si="11">B24</f>
        <v>111</v>
      </c>
      <c r="R24" s="1560" t="s">
        <v>8</v>
      </c>
      <c r="S24" s="1561">
        <f>F24</f>
        <v>100</v>
      </c>
      <c r="T24" s="1560" t="s">
        <v>8</v>
      </c>
      <c r="U24" s="1561">
        <f>H24</f>
        <v>100</v>
      </c>
      <c r="V24" s="1560" t="s">
        <v>8</v>
      </c>
      <c r="W24" s="1561">
        <f>J24</f>
        <v>100</v>
      </c>
      <c r="X24" s="1554"/>
      <c r="Y24" s="3399"/>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99"/>
      <c r="Q25" s="1147">
        <f t="shared" si="11"/>
        <v>111</v>
      </c>
      <c r="R25" s="1555" t="s">
        <v>8</v>
      </c>
      <c r="S25" s="1556">
        <f>F25</f>
        <v>100</v>
      </c>
      <c r="T25" s="1555" t="s">
        <v>8</v>
      </c>
      <c r="U25" s="1556">
        <f>H25</f>
        <v>100</v>
      </c>
      <c r="V25" s="1555" t="s">
        <v>8</v>
      </c>
      <c r="W25" s="1556">
        <f>J25</f>
        <v>100</v>
      </c>
      <c r="X25" s="1557"/>
      <c r="Y25" s="3399"/>
      <c r="Z25" s="1146">
        <f>Q25</f>
        <v>111</v>
      </c>
      <c r="AA25" s="1563">
        <f>D25/F25</f>
        <v>1</v>
      </c>
      <c r="AB25" s="1563">
        <f>D25/H25</f>
        <v>1</v>
      </c>
      <c r="AC25" s="1563">
        <f>D25/J25</f>
        <v>1</v>
      </c>
    </row>
    <row r="26" spans="1:29" ht="15">
      <c r="A26" s="2863"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00"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01"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01"/>
      <c r="Q27" s="1591" t="str">
        <f t="shared" si="11"/>
        <v>项目停车位配比</v>
      </c>
      <c r="R27" s="1564" t="s">
        <v>8</v>
      </c>
      <c r="S27" s="1565">
        <f t="shared" si="12"/>
        <v>100</v>
      </c>
      <c r="T27" s="1564" t="s">
        <v>8</v>
      </c>
      <c r="U27" s="1565">
        <f t="shared" si="13"/>
        <v>100</v>
      </c>
      <c r="V27" s="1564" t="s">
        <v>8</v>
      </c>
      <c r="W27" s="1565">
        <f t="shared" si="14"/>
        <v>100</v>
      </c>
      <c r="X27" s="1566"/>
      <c r="Y27" s="3401"/>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01"/>
      <c r="Q28" s="1559" t="str">
        <f t="shared" si="11"/>
        <v>公共部分装修</v>
      </c>
      <c r="R28" s="1560" t="s">
        <v>8</v>
      </c>
      <c r="S28" s="1561">
        <f t="shared" si="12"/>
        <v>100</v>
      </c>
      <c r="T28" s="1560" t="s">
        <v>8</v>
      </c>
      <c r="U28" s="1561">
        <f t="shared" si="13"/>
        <v>100</v>
      </c>
      <c r="V28" s="1560" t="s">
        <v>8</v>
      </c>
      <c r="W28" s="1561">
        <f t="shared" si="14"/>
        <v>100</v>
      </c>
      <c r="X28" s="1554"/>
      <c r="Y28" s="3401"/>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01"/>
      <c r="Q29" s="1559" t="str">
        <f t="shared" si="11"/>
        <v>成新率</v>
      </c>
      <c r="R29" s="1560" t="s">
        <v>8</v>
      </c>
      <c r="S29" s="1561" t="e">
        <f t="shared" si="12"/>
        <v>#N/A</v>
      </c>
      <c r="T29" s="1560" t="s">
        <v>8</v>
      </c>
      <c r="U29" s="1561" t="e">
        <f t="shared" si="13"/>
        <v>#N/A</v>
      </c>
      <c r="V29" s="1560" t="s">
        <v>8</v>
      </c>
      <c r="W29" s="1561" t="e">
        <f t="shared" si="14"/>
        <v>#N/A</v>
      </c>
      <c r="X29" s="1554"/>
      <c r="Y29" s="3401"/>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01"/>
      <c r="Q30" s="1559" t="str">
        <f t="shared" si="11"/>
        <v>物业等级</v>
      </c>
      <c r="R30" s="1560" t="s">
        <v>8</v>
      </c>
      <c r="S30" s="1561">
        <f t="shared" si="12"/>
        <v>100</v>
      </c>
      <c r="T30" s="1560" t="s">
        <v>8</v>
      </c>
      <c r="U30" s="1561">
        <f t="shared" si="13"/>
        <v>100</v>
      </c>
      <c r="V30" s="1560" t="s">
        <v>8</v>
      </c>
      <c r="W30" s="1561">
        <f t="shared" si="14"/>
        <v>100</v>
      </c>
      <c r="X30" s="1554"/>
      <c r="Y30" s="3401"/>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01"/>
      <c r="Q31" s="1147" t="str">
        <f t="shared" si="11"/>
        <v>停车位面积</v>
      </c>
      <c r="R31" s="1555" t="s">
        <v>8</v>
      </c>
      <c r="S31" s="1556" t="e">
        <f t="shared" si="12"/>
        <v>#N/A</v>
      </c>
      <c r="T31" s="1555" t="s">
        <v>8</v>
      </c>
      <c r="U31" s="1556" t="e">
        <f t="shared" si="13"/>
        <v>#N/A</v>
      </c>
      <c r="V31" s="1555" t="s">
        <v>8</v>
      </c>
      <c r="W31" s="1556" t="e">
        <f t="shared" si="14"/>
        <v>#N/A</v>
      </c>
      <c r="X31" s="1557"/>
      <c r="Y31" s="3401"/>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01" t="s">
        <v>550</v>
      </c>
      <c r="Q32" s="1559" t="str">
        <f t="shared" si="11"/>
        <v>车位类型</v>
      </c>
      <c r="R32" s="1560" t="s">
        <v>8</v>
      </c>
      <c r="S32" s="1561">
        <f t="shared" si="12"/>
        <v>100</v>
      </c>
      <c r="T32" s="1560" t="s">
        <v>8</v>
      </c>
      <c r="U32" s="1561">
        <f t="shared" si="13"/>
        <v>100</v>
      </c>
      <c r="V32" s="1560" t="s">
        <v>8</v>
      </c>
      <c r="W32" s="1561">
        <f t="shared" si="14"/>
        <v>100</v>
      </c>
      <c r="X32" s="1554"/>
      <c r="Y32" s="3401"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01"/>
      <c r="Q33" s="1559" t="str">
        <f t="shared" si="11"/>
        <v>是否直接入户</v>
      </c>
      <c r="R33" s="1560" t="s">
        <v>8</v>
      </c>
      <c r="S33" s="1561">
        <f t="shared" si="12"/>
        <v>100</v>
      </c>
      <c r="T33" s="1560" t="s">
        <v>8</v>
      </c>
      <c r="U33" s="1561">
        <f t="shared" si="13"/>
        <v>100</v>
      </c>
      <c r="V33" s="1560" t="s">
        <v>8</v>
      </c>
      <c r="W33" s="1561">
        <f t="shared" si="14"/>
        <v>100</v>
      </c>
      <c r="X33" s="1554"/>
      <c r="Y33" s="3401"/>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01"/>
      <c r="Q34" s="1559">
        <f t="shared" si="11"/>
        <v>111</v>
      </c>
      <c r="R34" s="1560" t="s">
        <v>8</v>
      </c>
      <c r="S34" s="1561">
        <f t="shared" si="12"/>
        <v>100</v>
      </c>
      <c r="T34" s="1560" t="s">
        <v>8</v>
      </c>
      <c r="U34" s="1561">
        <f t="shared" si="13"/>
        <v>100</v>
      </c>
      <c r="V34" s="1560" t="s">
        <v>8</v>
      </c>
      <c r="W34" s="1561">
        <f t="shared" si="14"/>
        <v>100</v>
      </c>
      <c r="X34" s="1554"/>
      <c r="Y34" s="3401"/>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01"/>
      <c r="Q35" s="1591">
        <f t="shared" si="11"/>
        <v>111</v>
      </c>
      <c r="R35" s="1564" t="s">
        <v>8</v>
      </c>
      <c r="S35" s="1565">
        <f t="shared" si="12"/>
        <v>100</v>
      </c>
      <c r="T35" s="1564" t="s">
        <v>8</v>
      </c>
      <c r="U35" s="1565">
        <f t="shared" si="13"/>
        <v>100</v>
      </c>
      <c r="V35" s="1564" t="s">
        <v>8</v>
      </c>
      <c r="W35" s="1565">
        <f t="shared" si="14"/>
        <v>100</v>
      </c>
      <c r="X35" s="1566"/>
      <c r="Y35" s="3401"/>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01"/>
      <c r="Q36" s="1559">
        <f t="shared" si="11"/>
        <v>111</v>
      </c>
      <c r="R36" s="1560" t="s">
        <v>8</v>
      </c>
      <c r="S36" s="1561">
        <f t="shared" si="12"/>
        <v>100</v>
      </c>
      <c r="T36" s="1560" t="s">
        <v>8</v>
      </c>
      <c r="U36" s="1561">
        <f t="shared" si="13"/>
        <v>100</v>
      </c>
      <c r="V36" s="1560" t="s">
        <v>8</v>
      </c>
      <c r="W36" s="1561">
        <f t="shared" si="14"/>
        <v>100</v>
      </c>
      <c r="X36" s="1554"/>
      <c r="Y36" s="3401"/>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63" t="str">
        <f>A37</f>
        <v>成交单价</v>
      </c>
      <c r="Q37" s="3363"/>
      <c r="R37" s="3447">
        <f>E37</f>
        <v>0</v>
      </c>
      <c r="S37" s="3447"/>
      <c r="T37" s="3447">
        <f>G37</f>
        <v>0</v>
      </c>
      <c r="U37" s="3447"/>
      <c r="V37" s="3447">
        <f>I37</f>
        <v>0</v>
      </c>
      <c r="W37" s="3447"/>
      <c r="X37" s="1546"/>
      <c r="Y37" s="1568"/>
      <c r="Z37" s="1546"/>
      <c r="AA37" s="1546"/>
      <c r="AB37" s="1546"/>
      <c r="AC37" s="1546"/>
    </row>
    <row r="38" spans="1:29" ht="15.75" thickBot="1">
      <c r="A38" s="615" t="s">
        <v>2759</v>
      </c>
      <c r="B38" s="888"/>
      <c r="C38" s="2598" t="e">
        <f>R39</f>
        <v>#DIV/0!</v>
      </c>
      <c r="D38" s="2599"/>
      <c r="E38" s="2600" t="e">
        <f>R38</f>
        <v>#DIV/0!</v>
      </c>
      <c r="F38" s="2600"/>
      <c r="G38" s="2598" t="e">
        <f>T38</f>
        <v>#DIV/0!</v>
      </c>
      <c r="H38" s="2599"/>
      <c r="I38" s="2600" t="e">
        <f>V38</f>
        <v>#DIV/0!</v>
      </c>
      <c r="J38" s="2599"/>
      <c r="K38" s="1598"/>
      <c r="L38" s="2130"/>
      <c r="M38" s="2131"/>
      <c r="N38" s="2131"/>
      <c r="O38" s="2131"/>
      <c r="P38" s="3363" t="str">
        <f>A38</f>
        <v>比较价格（元/平方米）</v>
      </c>
      <c r="Q38" s="3363"/>
      <c r="R38" s="3447" t="e">
        <f>IF(F1="售价",ROUND(PRODUCT(R37,AA7:AA36),0),ROUND(PRODUCT(R37,AA7:AA36),1))</f>
        <v>#DIV/0!</v>
      </c>
      <c r="S38" s="3447"/>
      <c r="T38" s="3447" t="e">
        <f>IF(F1="售价",ROUND(PRODUCT(T37,AB7:AB36),0),ROUND(PRODUCT(T37,AB7:AB36),1))</f>
        <v>#DIV/0!</v>
      </c>
      <c r="U38" s="3447"/>
      <c r="V38" s="3447" t="e">
        <f>IF(F1="售价",ROUND(PRODUCT(V37,AC7:AC36),0),ROUND(PRODUCT(V37,AC7:AC36),1))</f>
        <v>#DIV/0!</v>
      </c>
      <c r="W38" s="3447"/>
      <c r="X38" s="1546"/>
      <c r="Y38" s="1546"/>
      <c r="Z38" s="1546"/>
      <c r="AA38" s="1546"/>
      <c r="AB38" s="1546"/>
      <c r="AC38" s="1546"/>
    </row>
    <row r="39" spans="1:29" ht="15.75" thickBot="1">
      <c r="A39" s="621" t="s">
        <v>2936</v>
      </c>
      <c r="B39" s="622"/>
      <c r="C39" s="2601" t="e">
        <f>R39</f>
        <v>#DIV/0!</v>
      </c>
      <c r="D39" s="2601"/>
      <c r="E39" s="2601"/>
      <c r="F39" s="2601"/>
      <c r="G39" s="2601"/>
      <c r="H39" s="2601"/>
      <c r="I39" s="2601"/>
      <c r="J39" s="2601"/>
      <c r="K39" s="1599"/>
      <c r="L39" s="2130"/>
      <c r="M39" s="2131"/>
      <c r="N39" s="2131"/>
      <c r="O39" s="2131"/>
      <c r="P39" s="3360" t="str">
        <f>A39</f>
        <v>估价对象XX用房的比较价格（楼面单价，元/平方米）</v>
      </c>
      <c r="Q39" s="3361"/>
      <c r="R39" s="3446" t="e">
        <f>IF(F1="售价",ROUND(AVERAGE(R38:V38),0),ROUND(AVERAGE(R38:V38),1))</f>
        <v>#DIV/0!</v>
      </c>
      <c r="S39" s="3446"/>
      <c r="T39" s="3446"/>
      <c r="U39" s="3446"/>
      <c r="V39" s="3446"/>
      <c r="W39" s="3446"/>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2019-8</v>
      </c>
      <c r="D48" s="2760">
        <f>EDATE(C48,-1)</f>
        <v>43647</v>
      </c>
      <c r="E48" s="2760">
        <f t="shared" ref="E48:O48" si="16">EDATE(D48,-1)</f>
        <v>43617</v>
      </c>
      <c r="F48" s="2760">
        <f t="shared" si="16"/>
        <v>43586</v>
      </c>
      <c r="G48" s="2760">
        <f t="shared" si="16"/>
        <v>43556</v>
      </c>
      <c r="H48" s="2760">
        <f t="shared" si="16"/>
        <v>43525</v>
      </c>
      <c r="I48" s="2760">
        <f t="shared" si="16"/>
        <v>43497</v>
      </c>
      <c r="J48" s="2760">
        <f t="shared" si="16"/>
        <v>43466</v>
      </c>
      <c r="K48" s="2760">
        <f t="shared" si="16"/>
        <v>43435</v>
      </c>
      <c r="L48" s="2760">
        <f t="shared" si="16"/>
        <v>43405</v>
      </c>
      <c r="M48" s="2760">
        <f t="shared" si="16"/>
        <v>43374</v>
      </c>
      <c r="N48" s="2760">
        <f t="shared" si="16"/>
        <v>43344</v>
      </c>
      <c r="O48" s="2760">
        <f t="shared" si="16"/>
        <v>43313</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69" t="s">
        <v>798</v>
      </c>
      <c r="D4" s="3370"/>
      <c r="E4" s="3404" t="s">
        <v>799</v>
      </c>
      <c r="F4" s="3405"/>
      <c r="G4" s="3369" t="s">
        <v>800</v>
      </c>
      <c r="H4" s="3370"/>
      <c r="I4" s="3369" t="s">
        <v>801</v>
      </c>
      <c r="J4" s="3370"/>
      <c r="K4" s="514" t="s">
        <v>802</v>
      </c>
      <c r="L4" s="2119"/>
      <c r="M4" s="2120"/>
      <c r="N4" s="2120"/>
      <c r="O4" s="2120"/>
      <c r="P4" s="3371" t="s">
        <v>803</v>
      </c>
      <c r="Q4" s="3372"/>
      <c r="R4" s="3377" t="s">
        <v>799</v>
      </c>
      <c r="S4" s="3378"/>
      <c r="T4" s="3377" t="s">
        <v>800</v>
      </c>
      <c r="U4" s="3378"/>
      <c r="V4" s="3364" t="s">
        <v>801</v>
      </c>
      <c r="W4" s="3364"/>
      <c r="X4" s="1554"/>
      <c r="Y4" s="3377" t="s">
        <v>803</v>
      </c>
      <c r="Z4" s="3378"/>
      <c r="AA4" s="3366" t="s">
        <v>799</v>
      </c>
      <c r="AB4" s="3367" t="s">
        <v>800</v>
      </c>
      <c r="AC4" s="3366" t="s">
        <v>801</v>
      </c>
    </row>
    <row r="5" spans="1:29" ht="15">
      <c r="A5" s="515"/>
      <c r="B5" s="516"/>
      <c r="C5" s="3385" t="s">
        <v>2930</v>
      </c>
      <c r="D5" s="3386"/>
      <c r="E5" s="3406" t="s">
        <v>2931</v>
      </c>
      <c r="F5" s="3407"/>
      <c r="G5" s="3385" t="s">
        <v>2932</v>
      </c>
      <c r="H5" s="3386"/>
      <c r="I5" s="3385" t="s">
        <v>2933</v>
      </c>
      <c r="J5" s="3386"/>
      <c r="K5" s="514"/>
      <c r="L5" s="2119"/>
      <c r="M5" s="2120"/>
      <c r="N5" s="2120"/>
      <c r="O5" s="2120"/>
      <c r="P5" s="3373"/>
      <c r="Q5" s="3374"/>
      <c r="R5" s="3379"/>
      <c r="S5" s="3380"/>
      <c r="T5" s="3379"/>
      <c r="U5" s="3380"/>
      <c r="V5" s="3364"/>
      <c r="W5" s="3364"/>
      <c r="X5" s="1554"/>
      <c r="Y5" s="3379"/>
      <c r="Z5" s="3380"/>
      <c r="AA5" s="3367"/>
      <c r="AB5" s="3367"/>
      <c r="AC5" s="3367"/>
    </row>
    <row r="6" spans="1:29" ht="15.75" thickBot="1">
      <c r="A6" s="517"/>
      <c r="B6" s="518"/>
      <c r="C6" s="3383" t="s">
        <v>2934</v>
      </c>
      <c r="D6" s="3384"/>
      <c r="E6" s="3402" t="s">
        <v>2934</v>
      </c>
      <c r="F6" s="3403"/>
      <c r="G6" s="3383" t="s">
        <v>2934</v>
      </c>
      <c r="H6" s="3384"/>
      <c r="I6" s="3383" t="s">
        <v>2934</v>
      </c>
      <c r="J6" s="3384"/>
      <c r="K6" s="514" t="s">
        <v>528</v>
      </c>
      <c r="L6" s="2119"/>
      <c r="M6" s="2120"/>
      <c r="N6" s="2120"/>
      <c r="O6" s="2120"/>
      <c r="P6" s="3375"/>
      <c r="Q6" s="3376"/>
      <c r="R6" s="3379"/>
      <c r="S6" s="3380"/>
      <c r="T6" s="3381"/>
      <c r="U6" s="3382"/>
      <c r="V6" s="3364"/>
      <c r="W6" s="3364"/>
      <c r="X6" s="1554"/>
      <c r="Y6" s="3381"/>
      <c r="Z6" s="3382"/>
      <c r="AA6" s="3368"/>
      <c r="AB6" s="3368"/>
      <c r="AC6" s="3368"/>
    </row>
    <row r="7" spans="1:29" s="1216" customFormat="1" ht="15.75" thickBot="1">
      <c r="A7" s="2868"/>
      <c r="B7" s="2875" t="s">
        <v>529</v>
      </c>
      <c r="C7" s="519">
        <f>'数据-取费表'!B2</f>
        <v>43698</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95" t="s">
        <v>530</v>
      </c>
      <c r="Q7" s="3397"/>
      <c r="R7" s="1555" t="s">
        <v>8</v>
      </c>
      <c r="S7" s="1556">
        <f t="shared" ref="S7:S14" si="0">F7</f>
        <v>0</v>
      </c>
      <c r="T7" s="1555" t="s">
        <v>8</v>
      </c>
      <c r="U7" s="1556">
        <f t="shared" ref="U7:U14" si="1">H7</f>
        <v>0</v>
      </c>
      <c r="V7" s="1555" t="s">
        <v>8</v>
      </c>
      <c r="W7" s="1556">
        <f t="shared" ref="W7:W14" si="2">J7</f>
        <v>0</v>
      </c>
      <c r="X7" s="1557"/>
      <c r="Y7" s="3395" t="s">
        <v>530</v>
      </c>
      <c r="Z7" s="3396"/>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95" t="s">
        <v>533</v>
      </c>
      <c r="Q8" s="3396"/>
      <c r="R8" s="1555" t="s">
        <v>8</v>
      </c>
      <c r="S8" s="1556">
        <f t="shared" si="0"/>
        <v>0</v>
      </c>
      <c r="T8" s="1555" t="s">
        <v>8</v>
      </c>
      <c r="U8" s="1556">
        <f t="shared" si="1"/>
        <v>0</v>
      </c>
      <c r="V8" s="1555" t="s">
        <v>8</v>
      </c>
      <c r="W8" s="1556">
        <f t="shared" si="2"/>
        <v>0</v>
      </c>
      <c r="X8" s="1557"/>
      <c r="Y8" s="3395" t="s">
        <v>533</v>
      </c>
      <c r="Z8" s="3396"/>
      <c r="AA8" s="1558" t="e">
        <f t="shared" ref="AA8:AA34" si="3">D8/F8</f>
        <v>#DIV/0!</v>
      </c>
      <c r="AB8" s="1558" t="e">
        <f t="shared" ref="AB8:AB34" si="4">D8/H8</f>
        <v>#DIV/0!</v>
      </c>
      <c r="AC8" s="1558" t="e">
        <f t="shared" ref="AC8:AC34" si="5">D8/J8</f>
        <v>#DIV/0!</v>
      </c>
    </row>
    <row r="9" spans="1:29" s="1216" customFormat="1" ht="15">
      <c r="A9" s="2870"/>
      <c r="B9" s="2877" t="s">
        <v>2755</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63" t="s">
        <v>535</v>
      </c>
      <c r="Q9" s="1147" t="str">
        <f t="shared" ref="Q9:Q14" si="6">B9</f>
        <v>用途</v>
      </c>
      <c r="R9" s="1555" t="s">
        <v>8</v>
      </c>
      <c r="S9" s="1556">
        <f t="shared" si="0"/>
        <v>100</v>
      </c>
      <c r="T9" s="1555" t="s">
        <v>8</v>
      </c>
      <c r="U9" s="1556">
        <f t="shared" si="1"/>
        <v>100</v>
      </c>
      <c r="V9" s="1555" t="s">
        <v>8</v>
      </c>
      <c r="W9" s="1556">
        <f t="shared" si="2"/>
        <v>100</v>
      </c>
      <c r="X9" s="1557"/>
      <c r="Y9" s="3309" t="s">
        <v>536</v>
      </c>
      <c r="Z9" s="1146" t="str">
        <f t="shared" ref="Z9:Z14" si="7">Q9</f>
        <v>用途</v>
      </c>
      <c r="AA9" s="1558">
        <f t="shared" si="3"/>
        <v>1</v>
      </c>
      <c r="AB9" s="1558">
        <f t="shared" si="4"/>
        <v>1</v>
      </c>
      <c r="AC9" s="1558">
        <f t="shared" si="5"/>
        <v>1</v>
      </c>
    </row>
    <row r="10" spans="1:29" s="1334" customFormat="1" ht="27">
      <c r="A10" s="2871"/>
      <c r="B10" s="2876" t="s">
        <v>2756</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63"/>
      <c r="Q10" s="1147" t="str">
        <f t="shared" si="6"/>
        <v>土地使用年限（年）</v>
      </c>
      <c r="R10" s="1555" t="s">
        <v>8</v>
      </c>
      <c r="S10" s="1556">
        <f t="shared" si="0"/>
        <v>100</v>
      </c>
      <c r="T10" s="1555" t="s">
        <v>8</v>
      </c>
      <c r="U10" s="1556">
        <f t="shared" si="1"/>
        <v>100</v>
      </c>
      <c r="V10" s="1555" t="s">
        <v>8</v>
      </c>
      <c r="W10" s="1556">
        <f t="shared" si="2"/>
        <v>100</v>
      </c>
      <c r="X10" s="1557"/>
      <c r="Y10" s="3309"/>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63"/>
      <c r="Q11" s="1147">
        <f t="shared" si="6"/>
        <v>111</v>
      </c>
      <c r="R11" s="1555" t="s">
        <v>8</v>
      </c>
      <c r="S11" s="1556">
        <f t="shared" si="0"/>
        <v>100</v>
      </c>
      <c r="T11" s="1555" t="s">
        <v>8</v>
      </c>
      <c r="U11" s="1556">
        <f t="shared" si="1"/>
        <v>100</v>
      </c>
      <c r="V11" s="1555" t="s">
        <v>8</v>
      </c>
      <c r="W11" s="1556">
        <f t="shared" si="2"/>
        <v>100</v>
      </c>
      <c r="X11" s="1557"/>
      <c r="Y11" s="3309"/>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63"/>
      <c r="Q12" s="1147">
        <f t="shared" si="6"/>
        <v>111</v>
      </c>
      <c r="R12" s="1555" t="s">
        <v>8</v>
      </c>
      <c r="S12" s="1556">
        <f t="shared" si="0"/>
        <v>100</v>
      </c>
      <c r="T12" s="1555" t="s">
        <v>8</v>
      </c>
      <c r="U12" s="1556">
        <f t="shared" si="1"/>
        <v>100</v>
      </c>
      <c r="V12" s="1555" t="s">
        <v>8</v>
      </c>
      <c r="W12" s="1556">
        <f t="shared" si="2"/>
        <v>100</v>
      </c>
      <c r="X12" s="1557"/>
      <c r="Y12" s="3309"/>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63"/>
      <c r="Q13" s="1147">
        <f t="shared" si="6"/>
        <v>111</v>
      </c>
      <c r="R13" s="1555" t="s">
        <v>8</v>
      </c>
      <c r="S13" s="1556">
        <f t="shared" si="0"/>
        <v>100</v>
      </c>
      <c r="T13" s="1555" t="s">
        <v>8</v>
      </c>
      <c r="U13" s="1556">
        <f t="shared" si="1"/>
        <v>100</v>
      </c>
      <c r="V13" s="1555" t="s">
        <v>8</v>
      </c>
      <c r="W13" s="1556">
        <f t="shared" si="2"/>
        <v>100</v>
      </c>
      <c r="X13" s="1557"/>
      <c r="Y13" s="3309"/>
      <c r="Z13" s="1146">
        <f t="shared" si="7"/>
        <v>111</v>
      </c>
      <c r="AA13" s="1558">
        <f t="shared" si="3"/>
        <v>1</v>
      </c>
      <c r="AB13" s="1558">
        <f t="shared" si="4"/>
        <v>1</v>
      </c>
      <c r="AC13" s="1558">
        <f t="shared" si="5"/>
        <v>1</v>
      </c>
    </row>
    <row r="14" spans="1:29" ht="85.5">
      <c r="A14" s="2866"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98" t="s">
        <v>540</v>
      </c>
      <c r="Q14" s="1559" t="str">
        <f t="shared" si="6"/>
        <v>交通便捷度</v>
      </c>
      <c r="R14" s="1560" t="s">
        <v>8</v>
      </c>
      <c r="S14" s="1561">
        <f t="shared" si="0"/>
        <v>100</v>
      </c>
      <c r="T14" s="1560" t="s">
        <v>8</v>
      </c>
      <c r="U14" s="1561">
        <f t="shared" si="1"/>
        <v>100</v>
      </c>
      <c r="V14" s="1560" t="s">
        <v>8</v>
      </c>
      <c r="W14" s="1561">
        <f t="shared" si="2"/>
        <v>100</v>
      </c>
      <c r="X14" s="1554"/>
      <c r="Y14" s="3398"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99"/>
      <c r="Q15" s="1559"/>
      <c r="R15" s="1560"/>
      <c r="S15" s="1561"/>
      <c r="T15" s="1560"/>
      <c r="U15" s="1561"/>
      <c r="V15" s="1560"/>
      <c r="W15" s="1561"/>
      <c r="X15" s="1554"/>
      <c r="Y15" s="3399"/>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99"/>
      <c r="Q16" s="1559" t="str">
        <f>B16</f>
        <v>公共配套设施</v>
      </c>
      <c r="R16" s="1560" t="s">
        <v>8</v>
      </c>
      <c r="S16" s="1561">
        <f>F16</f>
        <v>100</v>
      </c>
      <c r="T16" s="1560" t="s">
        <v>8</v>
      </c>
      <c r="U16" s="1561">
        <f>H16</f>
        <v>100</v>
      </c>
      <c r="V16" s="1560" t="s">
        <v>8</v>
      </c>
      <c r="W16" s="1561">
        <f>J16</f>
        <v>100</v>
      </c>
      <c r="X16" s="1554"/>
      <c r="Y16" s="3399"/>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99"/>
      <c r="Q17" s="1559"/>
      <c r="R17" s="1560"/>
      <c r="S17" s="1561"/>
      <c r="T17" s="1560"/>
      <c r="U17" s="1561"/>
      <c r="V17" s="1560"/>
      <c r="W17" s="1561"/>
      <c r="X17" s="1554"/>
      <c r="Y17" s="3399"/>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99"/>
      <c r="Q18" s="2544" t="str">
        <f>B18</f>
        <v>基础设施水平</v>
      </c>
      <c r="R18" s="1560" t="s">
        <v>8</v>
      </c>
      <c r="S18" s="1561">
        <f>F18</f>
        <v>100</v>
      </c>
      <c r="T18" s="1560" t="s">
        <v>8</v>
      </c>
      <c r="U18" s="1561">
        <f>H18</f>
        <v>100</v>
      </c>
      <c r="V18" s="1560" t="s">
        <v>8</v>
      </c>
      <c r="W18" s="1561">
        <f>J18</f>
        <v>100</v>
      </c>
      <c r="X18" s="2546"/>
      <c r="Y18" s="3399"/>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99"/>
      <c r="Q19" s="2544"/>
      <c r="R19" s="1560"/>
      <c r="S19" s="1561"/>
      <c r="T19" s="1560"/>
      <c r="U19" s="1561"/>
      <c r="V19" s="1560"/>
      <c r="W19" s="1561"/>
      <c r="X19" s="2546"/>
      <c r="Y19" s="3399"/>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99"/>
      <c r="Q20" s="1559" t="str">
        <f>B20</f>
        <v>自然及人文环境</v>
      </c>
      <c r="R20" s="1560" t="s">
        <v>8</v>
      </c>
      <c r="S20" s="1561">
        <f>F20</f>
        <v>100</v>
      </c>
      <c r="T20" s="1560" t="s">
        <v>8</v>
      </c>
      <c r="U20" s="1561">
        <f>H20</f>
        <v>100</v>
      </c>
      <c r="V20" s="1560" t="s">
        <v>8</v>
      </c>
      <c r="W20" s="1561">
        <f>J20</f>
        <v>100</v>
      </c>
      <c r="X20" s="1554"/>
      <c r="Y20" s="3399"/>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99"/>
      <c r="Q21" s="1559"/>
      <c r="R21" s="1560"/>
      <c r="S21" s="1561"/>
      <c r="T21" s="1560"/>
      <c r="U21" s="1561"/>
      <c r="V21" s="1560"/>
      <c r="W21" s="1561"/>
      <c r="X21" s="1554"/>
      <c r="Y21" s="3399"/>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99"/>
      <c r="Q22" s="1559" t="str">
        <f>B22</f>
        <v>楼层</v>
      </c>
      <c r="R22" s="1560" t="s">
        <v>8</v>
      </c>
      <c r="S22" s="1561">
        <f>F22</f>
        <v>100</v>
      </c>
      <c r="T22" s="1560" t="s">
        <v>8</v>
      </c>
      <c r="U22" s="1561">
        <f>H22</f>
        <v>100</v>
      </c>
      <c r="V22" s="1560" t="s">
        <v>8</v>
      </c>
      <c r="W22" s="1561">
        <f>J22</f>
        <v>100</v>
      </c>
      <c r="X22" s="1554"/>
      <c r="Y22" s="3399"/>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99"/>
      <c r="Q23" s="1559">
        <f>B23</f>
        <v>111</v>
      </c>
      <c r="R23" s="1560" t="s">
        <v>8</v>
      </c>
      <c r="S23" s="1561">
        <f>F23</f>
        <v>100</v>
      </c>
      <c r="T23" s="1560" t="s">
        <v>8</v>
      </c>
      <c r="U23" s="1561">
        <f>H23</f>
        <v>100</v>
      </c>
      <c r="V23" s="1560" t="s">
        <v>8</v>
      </c>
      <c r="W23" s="1561">
        <f>J23</f>
        <v>100</v>
      </c>
      <c r="X23" s="1554"/>
      <c r="Y23" s="3399"/>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99"/>
      <c r="Q24" s="1559">
        <f t="shared" ref="Q24:Q34" si="11">B24</f>
        <v>111</v>
      </c>
      <c r="R24" s="1560" t="s">
        <v>8</v>
      </c>
      <c r="S24" s="1561">
        <f>F24</f>
        <v>100</v>
      </c>
      <c r="T24" s="1560" t="s">
        <v>8</v>
      </c>
      <c r="U24" s="1561">
        <f>H24</f>
        <v>100</v>
      </c>
      <c r="V24" s="1560" t="s">
        <v>8</v>
      </c>
      <c r="W24" s="1561">
        <f>J24</f>
        <v>100</v>
      </c>
      <c r="X24" s="1554"/>
      <c r="Y24" s="3399"/>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99"/>
      <c r="Q25" s="1147">
        <f t="shared" si="11"/>
        <v>111</v>
      </c>
      <c r="R25" s="1555" t="s">
        <v>8</v>
      </c>
      <c r="S25" s="1556">
        <f>F25</f>
        <v>100</v>
      </c>
      <c r="T25" s="1555" t="s">
        <v>8</v>
      </c>
      <c r="U25" s="1556">
        <f>H25</f>
        <v>100</v>
      </c>
      <c r="V25" s="1555" t="s">
        <v>8</v>
      </c>
      <c r="W25" s="1556">
        <f>J25</f>
        <v>100</v>
      </c>
      <c r="X25" s="1557"/>
      <c r="Y25" s="3399"/>
      <c r="Z25" s="1146">
        <f>Q25</f>
        <v>111</v>
      </c>
      <c r="AA25" s="1563">
        <f>D25/F25</f>
        <v>1</v>
      </c>
      <c r="AB25" s="1563">
        <f>D25/H25</f>
        <v>1</v>
      </c>
      <c r="AC25" s="1563">
        <f>D25/J25</f>
        <v>1</v>
      </c>
    </row>
    <row r="26" spans="1:29" ht="15">
      <c r="A26" s="2863"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00"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01"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01"/>
      <c r="Q27" s="1591" t="str">
        <f t="shared" si="11"/>
        <v>成新率</v>
      </c>
      <c r="R27" s="1564" t="s">
        <v>8</v>
      </c>
      <c r="S27" s="1565" t="e">
        <f t="shared" si="12"/>
        <v>#N/A</v>
      </c>
      <c r="T27" s="1564" t="s">
        <v>8</v>
      </c>
      <c r="U27" s="1565" t="e">
        <f t="shared" si="13"/>
        <v>#N/A</v>
      </c>
      <c r="V27" s="1564" t="s">
        <v>8</v>
      </c>
      <c r="W27" s="1565" t="e">
        <f t="shared" si="14"/>
        <v>#N/A</v>
      </c>
      <c r="X27" s="1566"/>
      <c r="Y27" s="3401"/>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01"/>
      <c r="Q28" s="1559" t="str">
        <f t="shared" si="11"/>
        <v>物业等级</v>
      </c>
      <c r="R28" s="1560" t="s">
        <v>8</v>
      </c>
      <c r="S28" s="1561">
        <f t="shared" si="12"/>
        <v>100</v>
      </c>
      <c r="T28" s="1560" t="s">
        <v>8</v>
      </c>
      <c r="U28" s="1561">
        <f t="shared" si="13"/>
        <v>100</v>
      </c>
      <c r="V28" s="1560" t="s">
        <v>8</v>
      </c>
      <c r="W28" s="1561">
        <f t="shared" si="14"/>
        <v>100</v>
      </c>
      <c r="X28" s="1554"/>
      <c r="Y28" s="3401"/>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01"/>
      <c r="Q29" s="1559" t="str">
        <f t="shared" si="11"/>
        <v>有无电梯</v>
      </c>
      <c r="R29" s="1560" t="s">
        <v>8</v>
      </c>
      <c r="S29" s="1561">
        <f t="shared" si="12"/>
        <v>100</v>
      </c>
      <c r="T29" s="1560" t="s">
        <v>8</v>
      </c>
      <c r="U29" s="1561">
        <f t="shared" si="13"/>
        <v>100</v>
      </c>
      <c r="V29" s="1560" t="s">
        <v>8</v>
      </c>
      <c r="W29" s="1561">
        <f t="shared" si="14"/>
        <v>100</v>
      </c>
      <c r="X29" s="1554"/>
      <c r="Y29" s="3401"/>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01"/>
      <c r="Q30" s="1559" t="str">
        <f t="shared" si="11"/>
        <v>建筑面积</v>
      </c>
      <c r="R30" s="1560" t="s">
        <v>8</v>
      </c>
      <c r="S30" s="1561" t="e">
        <f t="shared" si="12"/>
        <v>#N/A</v>
      </c>
      <c r="T30" s="1560" t="s">
        <v>8</v>
      </c>
      <c r="U30" s="1561" t="e">
        <f t="shared" si="13"/>
        <v>#N/A</v>
      </c>
      <c r="V30" s="1560" t="s">
        <v>8</v>
      </c>
      <c r="W30" s="1561" t="e">
        <f t="shared" si="14"/>
        <v>#N/A</v>
      </c>
      <c r="X30" s="1554"/>
      <c r="Y30" s="3401"/>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01"/>
      <c r="Q31" s="1147" t="str">
        <f t="shared" si="11"/>
        <v>是否封闭</v>
      </c>
      <c r="R31" s="1555" t="s">
        <v>8</v>
      </c>
      <c r="S31" s="1556">
        <f t="shared" si="12"/>
        <v>100</v>
      </c>
      <c r="T31" s="1555" t="s">
        <v>8</v>
      </c>
      <c r="U31" s="1556">
        <f t="shared" si="13"/>
        <v>100</v>
      </c>
      <c r="V31" s="1555" t="s">
        <v>8</v>
      </c>
      <c r="W31" s="1556">
        <f t="shared" si="14"/>
        <v>100</v>
      </c>
      <c r="X31" s="1557"/>
      <c r="Y31" s="3401"/>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01" t="s">
        <v>550</v>
      </c>
      <c r="Q32" s="1559">
        <f t="shared" si="11"/>
        <v>111</v>
      </c>
      <c r="R32" s="1560" t="s">
        <v>8</v>
      </c>
      <c r="S32" s="1561">
        <f t="shared" si="12"/>
        <v>100</v>
      </c>
      <c r="T32" s="1560" t="s">
        <v>8</v>
      </c>
      <c r="U32" s="1561">
        <f t="shared" si="13"/>
        <v>100</v>
      </c>
      <c r="V32" s="1560" t="s">
        <v>8</v>
      </c>
      <c r="W32" s="1561">
        <f t="shared" si="14"/>
        <v>100</v>
      </c>
      <c r="X32" s="1554"/>
      <c r="Y32" s="3401"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01"/>
      <c r="Q33" s="1559">
        <f t="shared" si="11"/>
        <v>111</v>
      </c>
      <c r="R33" s="1560" t="s">
        <v>8</v>
      </c>
      <c r="S33" s="1561">
        <f t="shared" si="12"/>
        <v>100</v>
      </c>
      <c r="T33" s="1560" t="s">
        <v>8</v>
      </c>
      <c r="U33" s="1561">
        <f t="shared" si="13"/>
        <v>100</v>
      </c>
      <c r="V33" s="1560" t="s">
        <v>8</v>
      </c>
      <c r="W33" s="1561">
        <f t="shared" si="14"/>
        <v>100</v>
      </c>
      <c r="X33" s="1554"/>
      <c r="Y33" s="3401"/>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01"/>
      <c r="Q34" s="1559">
        <f t="shared" si="11"/>
        <v>111</v>
      </c>
      <c r="R34" s="1560" t="s">
        <v>8</v>
      </c>
      <c r="S34" s="1561">
        <f t="shared" si="12"/>
        <v>100</v>
      </c>
      <c r="T34" s="1560" t="s">
        <v>8</v>
      </c>
      <c r="U34" s="1561">
        <f t="shared" si="13"/>
        <v>100</v>
      </c>
      <c r="V34" s="1560" t="s">
        <v>8</v>
      </c>
      <c r="W34" s="1561">
        <f t="shared" si="14"/>
        <v>100</v>
      </c>
      <c r="X34" s="1554"/>
      <c r="Y34" s="3401"/>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63" t="str">
        <f>A35</f>
        <v>成交单价（元/平方米）</v>
      </c>
      <c r="Q35" s="3363"/>
      <c r="R35" s="3447">
        <f>E35</f>
        <v>0</v>
      </c>
      <c r="S35" s="3447"/>
      <c r="T35" s="3447">
        <f>G35</f>
        <v>0</v>
      </c>
      <c r="U35" s="3447"/>
      <c r="V35" s="3447">
        <f>I35</f>
        <v>0</v>
      </c>
      <c r="W35" s="3447"/>
      <c r="X35" s="1546"/>
      <c r="Y35" s="1568"/>
      <c r="Z35" s="1546"/>
      <c r="AA35" s="1546"/>
      <c r="AB35" s="1546"/>
      <c r="AC35" s="1546"/>
    </row>
    <row r="36" spans="1:29" ht="15.75" thickBot="1">
      <c r="A36" s="615" t="s">
        <v>2759</v>
      </c>
      <c r="B36" s="888"/>
      <c r="C36" s="2598" t="e">
        <f>R37</f>
        <v>#DIV/0!</v>
      </c>
      <c r="D36" s="2599"/>
      <c r="E36" s="2600" t="e">
        <f>R36</f>
        <v>#DIV/0!</v>
      </c>
      <c r="F36" s="2600"/>
      <c r="G36" s="2598" t="e">
        <f>T36</f>
        <v>#DIV/0!</v>
      </c>
      <c r="H36" s="2599"/>
      <c r="I36" s="2600" t="e">
        <f>V36</f>
        <v>#DIV/0!</v>
      </c>
      <c r="J36" s="2599"/>
      <c r="K36" s="1598"/>
      <c r="L36" s="2130"/>
      <c r="M36" s="2131"/>
      <c r="N36" s="2120"/>
      <c r="O36" s="2131"/>
      <c r="P36" s="3363" t="str">
        <f>A36</f>
        <v>比较价格（元/平方米）</v>
      </c>
      <c r="Q36" s="3363"/>
      <c r="R36" s="3447" t="e">
        <f>IF(F1="售价",ROUND(PRODUCT(R35,AA7:AA34),0),ROUND(PRODUCT(R35,AA7:AA34),1))</f>
        <v>#DIV/0!</v>
      </c>
      <c r="S36" s="3447"/>
      <c r="T36" s="3447" t="e">
        <f>IF(F1="售价",ROUND(PRODUCT(T35,AB7:AB34),0),ROUND(PRODUCT(T35,AB7:AB34),1))</f>
        <v>#DIV/0!</v>
      </c>
      <c r="U36" s="3447"/>
      <c r="V36" s="3447" t="e">
        <f>IF(F1="售价",ROUND(PRODUCT(V35,AC7:AC34),0),ROUND(PRODUCT(V35,AC7:AC34),1))</f>
        <v>#DIV/0!</v>
      </c>
      <c r="W36" s="3447"/>
      <c r="X36" s="1546"/>
      <c r="Y36" s="1546"/>
      <c r="Z36" s="1546"/>
      <c r="AA36" s="1546"/>
      <c r="AB36" s="1546"/>
      <c r="AC36" s="1546"/>
    </row>
    <row r="37" spans="1:29" ht="15.75" thickBot="1">
      <c r="A37" s="621" t="s">
        <v>2936</v>
      </c>
      <c r="B37" s="622"/>
      <c r="C37" s="2601" t="e">
        <f>R37</f>
        <v>#DIV/0!</v>
      </c>
      <c r="D37" s="2601"/>
      <c r="E37" s="2601"/>
      <c r="F37" s="2601"/>
      <c r="G37" s="2601"/>
      <c r="H37" s="2601"/>
      <c r="I37" s="2601"/>
      <c r="J37" s="2601"/>
      <c r="K37" s="1599"/>
      <c r="L37" s="2130"/>
      <c r="M37" s="2131"/>
      <c r="N37" s="2131"/>
      <c r="O37" s="2131"/>
      <c r="P37" s="3360" t="str">
        <f>A37</f>
        <v>估价对象XX用房的比较价格（楼面单价，元/平方米）</v>
      </c>
      <c r="Q37" s="3361"/>
      <c r="R37" s="3446" t="e">
        <f>IF(F1="售价",ROUND(AVERAGE(R36:V36),0),ROUND(AVERAGE(R36:V36),1))</f>
        <v>#DIV/0!</v>
      </c>
      <c r="S37" s="3446"/>
      <c r="T37" s="3446"/>
      <c r="U37" s="3446"/>
      <c r="V37" s="3446"/>
      <c r="W37" s="3446"/>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2019-8</v>
      </c>
      <c r="D46" s="2760">
        <f>EDATE(C46,-1)</f>
        <v>43647</v>
      </c>
      <c r="E46" s="2760">
        <f t="shared" ref="E46:O46" si="16">EDATE(D46,-1)</f>
        <v>43617</v>
      </c>
      <c r="F46" s="2760">
        <f t="shared" si="16"/>
        <v>43586</v>
      </c>
      <c r="G46" s="2760">
        <f t="shared" si="16"/>
        <v>43556</v>
      </c>
      <c r="H46" s="2760">
        <f t="shared" si="16"/>
        <v>43525</v>
      </c>
      <c r="I46" s="2760">
        <f t="shared" si="16"/>
        <v>43497</v>
      </c>
      <c r="J46" s="2760">
        <f t="shared" si="16"/>
        <v>43466</v>
      </c>
      <c r="K46" s="2760">
        <f t="shared" si="16"/>
        <v>43435</v>
      </c>
      <c r="L46" s="2760">
        <f t="shared" si="16"/>
        <v>43405</v>
      </c>
      <c r="M46" s="2760">
        <f t="shared" si="16"/>
        <v>43374</v>
      </c>
      <c r="N46" s="2760">
        <f t="shared" si="16"/>
        <v>43344</v>
      </c>
      <c r="O46" s="2760">
        <f t="shared" si="16"/>
        <v>43313</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90" t="s">
        <v>2304</v>
      </c>
      <c r="D1" s="3491"/>
      <c r="E1" s="3491"/>
      <c r="F1" s="3491"/>
      <c r="G1" s="3491"/>
      <c r="H1" s="3491"/>
      <c r="I1" s="3491"/>
      <c r="J1" s="3491"/>
      <c r="K1" s="3491"/>
      <c r="L1" s="3491"/>
      <c r="M1" s="3491"/>
      <c r="N1" s="3491"/>
      <c r="O1" s="3491"/>
      <c r="P1" s="3491"/>
      <c r="Q1" s="3491"/>
      <c r="R1" s="3491"/>
      <c r="S1" s="3492"/>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2929</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2928</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2927</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2940</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2926</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2925</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87" t="s">
        <v>20</v>
      </c>
      <c r="D22" s="3488"/>
      <c r="E22" s="3488"/>
      <c r="F22" s="3488"/>
      <c r="G22" s="3488"/>
      <c r="H22" s="3488"/>
      <c r="I22" s="3488"/>
      <c r="J22" s="3488"/>
      <c r="K22" s="3488"/>
      <c r="L22" s="3488"/>
      <c r="M22" s="3488"/>
      <c r="N22" s="3488"/>
      <c r="O22" s="3488"/>
      <c r="P22" s="3488"/>
      <c r="Q22" s="3489"/>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受贵公司委托，我公司对柳州市出让国有建设用地使用权抵押价格进行了预评估。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柳州市出让国有建设用地使用权。根据《国有土地使用证》[]，估价对象（分摊）出让国有建设用地使用权面积为67772.1平方米。根据《建设工程规划许可证》[]、《出让合同》[]，估价对象规划建筑面积为217672.19平方米。</v>
      </c>
    </row>
    <row r="7" spans="1:4" ht="93.75">
      <c r="A7" s="2829" t="s">
        <v>2747</v>
      </c>
    </row>
    <row r="8" spans="1:4" ht="18.75">
      <c r="A8" s="1780" t="s">
        <v>1906</v>
      </c>
    </row>
    <row r="9" spans="1:4" ht="75">
      <c r="A9" s="1782" t="str">
        <f>IF(项目基本情况!B8="抵押",IF(项目基本情况!B5=项目基本情况!B6,定义!C51,定义!B51),定义!D51)</f>
        <v>拟使用柳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2019年8月21日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根据委托估价方介绍及评估专业人员现场勘查，本次评估估价对象实际土地开发程度为红线外市政基础设施达“七通”（即通路、通电、通讯、通上水、通下水、燃气、平整）、宗地红线内场地未平整，。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根据《国有土地使用证》[]，估价对象（分摊）出让国有建设用地使用权面积为67772.1平方米。根据《建设工程规划许可证》[]、《出让合同》[]，估价对象规划建筑面积为217672.19平方米。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2748</v>
      </c>
    </row>
    <row r="24" spans="1:1" ht="18.75">
      <c r="A24" s="1777" t="s">
        <v>2075</v>
      </c>
    </row>
    <row r="25" spans="1:1" ht="93.75">
      <c r="A25" s="1777" t="str">
        <f>定义!C53</f>
        <v>本次估价的“出让国有建设用地使用权价格”是指在估价对象土地所有权为国家所有，使用权性质为出让，在公开市场条件下、于估价期日2019年8月21日，在规划利用条件下、设定土地开发程度为红线外“七通”、宗地内场地未平整，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2787</v>
      </c>
      <c r="C1" s="2960">
        <f>项目基本情况!D3</f>
        <v>43698</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2818</v>
      </c>
      <c r="C2" s="2961">
        <f>'数据-取费表'!B22</f>
        <v>2</v>
      </c>
      <c r="D2" s="2956" t="s">
        <v>2788</v>
      </c>
      <c r="E2" s="2959">
        <f ca="1">INDIRECT("I"&amp;$I$1)/100</f>
        <v>4.7500000000000001E-2</v>
      </c>
      <c r="G2" s="2896"/>
      <c r="H2" s="2896"/>
      <c r="I2" s="2896" t="s">
        <v>2789</v>
      </c>
      <c r="K2" s="2896"/>
      <c r="L2" s="2896"/>
      <c r="M2" s="2896"/>
      <c r="N2" s="2896" t="s">
        <v>2790</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2820</v>
      </c>
      <c r="C3" s="2958">
        <f>'数据-取费表'!B19</f>
        <v>0</v>
      </c>
      <c r="D3" s="2956" t="s">
        <v>2788</v>
      </c>
      <c r="E3" s="2959">
        <f ca="1">INDIRECT("J"&amp;$J$1)/100</f>
        <v>0</v>
      </c>
      <c r="G3" s="2898" t="s">
        <v>2791</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2819</v>
      </c>
      <c r="C4" s="2959">
        <f ca="1">N4/100</f>
        <v>1.4999999999999999E-2</v>
      </c>
      <c r="G4" s="2904" t="s">
        <v>2792</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2793</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2794</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2795</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2796</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2797</v>
      </c>
      <c r="C10" s="2923"/>
      <c r="D10" s="2923"/>
      <c r="E10" s="2923"/>
      <c r="F10" s="2923"/>
      <c r="G10" s="2923"/>
      <c r="H10" s="2923"/>
      <c r="I10" s="2897"/>
      <c r="J10" s="2897"/>
      <c r="K10" s="2923"/>
      <c r="L10" s="2924" t="s">
        <v>2798</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2799</v>
      </c>
      <c r="C11" s="2928" t="s">
        <v>2800</v>
      </c>
      <c r="D11" s="2929" t="s">
        <v>2801</v>
      </c>
      <c r="E11" s="2930"/>
      <c r="F11" s="2929" t="s">
        <v>2802</v>
      </c>
      <c r="G11" s="2931"/>
      <c r="H11" s="2930"/>
      <c r="I11" s="2929" t="s">
        <v>2803</v>
      </c>
      <c r="J11" s="2930"/>
      <c r="K11" s="2926"/>
      <c r="L11" s="2927" t="s">
        <v>2799</v>
      </c>
      <c r="M11" s="2928" t="s">
        <v>2800</v>
      </c>
      <c r="N11" s="2927" t="s">
        <v>2804</v>
      </c>
      <c r="O11" s="2929" t="s">
        <v>2805</v>
      </c>
      <c r="P11" s="2931"/>
      <c r="Q11" s="2931"/>
      <c r="R11" s="2931"/>
      <c r="S11" s="2931"/>
      <c r="T11" s="2930"/>
      <c r="U11" s="2929" t="s">
        <v>2806</v>
      </c>
      <c r="V11" s="2931"/>
      <c r="W11" s="2930"/>
      <c r="X11" s="2927" t="s">
        <v>2807</v>
      </c>
      <c r="Y11" s="2927" t="s">
        <v>2808</v>
      </c>
      <c r="Z11" s="2927" t="s">
        <v>2809</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2810</v>
      </c>
      <c r="E12" s="2936" t="s">
        <v>2811</v>
      </c>
      <c r="F12" s="2936" t="s">
        <v>2812</v>
      </c>
      <c r="G12" s="2936" t="s">
        <v>2813</v>
      </c>
      <c r="H12" s="2936" t="s">
        <v>2795</v>
      </c>
      <c r="I12" s="2937" t="s">
        <v>2814</v>
      </c>
      <c r="J12" s="2937" t="s">
        <v>2814</v>
      </c>
      <c r="K12" s="2933"/>
      <c r="L12" s="2934"/>
      <c r="M12" s="2935"/>
      <c r="N12" s="2934"/>
      <c r="O12" s="2937" t="s">
        <v>2815</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2816</v>
      </c>
      <c r="C13" s="2941">
        <v>42301</v>
      </c>
      <c r="D13" s="2942">
        <v>4.3499999999999996</v>
      </c>
      <c r="E13" s="2942">
        <v>4.3499999999999996</v>
      </c>
      <c r="F13" s="2942">
        <v>4.75</v>
      </c>
      <c r="G13" s="2942">
        <v>4.75</v>
      </c>
      <c r="H13" s="2942">
        <v>4.9000000000000004</v>
      </c>
      <c r="I13" s="2942">
        <v>2.75</v>
      </c>
      <c r="J13" s="2942">
        <v>3.25</v>
      </c>
      <c r="K13" s="2939"/>
      <c r="L13" s="2940" t="s">
        <v>2816</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2817</v>
      </c>
      <c r="Y42" s="2946" t="s">
        <v>2817</v>
      </c>
      <c r="Z42" s="2946" t="s">
        <v>2817</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2817</v>
      </c>
      <c r="Y43" s="2946" t="s">
        <v>2817</v>
      </c>
      <c r="Z43" s="2946" t="s">
        <v>2817</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2817</v>
      </c>
      <c r="Y44" s="2946" t="s">
        <v>2817</v>
      </c>
      <c r="Z44" s="2946" t="s">
        <v>2817</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2817</v>
      </c>
      <c r="Y45" s="2946" t="s">
        <v>2817</v>
      </c>
      <c r="Z45" s="2946" t="s">
        <v>2817</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2817</v>
      </c>
      <c r="Y46" s="2946" t="s">
        <v>2817</v>
      </c>
      <c r="Z46" s="2946" t="s">
        <v>2817</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2817</v>
      </c>
      <c r="Y47" s="2946" t="s">
        <v>2817</v>
      </c>
      <c r="Z47" s="2946" t="s">
        <v>2817</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2817</v>
      </c>
      <c r="Y48" s="2946" t="s">
        <v>2817</v>
      </c>
      <c r="Z48" s="2946" t="s">
        <v>2817</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2817</v>
      </c>
      <c r="Y49" s="2946" t="s">
        <v>2817</v>
      </c>
      <c r="Z49" s="2946" t="s">
        <v>2817</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2817</v>
      </c>
      <c r="Y50" s="2946" t="s">
        <v>2817</v>
      </c>
      <c r="Z50" s="2946" t="s">
        <v>2817</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2817</v>
      </c>
      <c r="V51" s="2946" t="s">
        <v>2817</v>
      </c>
      <c r="W51" s="2946" t="s">
        <v>2817</v>
      </c>
      <c r="X51" s="2946" t="s">
        <v>2817</v>
      </c>
      <c r="Y51" s="2946" t="s">
        <v>2817</v>
      </c>
      <c r="Z51" s="2946" t="s">
        <v>2817</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2817</v>
      </c>
      <c r="J55" s="2946" t="s">
        <v>2817</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3"/>
  <sheetViews>
    <sheetView topLeftCell="B16" zoomScale="90" zoomScaleNormal="90" workbookViewId="0">
      <selection activeCell="Q43" sqref="Q43"/>
    </sheetView>
  </sheetViews>
  <sheetFormatPr defaultRowHeight="13.5"/>
  <cols>
    <col min="1" max="1" width="44.25" style="2895" customWidth="1"/>
    <col min="2" max="2" width="6.25" style="2895" customWidth="1"/>
    <col min="3" max="3" width="13.875" style="2895" customWidth="1"/>
    <col min="4" max="4" width="44.25" style="2895" hidden="1" customWidth="1"/>
    <col min="5" max="5" width="7.875" style="2895" hidden="1" customWidth="1"/>
    <col min="6" max="6" width="29.375" style="2895" customWidth="1"/>
    <col min="7" max="8" width="13.875" style="2895" customWidth="1"/>
    <col min="9" max="9" width="28.625" style="2895" customWidth="1"/>
    <col min="10" max="11" width="9" style="2895" customWidth="1"/>
    <col min="12" max="12" width="29.375" style="2895" customWidth="1"/>
    <col min="13" max="14" width="10.625" style="2895" customWidth="1"/>
    <col min="15" max="15" width="14.375" style="2895" customWidth="1"/>
    <col min="16" max="16" width="6.25" style="2895" customWidth="1"/>
    <col min="17" max="17" width="32.5" style="2895" customWidth="1"/>
    <col min="18" max="18" width="7.875" style="2895" customWidth="1"/>
    <col min="19" max="19" width="9.5" style="2895" bestFit="1" customWidth="1"/>
    <col min="20" max="256" width="9" style="2895"/>
    <col min="257" max="257" width="44.25" style="2895" customWidth="1"/>
    <col min="258" max="258" width="6.25" style="2895" customWidth="1"/>
    <col min="259" max="259" width="13.875" style="2895" customWidth="1"/>
    <col min="260" max="260" width="44.25" style="2895" customWidth="1"/>
    <col min="261" max="261" width="7.875" style="2895" customWidth="1"/>
    <col min="262" max="262" width="29.375" style="2895" customWidth="1"/>
    <col min="263" max="264" width="13.875" style="2895" customWidth="1"/>
    <col min="265" max="265" width="28.625" style="2895" customWidth="1"/>
    <col min="266" max="267" width="9" style="2895" customWidth="1"/>
    <col min="268" max="268" width="29.375" style="2895" customWidth="1"/>
    <col min="269" max="270" width="10.625" style="2895" customWidth="1"/>
    <col min="271" max="271" width="14.375" style="2895" customWidth="1"/>
    <col min="272" max="272" width="6.25" style="2895" customWidth="1"/>
    <col min="273" max="273" width="32.5" style="2895" customWidth="1"/>
    <col min="274" max="274" width="7.875" style="2895" customWidth="1"/>
    <col min="275" max="512" width="9" style="2895"/>
    <col min="513" max="513" width="44.25" style="2895" customWidth="1"/>
    <col min="514" max="514" width="6.25" style="2895" customWidth="1"/>
    <col min="515" max="515" width="13.875" style="2895" customWidth="1"/>
    <col min="516" max="516" width="44.25" style="2895" customWidth="1"/>
    <col min="517" max="517" width="7.875" style="2895" customWidth="1"/>
    <col min="518" max="518" width="29.375" style="2895" customWidth="1"/>
    <col min="519" max="520" width="13.875" style="2895" customWidth="1"/>
    <col min="521" max="521" width="28.625" style="2895" customWidth="1"/>
    <col min="522" max="523" width="9" style="2895" customWidth="1"/>
    <col min="524" max="524" width="29.375" style="2895" customWidth="1"/>
    <col min="525" max="526" width="10.625" style="2895" customWidth="1"/>
    <col min="527" max="527" width="14.375" style="2895" customWidth="1"/>
    <col min="528" max="528" width="6.25" style="2895" customWidth="1"/>
    <col min="529" max="529" width="32.5" style="2895" customWidth="1"/>
    <col min="530" max="530" width="7.875" style="2895" customWidth="1"/>
    <col min="531" max="768" width="9" style="2895"/>
    <col min="769" max="769" width="44.25" style="2895" customWidth="1"/>
    <col min="770" max="770" width="6.25" style="2895" customWidth="1"/>
    <col min="771" max="771" width="13.875" style="2895" customWidth="1"/>
    <col min="772" max="772" width="44.25" style="2895" customWidth="1"/>
    <col min="773" max="773" width="7.875" style="2895" customWidth="1"/>
    <col min="774" max="774" width="29.375" style="2895" customWidth="1"/>
    <col min="775" max="776" width="13.875" style="2895" customWidth="1"/>
    <col min="777" max="777" width="28.625" style="2895" customWidth="1"/>
    <col min="778" max="779" width="9" style="2895" customWidth="1"/>
    <col min="780" max="780" width="29.375" style="2895" customWidth="1"/>
    <col min="781" max="782" width="10.625" style="2895" customWidth="1"/>
    <col min="783" max="783" width="14.375" style="2895" customWidth="1"/>
    <col min="784" max="784" width="6.25" style="2895" customWidth="1"/>
    <col min="785" max="785" width="32.5" style="2895" customWidth="1"/>
    <col min="786" max="786" width="7.875" style="2895" customWidth="1"/>
    <col min="787" max="1024" width="9" style="2895"/>
    <col min="1025" max="1025" width="44.25" style="2895" customWidth="1"/>
    <col min="1026" max="1026" width="6.25" style="2895" customWidth="1"/>
    <col min="1027" max="1027" width="13.875" style="2895" customWidth="1"/>
    <col min="1028" max="1028" width="44.25" style="2895" customWidth="1"/>
    <col min="1029" max="1029" width="7.875" style="2895" customWidth="1"/>
    <col min="1030" max="1030" width="29.375" style="2895" customWidth="1"/>
    <col min="1031" max="1032" width="13.875" style="2895" customWidth="1"/>
    <col min="1033" max="1033" width="28.625" style="2895" customWidth="1"/>
    <col min="1034" max="1035" width="9" style="2895" customWidth="1"/>
    <col min="1036" max="1036" width="29.375" style="2895" customWidth="1"/>
    <col min="1037" max="1038" width="10.625" style="2895" customWidth="1"/>
    <col min="1039" max="1039" width="14.375" style="2895" customWidth="1"/>
    <col min="1040" max="1040" width="6.25" style="2895" customWidth="1"/>
    <col min="1041" max="1041" width="32.5" style="2895" customWidth="1"/>
    <col min="1042" max="1042" width="7.875" style="2895" customWidth="1"/>
    <col min="1043" max="1280" width="9" style="2895"/>
    <col min="1281" max="1281" width="44.25" style="2895" customWidth="1"/>
    <col min="1282" max="1282" width="6.25" style="2895" customWidth="1"/>
    <col min="1283" max="1283" width="13.875" style="2895" customWidth="1"/>
    <col min="1284" max="1284" width="44.25" style="2895" customWidth="1"/>
    <col min="1285" max="1285" width="7.875" style="2895" customWidth="1"/>
    <col min="1286" max="1286" width="29.375" style="2895" customWidth="1"/>
    <col min="1287" max="1288" width="13.875" style="2895" customWidth="1"/>
    <col min="1289" max="1289" width="28.625" style="2895" customWidth="1"/>
    <col min="1290" max="1291" width="9" style="2895" customWidth="1"/>
    <col min="1292" max="1292" width="29.375" style="2895" customWidth="1"/>
    <col min="1293" max="1294" width="10.625" style="2895" customWidth="1"/>
    <col min="1295" max="1295" width="14.375" style="2895" customWidth="1"/>
    <col min="1296" max="1296" width="6.25" style="2895" customWidth="1"/>
    <col min="1297" max="1297" width="32.5" style="2895" customWidth="1"/>
    <col min="1298" max="1298" width="7.875" style="2895" customWidth="1"/>
    <col min="1299" max="1536" width="9" style="2895"/>
    <col min="1537" max="1537" width="44.25" style="2895" customWidth="1"/>
    <col min="1538" max="1538" width="6.25" style="2895" customWidth="1"/>
    <col min="1539" max="1539" width="13.875" style="2895" customWidth="1"/>
    <col min="1540" max="1540" width="44.25" style="2895" customWidth="1"/>
    <col min="1541" max="1541" width="7.875" style="2895" customWidth="1"/>
    <col min="1542" max="1542" width="29.375" style="2895" customWidth="1"/>
    <col min="1543" max="1544" width="13.875" style="2895" customWidth="1"/>
    <col min="1545" max="1545" width="28.625" style="2895" customWidth="1"/>
    <col min="1546" max="1547" width="9" style="2895" customWidth="1"/>
    <col min="1548" max="1548" width="29.375" style="2895" customWidth="1"/>
    <col min="1549" max="1550" width="10.625" style="2895" customWidth="1"/>
    <col min="1551" max="1551" width="14.375" style="2895" customWidth="1"/>
    <col min="1552" max="1552" width="6.25" style="2895" customWidth="1"/>
    <col min="1553" max="1553" width="32.5" style="2895" customWidth="1"/>
    <col min="1554" max="1554" width="7.875" style="2895" customWidth="1"/>
    <col min="1555" max="1792" width="9" style="2895"/>
    <col min="1793" max="1793" width="44.25" style="2895" customWidth="1"/>
    <col min="1794" max="1794" width="6.25" style="2895" customWidth="1"/>
    <col min="1795" max="1795" width="13.875" style="2895" customWidth="1"/>
    <col min="1796" max="1796" width="44.25" style="2895" customWidth="1"/>
    <col min="1797" max="1797" width="7.875" style="2895" customWidth="1"/>
    <col min="1798" max="1798" width="29.375" style="2895" customWidth="1"/>
    <col min="1799" max="1800" width="13.875" style="2895" customWidth="1"/>
    <col min="1801" max="1801" width="28.625" style="2895" customWidth="1"/>
    <col min="1802" max="1803" width="9" style="2895" customWidth="1"/>
    <col min="1804" max="1804" width="29.375" style="2895" customWidth="1"/>
    <col min="1805" max="1806" width="10.625" style="2895" customWidth="1"/>
    <col min="1807" max="1807" width="14.375" style="2895" customWidth="1"/>
    <col min="1808" max="1808" width="6.25" style="2895" customWidth="1"/>
    <col min="1809" max="1809" width="32.5" style="2895" customWidth="1"/>
    <col min="1810" max="1810" width="7.875" style="2895" customWidth="1"/>
    <col min="1811" max="2048" width="9" style="2895"/>
    <col min="2049" max="2049" width="44.25" style="2895" customWidth="1"/>
    <col min="2050" max="2050" width="6.25" style="2895" customWidth="1"/>
    <col min="2051" max="2051" width="13.875" style="2895" customWidth="1"/>
    <col min="2052" max="2052" width="44.25" style="2895" customWidth="1"/>
    <col min="2053" max="2053" width="7.875" style="2895" customWidth="1"/>
    <col min="2054" max="2054" width="29.375" style="2895" customWidth="1"/>
    <col min="2055" max="2056" width="13.875" style="2895" customWidth="1"/>
    <col min="2057" max="2057" width="28.625" style="2895" customWidth="1"/>
    <col min="2058" max="2059" width="9" style="2895" customWidth="1"/>
    <col min="2060" max="2060" width="29.375" style="2895" customWidth="1"/>
    <col min="2061" max="2062" width="10.625" style="2895" customWidth="1"/>
    <col min="2063" max="2063" width="14.375" style="2895" customWidth="1"/>
    <col min="2064" max="2064" width="6.25" style="2895" customWidth="1"/>
    <col min="2065" max="2065" width="32.5" style="2895" customWidth="1"/>
    <col min="2066" max="2066" width="7.875" style="2895" customWidth="1"/>
    <col min="2067" max="2304" width="9" style="2895"/>
    <col min="2305" max="2305" width="44.25" style="2895" customWidth="1"/>
    <col min="2306" max="2306" width="6.25" style="2895" customWidth="1"/>
    <col min="2307" max="2307" width="13.875" style="2895" customWidth="1"/>
    <col min="2308" max="2308" width="44.25" style="2895" customWidth="1"/>
    <col min="2309" max="2309" width="7.875" style="2895" customWidth="1"/>
    <col min="2310" max="2310" width="29.375" style="2895" customWidth="1"/>
    <col min="2311" max="2312" width="13.875" style="2895" customWidth="1"/>
    <col min="2313" max="2313" width="28.625" style="2895" customWidth="1"/>
    <col min="2314" max="2315" width="9" style="2895" customWidth="1"/>
    <col min="2316" max="2316" width="29.375" style="2895" customWidth="1"/>
    <col min="2317" max="2318" width="10.625" style="2895" customWidth="1"/>
    <col min="2319" max="2319" width="14.375" style="2895" customWidth="1"/>
    <col min="2320" max="2320" width="6.25" style="2895" customWidth="1"/>
    <col min="2321" max="2321" width="32.5" style="2895" customWidth="1"/>
    <col min="2322" max="2322" width="7.875" style="2895" customWidth="1"/>
    <col min="2323" max="2560" width="9" style="2895"/>
    <col min="2561" max="2561" width="44.25" style="2895" customWidth="1"/>
    <col min="2562" max="2562" width="6.25" style="2895" customWidth="1"/>
    <col min="2563" max="2563" width="13.875" style="2895" customWidth="1"/>
    <col min="2564" max="2564" width="44.25" style="2895" customWidth="1"/>
    <col min="2565" max="2565" width="7.875" style="2895" customWidth="1"/>
    <col min="2566" max="2566" width="29.375" style="2895" customWidth="1"/>
    <col min="2567" max="2568" width="13.875" style="2895" customWidth="1"/>
    <col min="2569" max="2569" width="28.625" style="2895" customWidth="1"/>
    <col min="2570" max="2571" width="9" style="2895" customWidth="1"/>
    <col min="2572" max="2572" width="29.375" style="2895" customWidth="1"/>
    <col min="2573" max="2574" width="10.625" style="2895" customWidth="1"/>
    <col min="2575" max="2575" width="14.375" style="2895" customWidth="1"/>
    <col min="2576" max="2576" width="6.25" style="2895" customWidth="1"/>
    <col min="2577" max="2577" width="32.5" style="2895" customWidth="1"/>
    <col min="2578" max="2578" width="7.875" style="2895" customWidth="1"/>
    <col min="2579" max="2816" width="9" style="2895"/>
    <col min="2817" max="2817" width="44.25" style="2895" customWidth="1"/>
    <col min="2818" max="2818" width="6.25" style="2895" customWidth="1"/>
    <col min="2819" max="2819" width="13.875" style="2895" customWidth="1"/>
    <col min="2820" max="2820" width="44.25" style="2895" customWidth="1"/>
    <col min="2821" max="2821" width="7.875" style="2895" customWidth="1"/>
    <col min="2822" max="2822" width="29.375" style="2895" customWidth="1"/>
    <col min="2823" max="2824" width="13.875" style="2895" customWidth="1"/>
    <col min="2825" max="2825" width="28.625" style="2895" customWidth="1"/>
    <col min="2826" max="2827" width="9" style="2895" customWidth="1"/>
    <col min="2828" max="2828" width="29.375" style="2895" customWidth="1"/>
    <col min="2829" max="2830" width="10.625" style="2895" customWidth="1"/>
    <col min="2831" max="2831" width="14.375" style="2895" customWidth="1"/>
    <col min="2832" max="2832" width="6.25" style="2895" customWidth="1"/>
    <col min="2833" max="2833" width="32.5" style="2895" customWidth="1"/>
    <col min="2834" max="2834" width="7.875" style="2895" customWidth="1"/>
    <col min="2835" max="3072" width="9" style="2895"/>
    <col min="3073" max="3073" width="44.25" style="2895" customWidth="1"/>
    <col min="3074" max="3074" width="6.25" style="2895" customWidth="1"/>
    <col min="3075" max="3075" width="13.875" style="2895" customWidth="1"/>
    <col min="3076" max="3076" width="44.25" style="2895" customWidth="1"/>
    <col min="3077" max="3077" width="7.875" style="2895" customWidth="1"/>
    <col min="3078" max="3078" width="29.375" style="2895" customWidth="1"/>
    <col min="3079" max="3080" width="13.875" style="2895" customWidth="1"/>
    <col min="3081" max="3081" width="28.625" style="2895" customWidth="1"/>
    <col min="3082" max="3083" width="9" style="2895" customWidth="1"/>
    <col min="3084" max="3084" width="29.375" style="2895" customWidth="1"/>
    <col min="3085" max="3086" width="10.625" style="2895" customWidth="1"/>
    <col min="3087" max="3087" width="14.375" style="2895" customWidth="1"/>
    <col min="3088" max="3088" width="6.25" style="2895" customWidth="1"/>
    <col min="3089" max="3089" width="32.5" style="2895" customWidth="1"/>
    <col min="3090" max="3090" width="7.875" style="2895" customWidth="1"/>
    <col min="3091" max="3328" width="9" style="2895"/>
    <col min="3329" max="3329" width="44.25" style="2895" customWidth="1"/>
    <col min="3330" max="3330" width="6.25" style="2895" customWidth="1"/>
    <col min="3331" max="3331" width="13.875" style="2895" customWidth="1"/>
    <col min="3332" max="3332" width="44.25" style="2895" customWidth="1"/>
    <col min="3333" max="3333" width="7.875" style="2895" customWidth="1"/>
    <col min="3334" max="3334" width="29.375" style="2895" customWidth="1"/>
    <col min="3335" max="3336" width="13.875" style="2895" customWidth="1"/>
    <col min="3337" max="3337" width="28.625" style="2895" customWidth="1"/>
    <col min="3338" max="3339" width="9" style="2895" customWidth="1"/>
    <col min="3340" max="3340" width="29.375" style="2895" customWidth="1"/>
    <col min="3341" max="3342" width="10.625" style="2895" customWidth="1"/>
    <col min="3343" max="3343" width="14.375" style="2895" customWidth="1"/>
    <col min="3344" max="3344" width="6.25" style="2895" customWidth="1"/>
    <col min="3345" max="3345" width="32.5" style="2895" customWidth="1"/>
    <col min="3346" max="3346" width="7.875" style="2895" customWidth="1"/>
    <col min="3347" max="3584" width="9" style="2895"/>
    <col min="3585" max="3585" width="44.25" style="2895" customWidth="1"/>
    <col min="3586" max="3586" width="6.25" style="2895" customWidth="1"/>
    <col min="3587" max="3587" width="13.875" style="2895" customWidth="1"/>
    <col min="3588" max="3588" width="44.25" style="2895" customWidth="1"/>
    <col min="3589" max="3589" width="7.875" style="2895" customWidth="1"/>
    <col min="3590" max="3590" width="29.375" style="2895" customWidth="1"/>
    <col min="3591" max="3592" width="13.875" style="2895" customWidth="1"/>
    <col min="3593" max="3593" width="28.625" style="2895" customWidth="1"/>
    <col min="3594" max="3595" width="9" style="2895" customWidth="1"/>
    <col min="3596" max="3596" width="29.375" style="2895" customWidth="1"/>
    <col min="3597" max="3598" width="10.625" style="2895" customWidth="1"/>
    <col min="3599" max="3599" width="14.375" style="2895" customWidth="1"/>
    <col min="3600" max="3600" width="6.25" style="2895" customWidth="1"/>
    <col min="3601" max="3601" width="32.5" style="2895" customWidth="1"/>
    <col min="3602" max="3602" width="7.875" style="2895" customWidth="1"/>
    <col min="3603" max="3840" width="9" style="2895"/>
    <col min="3841" max="3841" width="44.25" style="2895" customWidth="1"/>
    <col min="3842" max="3842" width="6.25" style="2895" customWidth="1"/>
    <col min="3843" max="3843" width="13.875" style="2895" customWidth="1"/>
    <col min="3844" max="3844" width="44.25" style="2895" customWidth="1"/>
    <col min="3845" max="3845" width="7.875" style="2895" customWidth="1"/>
    <col min="3846" max="3846" width="29.375" style="2895" customWidth="1"/>
    <col min="3847" max="3848" width="13.875" style="2895" customWidth="1"/>
    <col min="3849" max="3849" width="28.625" style="2895" customWidth="1"/>
    <col min="3850" max="3851" width="9" style="2895" customWidth="1"/>
    <col min="3852" max="3852" width="29.375" style="2895" customWidth="1"/>
    <col min="3853" max="3854" width="10.625" style="2895" customWidth="1"/>
    <col min="3855" max="3855" width="14.375" style="2895" customWidth="1"/>
    <col min="3856" max="3856" width="6.25" style="2895" customWidth="1"/>
    <col min="3857" max="3857" width="32.5" style="2895" customWidth="1"/>
    <col min="3858" max="3858" width="7.875" style="2895" customWidth="1"/>
    <col min="3859" max="4096" width="9" style="2895"/>
    <col min="4097" max="4097" width="44.25" style="2895" customWidth="1"/>
    <col min="4098" max="4098" width="6.25" style="2895" customWidth="1"/>
    <col min="4099" max="4099" width="13.875" style="2895" customWidth="1"/>
    <col min="4100" max="4100" width="44.25" style="2895" customWidth="1"/>
    <col min="4101" max="4101" width="7.875" style="2895" customWidth="1"/>
    <col min="4102" max="4102" width="29.375" style="2895" customWidth="1"/>
    <col min="4103" max="4104" width="13.875" style="2895" customWidth="1"/>
    <col min="4105" max="4105" width="28.625" style="2895" customWidth="1"/>
    <col min="4106" max="4107" width="9" style="2895" customWidth="1"/>
    <col min="4108" max="4108" width="29.375" style="2895" customWidth="1"/>
    <col min="4109" max="4110" width="10.625" style="2895" customWidth="1"/>
    <col min="4111" max="4111" width="14.375" style="2895" customWidth="1"/>
    <col min="4112" max="4112" width="6.25" style="2895" customWidth="1"/>
    <col min="4113" max="4113" width="32.5" style="2895" customWidth="1"/>
    <col min="4114" max="4114" width="7.875" style="2895" customWidth="1"/>
    <col min="4115" max="4352" width="9" style="2895"/>
    <col min="4353" max="4353" width="44.25" style="2895" customWidth="1"/>
    <col min="4354" max="4354" width="6.25" style="2895" customWidth="1"/>
    <col min="4355" max="4355" width="13.875" style="2895" customWidth="1"/>
    <col min="4356" max="4356" width="44.25" style="2895" customWidth="1"/>
    <col min="4357" max="4357" width="7.875" style="2895" customWidth="1"/>
    <col min="4358" max="4358" width="29.375" style="2895" customWidth="1"/>
    <col min="4359" max="4360" width="13.875" style="2895" customWidth="1"/>
    <col min="4361" max="4361" width="28.625" style="2895" customWidth="1"/>
    <col min="4362" max="4363" width="9" style="2895" customWidth="1"/>
    <col min="4364" max="4364" width="29.375" style="2895" customWidth="1"/>
    <col min="4365" max="4366" width="10.625" style="2895" customWidth="1"/>
    <col min="4367" max="4367" width="14.375" style="2895" customWidth="1"/>
    <col min="4368" max="4368" width="6.25" style="2895" customWidth="1"/>
    <col min="4369" max="4369" width="32.5" style="2895" customWidth="1"/>
    <col min="4370" max="4370" width="7.875" style="2895" customWidth="1"/>
    <col min="4371" max="4608" width="9" style="2895"/>
    <col min="4609" max="4609" width="44.25" style="2895" customWidth="1"/>
    <col min="4610" max="4610" width="6.25" style="2895" customWidth="1"/>
    <col min="4611" max="4611" width="13.875" style="2895" customWidth="1"/>
    <col min="4612" max="4612" width="44.25" style="2895" customWidth="1"/>
    <col min="4613" max="4613" width="7.875" style="2895" customWidth="1"/>
    <col min="4614" max="4614" width="29.375" style="2895" customWidth="1"/>
    <col min="4615" max="4616" width="13.875" style="2895" customWidth="1"/>
    <col min="4617" max="4617" width="28.625" style="2895" customWidth="1"/>
    <col min="4618" max="4619" width="9" style="2895" customWidth="1"/>
    <col min="4620" max="4620" width="29.375" style="2895" customWidth="1"/>
    <col min="4621" max="4622" width="10.625" style="2895" customWidth="1"/>
    <col min="4623" max="4623" width="14.375" style="2895" customWidth="1"/>
    <col min="4624" max="4624" width="6.25" style="2895" customWidth="1"/>
    <col min="4625" max="4625" width="32.5" style="2895" customWidth="1"/>
    <col min="4626" max="4626" width="7.875" style="2895" customWidth="1"/>
    <col min="4627" max="4864" width="9" style="2895"/>
    <col min="4865" max="4865" width="44.25" style="2895" customWidth="1"/>
    <col min="4866" max="4866" width="6.25" style="2895" customWidth="1"/>
    <col min="4867" max="4867" width="13.875" style="2895" customWidth="1"/>
    <col min="4868" max="4868" width="44.25" style="2895" customWidth="1"/>
    <col min="4869" max="4869" width="7.875" style="2895" customWidth="1"/>
    <col min="4870" max="4870" width="29.375" style="2895" customWidth="1"/>
    <col min="4871" max="4872" width="13.875" style="2895" customWidth="1"/>
    <col min="4873" max="4873" width="28.625" style="2895" customWidth="1"/>
    <col min="4874" max="4875" width="9" style="2895" customWidth="1"/>
    <col min="4876" max="4876" width="29.375" style="2895" customWidth="1"/>
    <col min="4877" max="4878" width="10.625" style="2895" customWidth="1"/>
    <col min="4879" max="4879" width="14.375" style="2895" customWidth="1"/>
    <col min="4880" max="4880" width="6.25" style="2895" customWidth="1"/>
    <col min="4881" max="4881" width="32.5" style="2895" customWidth="1"/>
    <col min="4882" max="4882" width="7.875" style="2895" customWidth="1"/>
    <col min="4883" max="5120" width="9" style="2895"/>
    <col min="5121" max="5121" width="44.25" style="2895" customWidth="1"/>
    <col min="5122" max="5122" width="6.25" style="2895" customWidth="1"/>
    <col min="5123" max="5123" width="13.875" style="2895" customWidth="1"/>
    <col min="5124" max="5124" width="44.25" style="2895" customWidth="1"/>
    <col min="5125" max="5125" width="7.875" style="2895" customWidth="1"/>
    <col min="5126" max="5126" width="29.375" style="2895" customWidth="1"/>
    <col min="5127" max="5128" width="13.875" style="2895" customWidth="1"/>
    <col min="5129" max="5129" width="28.625" style="2895" customWidth="1"/>
    <col min="5130" max="5131" width="9" style="2895" customWidth="1"/>
    <col min="5132" max="5132" width="29.375" style="2895" customWidth="1"/>
    <col min="5133" max="5134" width="10.625" style="2895" customWidth="1"/>
    <col min="5135" max="5135" width="14.375" style="2895" customWidth="1"/>
    <col min="5136" max="5136" width="6.25" style="2895" customWidth="1"/>
    <col min="5137" max="5137" width="32.5" style="2895" customWidth="1"/>
    <col min="5138" max="5138" width="7.875" style="2895" customWidth="1"/>
    <col min="5139" max="5376" width="9" style="2895"/>
    <col min="5377" max="5377" width="44.25" style="2895" customWidth="1"/>
    <col min="5378" max="5378" width="6.25" style="2895" customWidth="1"/>
    <col min="5379" max="5379" width="13.875" style="2895" customWidth="1"/>
    <col min="5380" max="5380" width="44.25" style="2895" customWidth="1"/>
    <col min="5381" max="5381" width="7.875" style="2895" customWidth="1"/>
    <col min="5382" max="5382" width="29.375" style="2895" customWidth="1"/>
    <col min="5383" max="5384" width="13.875" style="2895" customWidth="1"/>
    <col min="5385" max="5385" width="28.625" style="2895" customWidth="1"/>
    <col min="5386" max="5387" width="9" style="2895" customWidth="1"/>
    <col min="5388" max="5388" width="29.375" style="2895" customWidth="1"/>
    <col min="5389" max="5390" width="10.625" style="2895" customWidth="1"/>
    <col min="5391" max="5391" width="14.375" style="2895" customWidth="1"/>
    <col min="5392" max="5392" width="6.25" style="2895" customWidth="1"/>
    <col min="5393" max="5393" width="32.5" style="2895" customWidth="1"/>
    <col min="5394" max="5394" width="7.875" style="2895" customWidth="1"/>
    <col min="5395" max="5632" width="9" style="2895"/>
    <col min="5633" max="5633" width="44.25" style="2895" customWidth="1"/>
    <col min="5634" max="5634" width="6.25" style="2895" customWidth="1"/>
    <col min="5635" max="5635" width="13.875" style="2895" customWidth="1"/>
    <col min="5636" max="5636" width="44.25" style="2895" customWidth="1"/>
    <col min="5637" max="5637" width="7.875" style="2895" customWidth="1"/>
    <col min="5638" max="5638" width="29.375" style="2895" customWidth="1"/>
    <col min="5639" max="5640" width="13.875" style="2895" customWidth="1"/>
    <col min="5641" max="5641" width="28.625" style="2895" customWidth="1"/>
    <col min="5642" max="5643" width="9" style="2895" customWidth="1"/>
    <col min="5644" max="5644" width="29.375" style="2895" customWidth="1"/>
    <col min="5645" max="5646" width="10.625" style="2895" customWidth="1"/>
    <col min="5647" max="5647" width="14.375" style="2895" customWidth="1"/>
    <col min="5648" max="5648" width="6.25" style="2895" customWidth="1"/>
    <col min="5649" max="5649" width="32.5" style="2895" customWidth="1"/>
    <col min="5650" max="5650" width="7.875" style="2895" customWidth="1"/>
    <col min="5651" max="5888" width="9" style="2895"/>
    <col min="5889" max="5889" width="44.25" style="2895" customWidth="1"/>
    <col min="5890" max="5890" width="6.25" style="2895" customWidth="1"/>
    <col min="5891" max="5891" width="13.875" style="2895" customWidth="1"/>
    <col min="5892" max="5892" width="44.25" style="2895" customWidth="1"/>
    <col min="5893" max="5893" width="7.875" style="2895" customWidth="1"/>
    <col min="5894" max="5894" width="29.375" style="2895" customWidth="1"/>
    <col min="5895" max="5896" width="13.875" style="2895" customWidth="1"/>
    <col min="5897" max="5897" width="28.625" style="2895" customWidth="1"/>
    <col min="5898" max="5899" width="9" style="2895" customWidth="1"/>
    <col min="5900" max="5900" width="29.375" style="2895" customWidth="1"/>
    <col min="5901" max="5902" width="10.625" style="2895" customWidth="1"/>
    <col min="5903" max="5903" width="14.375" style="2895" customWidth="1"/>
    <col min="5904" max="5904" width="6.25" style="2895" customWidth="1"/>
    <col min="5905" max="5905" width="32.5" style="2895" customWidth="1"/>
    <col min="5906" max="5906" width="7.875" style="2895" customWidth="1"/>
    <col min="5907" max="6144" width="9" style="2895"/>
    <col min="6145" max="6145" width="44.25" style="2895" customWidth="1"/>
    <col min="6146" max="6146" width="6.25" style="2895" customWidth="1"/>
    <col min="6147" max="6147" width="13.875" style="2895" customWidth="1"/>
    <col min="6148" max="6148" width="44.25" style="2895" customWidth="1"/>
    <col min="6149" max="6149" width="7.875" style="2895" customWidth="1"/>
    <col min="6150" max="6150" width="29.375" style="2895" customWidth="1"/>
    <col min="6151" max="6152" width="13.875" style="2895" customWidth="1"/>
    <col min="6153" max="6153" width="28.625" style="2895" customWidth="1"/>
    <col min="6154" max="6155" width="9" style="2895" customWidth="1"/>
    <col min="6156" max="6156" width="29.375" style="2895" customWidth="1"/>
    <col min="6157" max="6158" width="10.625" style="2895" customWidth="1"/>
    <col min="6159" max="6159" width="14.375" style="2895" customWidth="1"/>
    <col min="6160" max="6160" width="6.25" style="2895" customWidth="1"/>
    <col min="6161" max="6161" width="32.5" style="2895" customWidth="1"/>
    <col min="6162" max="6162" width="7.875" style="2895" customWidth="1"/>
    <col min="6163" max="6400" width="9" style="2895"/>
    <col min="6401" max="6401" width="44.25" style="2895" customWidth="1"/>
    <col min="6402" max="6402" width="6.25" style="2895" customWidth="1"/>
    <col min="6403" max="6403" width="13.875" style="2895" customWidth="1"/>
    <col min="6404" max="6404" width="44.25" style="2895" customWidth="1"/>
    <col min="6405" max="6405" width="7.875" style="2895" customWidth="1"/>
    <col min="6406" max="6406" width="29.375" style="2895" customWidth="1"/>
    <col min="6407" max="6408" width="13.875" style="2895" customWidth="1"/>
    <col min="6409" max="6409" width="28.625" style="2895" customWidth="1"/>
    <col min="6410" max="6411" width="9" style="2895" customWidth="1"/>
    <col min="6412" max="6412" width="29.375" style="2895" customWidth="1"/>
    <col min="6413" max="6414" width="10.625" style="2895" customWidth="1"/>
    <col min="6415" max="6415" width="14.375" style="2895" customWidth="1"/>
    <col min="6416" max="6416" width="6.25" style="2895" customWidth="1"/>
    <col min="6417" max="6417" width="32.5" style="2895" customWidth="1"/>
    <col min="6418" max="6418" width="7.875" style="2895" customWidth="1"/>
    <col min="6419" max="6656" width="9" style="2895"/>
    <col min="6657" max="6657" width="44.25" style="2895" customWidth="1"/>
    <col min="6658" max="6658" width="6.25" style="2895" customWidth="1"/>
    <col min="6659" max="6659" width="13.875" style="2895" customWidth="1"/>
    <col min="6660" max="6660" width="44.25" style="2895" customWidth="1"/>
    <col min="6661" max="6661" width="7.875" style="2895" customWidth="1"/>
    <col min="6662" max="6662" width="29.375" style="2895" customWidth="1"/>
    <col min="6663" max="6664" width="13.875" style="2895" customWidth="1"/>
    <col min="6665" max="6665" width="28.625" style="2895" customWidth="1"/>
    <col min="6666" max="6667" width="9" style="2895" customWidth="1"/>
    <col min="6668" max="6668" width="29.375" style="2895" customWidth="1"/>
    <col min="6669" max="6670" width="10.625" style="2895" customWidth="1"/>
    <col min="6671" max="6671" width="14.375" style="2895" customWidth="1"/>
    <col min="6672" max="6672" width="6.25" style="2895" customWidth="1"/>
    <col min="6673" max="6673" width="32.5" style="2895" customWidth="1"/>
    <col min="6674" max="6674" width="7.875" style="2895" customWidth="1"/>
    <col min="6675" max="6912" width="9" style="2895"/>
    <col min="6913" max="6913" width="44.25" style="2895" customWidth="1"/>
    <col min="6914" max="6914" width="6.25" style="2895" customWidth="1"/>
    <col min="6915" max="6915" width="13.875" style="2895" customWidth="1"/>
    <col min="6916" max="6916" width="44.25" style="2895" customWidth="1"/>
    <col min="6917" max="6917" width="7.875" style="2895" customWidth="1"/>
    <col min="6918" max="6918" width="29.375" style="2895" customWidth="1"/>
    <col min="6919" max="6920" width="13.875" style="2895" customWidth="1"/>
    <col min="6921" max="6921" width="28.625" style="2895" customWidth="1"/>
    <col min="6922" max="6923" width="9" style="2895" customWidth="1"/>
    <col min="6924" max="6924" width="29.375" style="2895" customWidth="1"/>
    <col min="6925" max="6926" width="10.625" style="2895" customWidth="1"/>
    <col min="6927" max="6927" width="14.375" style="2895" customWidth="1"/>
    <col min="6928" max="6928" width="6.25" style="2895" customWidth="1"/>
    <col min="6929" max="6929" width="32.5" style="2895" customWidth="1"/>
    <col min="6930" max="6930" width="7.875" style="2895" customWidth="1"/>
    <col min="6931" max="7168" width="9" style="2895"/>
    <col min="7169" max="7169" width="44.25" style="2895" customWidth="1"/>
    <col min="7170" max="7170" width="6.25" style="2895" customWidth="1"/>
    <col min="7171" max="7171" width="13.875" style="2895" customWidth="1"/>
    <col min="7172" max="7172" width="44.25" style="2895" customWidth="1"/>
    <col min="7173" max="7173" width="7.875" style="2895" customWidth="1"/>
    <col min="7174" max="7174" width="29.375" style="2895" customWidth="1"/>
    <col min="7175" max="7176" width="13.875" style="2895" customWidth="1"/>
    <col min="7177" max="7177" width="28.625" style="2895" customWidth="1"/>
    <col min="7178" max="7179" width="9" style="2895" customWidth="1"/>
    <col min="7180" max="7180" width="29.375" style="2895" customWidth="1"/>
    <col min="7181" max="7182" width="10.625" style="2895" customWidth="1"/>
    <col min="7183" max="7183" width="14.375" style="2895" customWidth="1"/>
    <col min="7184" max="7184" width="6.25" style="2895" customWidth="1"/>
    <col min="7185" max="7185" width="32.5" style="2895" customWidth="1"/>
    <col min="7186" max="7186" width="7.875" style="2895" customWidth="1"/>
    <col min="7187" max="7424" width="9" style="2895"/>
    <col min="7425" max="7425" width="44.25" style="2895" customWidth="1"/>
    <col min="7426" max="7426" width="6.25" style="2895" customWidth="1"/>
    <col min="7427" max="7427" width="13.875" style="2895" customWidth="1"/>
    <col min="7428" max="7428" width="44.25" style="2895" customWidth="1"/>
    <col min="7429" max="7429" width="7.875" style="2895" customWidth="1"/>
    <col min="7430" max="7430" width="29.375" style="2895" customWidth="1"/>
    <col min="7431" max="7432" width="13.875" style="2895" customWidth="1"/>
    <col min="7433" max="7433" width="28.625" style="2895" customWidth="1"/>
    <col min="7434" max="7435" width="9" style="2895" customWidth="1"/>
    <col min="7436" max="7436" width="29.375" style="2895" customWidth="1"/>
    <col min="7437" max="7438" width="10.625" style="2895" customWidth="1"/>
    <col min="7439" max="7439" width="14.375" style="2895" customWidth="1"/>
    <col min="7440" max="7440" width="6.25" style="2895" customWidth="1"/>
    <col min="7441" max="7441" width="32.5" style="2895" customWidth="1"/>
    <col min="7442" max="7442" width="7.875" style="2895" customWidth="1"/>
    <col min="7443" max="7680" width="9" style="2895"/>
    <col min="7681" max="7681" width="44.25" style="2895" customWidth="1"/>
    <col min="7682" max="7682" width="6.25" style="2895" customWidth="1"/>
    <col min="7683" max="7683" width="13.875" style="2895" customWidth="1"/>
    <col min="7684" max="7684" width="44.25" style="2895" customWidth="1"/>
    <col min="7685" max="7685" width="7.875" style="2895" customWidth="1"/>
    <col min="7686" max="7686" width="29.375" style="2895" customWidth="1"/>
    <col min="7687" max="7688" width="13.875" style="2895" customWidth="1"/>
    <col min="7689" max="7689" width="28.625" style="2895" customWidth="1"/>
    <col min="7690" max="7691" width="9" style="2895" customWidth="1"/>
    <col min="7692" max="7692" width="29.375" style="2895" customWidth="1"/>
    <col min="7693" max="7694" width="10.625" style="2895" customWidth="1"/>
    <col min="7695" max="7695" width="14.375" style="2895" customWidth="1"/>
    <col min="7696" max="7696" width="6.25" style="2895" customWidth="1"/>
    <col min="7697" max="7697" width="32.5" style="2895" customWidth="1"/>
    <col min="7698" max="7698" width="7.875" style="2895" customWidth="1"/>
    <col min="7699" max="7936" width="9" style="2895"/>
    <col min="7937" max="7937" width="44.25" style="2895" customWidth="1"/>
    <col min="7938" max="7938" width="6.25" style="2895" customWidth="1"/>
    <col min="7939" max="7939" width="13.875" style="2895" customWidth="1"/>
    <col min="7940" max="7940" width="44.25" style="2895" customWidth="1"/>
    <col min="7941" max="7941" width="7.875" style="2895" customWidth="1"/>
    <col min="7942" max="7942" width="29.375" style="2895" customWidth="1"/>
    <col min="7943" max="7944" width="13.875" style="2895" customWidth="1"/>
    <col min="7945" max="7945" width="28.625" style="2895" customWidth="1"/>
    <col min="7946" max="7947" width="9" style="2895" customWidth="1"/>
    <col min="7948" max="7948" width="29.375" style="2895" customWidth="1"/>
    <col min="7949" max="7950" width="10.625" style="2895" customWidth="1"/>
    <col min="7951" max="7951" width="14.375" style="2895" customWidth="1"/>
    <col min="7952" max="7952" width="6.25" style="2895" customWidth="1"/>
    <col min="7953" max="7953" width="32.5" style="2895" customWidth="1"/>
    <col min="7954" max="7954" width="7.875" style="2895" customWidth="1"/>
    <col min="7955" max="8192" width="9" style="2895"/>
    <col min="8193" max="8193" width="44.25" style="2895" customWidth="1"/>
    <col min="8194" max="8194" width="6.25" style="2895" customWidth="1"/>
    <col min="8195" max="8195" width="13.875" style="2895" customWidth="1"/>
    <col min="8196" max="8196" width="44.25" style="2895" customWidth="1"/>
    <col min="8197" max="8197" width="7.875" style="2895" customWidth="1"/>
    <col min="8198" max="8198" width="29.375" style="2895" customWidth="1"/>
    <col min="8199" max="8200" width="13.875" style="2895" customWidth="1"/>
    <col min="8201" max="8201" width="28.625" style="2895" customWidth="1"/>
    <col min="8202" max="8203" width="9" style="2895" customWidth="1"/>
    <col min="8204" max="8204" width="29.375" style="2895" customWidth="1"/>
    <col min="8205" max="8206" width="10.625" style="2895" customWidth="1"/>
    <col min="8207" max="8207" width="14.375" style="2895" customWidth="1"/>
    <col min="8208" max="8208" width="6.25" style="2895" customWidth="1"/>
    <col min="8209" max="8209" width="32.5" style="2895" customWidth="1"/>
    <col min="8210" max="8210" width="7.875" style="2895" customWidth="1"/>
    <col min="8211" max="8448" width="9" style="2895"/>
    <col min="8449" max="8449" width="44.25" style="2895" customWidth="1"/>
    <col min="8450" max="8450" width="6.25" style="2895" customWidth="1"/>
    <col min="8451" max="8451" width="13.875" style="2895" customWidth="1"/>
    <col min="8452" max="8452" width="44.25" style="2895" customWidth="1"/>
    <col min="8453" max="8453" width="7.875" style="2895" customWidth="1"/>
    <col min="8454" max="8454" width="29.375" style="2895" customWidth="1"/>
    <col min="8455" max="8456" width="13.875" style="2895" customWidth="1"/>
    <col min="8457" max="8457" width="28.625" style="2895" customWidth="1"/>
    <col min="8458" max="8459" width="9" style="2895" customWidth="1"/>
    <col min="8460" max="8460" width="29.375" style="2895" customWidth="1"/>
    <col min="8461" max="8462" width="10.625" style="2895" customWidth="1"/>
    <col min="8463" max="8463" width="14.375" style="2895" customWidth="1"/>
    <col min="8464" max="8464" width="6.25" style="2895" customWidth="1"/>
    <col min="8465" max="8465" width="32.5" style="2895" customWidth="1"/>
    <col min="8466" max="8466" width="7.875" style="2895" customWidth="1"/>
    <col min="8467" max="8704" width="9" style="2895"/>
    <col min="8705" max="8705" width="44.25" style="2895" customWidth="1"/>
    <col min="8706" max="8706" width="6.25" style="2895" customWidth="1"/>
    <col min="8707" max="8707" width="13.875" style="2895" customWidth="1"/>
    <col min="8708" max="8708" width="44.25" style="2895" customWidth="1"/>
    <col min="8709" max="8709" width="7.875" style="2895" customWidth="1"/>
    <col min="8710" max="8710" width="29.375" style="2895" customWidth="1"/>
    <col min="8711" max="8712" width="13.875" style="2895" customWidth="1"/>
    <col min="8713" max="8713" width="28.625" style="2895" customWidth="1"/>
    <col min="8714" max="8715" width="9" style="2895" customWidth="1"/>
    <col min="8716" max="8716" width="29.375" style="2895" customWidth="1"/>
    <col min="8717" max="8718" width="10.625" style="2895" customWidth="1"/>
    <col min="8719" max="8719" width="14.375" style="2895" customWidth="1"/>
    <col min="8720" max="8720" width="6.25" style="2895" customWidth="1"/>
    <col min="8721" max="8721" width="32.5" style="2895" customWidth="1"/>
    <col min="8722" max="8722" width="7.875" style="2895" customWidth="1"/>
    <col min="8723" max="8960" width="9" style="2895"/>
    <col min="8961" max="8961" width="44.25" style="2895" customWidth="1"/>
    <col min="8962" max="8962" width="6.25" style="2895" customWidth="1"/>
    <col min="8963" max="8963" width="13.875" style="2895" customWidth="1"/>
    <col min="8964" max="8964" width="44.25" style="2895" customWidth="1"/>
    <col min="8965" max="8965" width="7.875" style="2895" customWidth="1"/>
    <col min="8966" max="8966" width="29.375" style="2895" customWidth="1"/>
    <col min="8967" max="8968" width="13.875" style="2895" customWidth="1"/>
    <col min="8969" max="8969" width="28.625" style="2895" customWidth="1"/>
    <col min="8970" max="8971" width="9" style="2895" customWidth="1"/>
    <col min="8972" max="8972" width="29.375" style="2895" customWidth="1"/>
    <col min="8973" max="8974" width="10.625" style="2895" customWidth="1"/>
    <col min="8975" max="8975" width="14.375" style="2895" customWidth="1"/>
    <col min="8976" max="8976" width="6.25" style="2895" customWidth="1"/>
    <col min="8977" max="8977" width="32.5" style="2895" customWidth="1"/>
    <col min="8978" max="8978" width="7.875" style="2895" customWidth="1"/>
    <col min="8979" max="9216" width="9" style="2895"/>
    <col min="9217" max="9217" width="44.25" style="2895" customWidth="1"/>
    <col min="9218" max="9218" width="6.25" style="2895" customWidth="1"/>
    <col min="9219" max="9219" width="13.875" style="2895" customWidth="1"/>
    <col min="9220" max="9220" width="44.25" style="2895" customWidth="1"/>
    <col min="9221" max="9221" width="7.875" style="2895" customWidth="1"/>
    <col min="9222" max="9222" width="29.375" style="2895" customWidth="1"/>
    <col min="9223" max="9224" width="13.875" style="2895" customWidth="1"/>
    <col min="9225" max="9225" width="28.625" style="2895" customWidth="1"/>
    <col min="9226" max="9227" width="9" style="2895" customWidth="1"/>
    <col min="9228" max="9228" width="29.375" style="2895" customWidth="1"/>
    <col min="9229" max="9230" width="10.625" style="2895" customWidth="1"/>
    <col min="9231" max="9231" width="14.375" style="2895" customWidth="1"/>
    <col min="9232" max="9232" width="6.25" style="2895" customWidth="1"/>
    <col min="9233" max="9233" width="32.5" style="2895" customWidth="1"/>
    <col min="9234" max="9234" width="7.875" style="2895" customWidth="1"/>
    <col min="9235" max="9472" width="9" style="2895"/>
    <col min="9473" max="9473" width="44.25" style="2895" customWidth="1"/>
    <col min="9474" max="9474" width="6.25" style="2895" customWidth="1"/>
    <col min="9475" max="9475" width="13.875" style="2895" customWidth="1"/>
    <col min="9476" max="9476" width="44.25" style="2895" customWidth="1"/>
    <col min="9477" max="9477" width="7.875" style="2895" customWidth="1"/>
    <col min="9478" max="9478" width="29.375" style="2895" customWidth="1"/>
    <col min="9479" max="9480" width="13.875" style="2895" customWidth="1"/>
    <col min="9481" max="9481" width="28.625" style="2895" customWidth="1"/>
    <col min="9482" max="9483" width="9" style="2895" customWidth="1"/>
    <col min="9484" max="9484" width="29.375" style="2895" customWidth="1"/>
    <col min="9485" max="9486" width="10.625" style="2895" customWidth="1"/>
    <col min="9487" max="9487" width="14.375" style="2895" customWidth="1"/>
    <col min="9488" max="9488" width="6.25" style="2895" customWidth="1"/>
    <col min="9489" max="9489" width="32.5" style="2895" customWidth="1"/>
    <col min="9490" max="9490" width="7.875" style="2895" customWidth="1"/>
    <col min="9491" max="9728" width="9" style="2895"/>
    <col min="9729" max="9729" width="44.25" style="2895" customWidth="1"/>
    <col min="9730" max="9730" width="6.25" style="2895" customWidth="1"/>
    <col min="9731" max="9731" width="13.875" style="2895" customWidth="1"/>
    <col min="9732" max="9732" width="44.25" style="2895" customWidth="1"/>
    <col min="9733" max="9733" width="7.875" style="2895" customWidth="1"/>
    <col min="9734" max="9734" width="29.375" style="2895" customWidth="1"/>
    <col min="9735" max="9736" width="13.875" style="2895" customWidth="1"/>
    <col min="9737" max="9737" width="28.625" style="2895" customWidth="1"/>
    <col min="9738" max="9739" width="9" style="2895" customWidth="1"/>
    <col min="9740" max="9740" width="29.375" style="2895" customWidth="1"/>
    <col min="9741" max="9742" width="10.625" style="2895" customWidth="1"/>
    <col min="9743" max="9743" width="14.375" style="2895" customWidth="1"/>
    <col min="9744" max="9744" width="6.25" style="2895" customWidth="1"/>
    <col min="9745" max="9745" width="32.5" style="2895" customWidth="1"/>
    <col min="9746" max="9746" width="7.875" style="2895" customWidth="1"/>
    <col min="9747" max="9984" width="9" style="2895"/>
    <col min="9985" max="9985" width="44.25" style="2895" customWidth="1"/>
    <col min="9986" max="9986" width="6.25" style="2895" customWidth="1"/>
    <col min="9987" max="9987" width="13.875" style="2895" customWidth="1"/>
    <col min="9988" max="9988" width="44.25" style="2895" customWidth="1"/>
    <col min="9989" max="9989" width="7.875" style="2895" customWidth="1"/>
    <col min="9990" max="9990" width="29.375" style="2895" customWidth="1"/>
    <col min="9991" max="9992" width="13.875" style="2895" customWidth="1"/>
    <col min="9993" max="9993" width="28.625" style="2895" customWidth="1"/>
    <col min="9994" max="9995" width="9" style="2895" customWidth="1"/>
    <col min="9996" max="9996" width="29.375" style="2895" customWidth="1"/>
    <col min="9997" max="9998" width="10.625" style="2895" customWidth="1"/>
    <col min="9999" max="9999" width="14.375" style="2895" customWidth="1"/>
    <col min="10000" max="10000" width="6.25" style="2895" customWidth="1"/>
    <col min="10001" max="10001" width="32.5" style="2895" customWidth="1"/>
    <col min="10002" max="10002" width="7.875" style="2895" customWidth="1"/>
    <col min="10003" max="10240" width="9" style="2895"/>
    <col min="10241" max="10241" width="44.25" style="2895" customWidth="1"/>
    <col min="10242" max="10242" width="6.25" style="2895" customWidth="1"/>
    <col min="10243" max="10243" width="13.875" style="2895" customWidth="1"/>
    <col min="10244" max="10244" width="44.25" style="2895" customWidth="1"/>
    <col min="10245" max="10245" width="7.875" style="2895" customWidth="1"/>
    <col min="10246" max="10246" width="29.375" style="2895" customWidth="1"/>
    <col min="10247" max="10248" width="13.875" style="2895" customWidth="1"/>
    <col min="10249" max="10249" width="28.625" style="2895" customWidth="1"/>
    <col min="10250" max="10251" width="9" style="2895" customWidth="1"/>
    <col min="10252" max="10252" width="29.375" style="2895" customWidth="1"/>
    <col min="10253" max="10254" width="10.625" style="2895" customWidth="1"/>
    <col min="10255" max="10255" width="14.375" style="2895" customWidth="1"/>
    <col min="10256" max="10256" width="6.25" style="2895" customWidth="1"/>
    <col min="10257" max="10257" width="32.5" style="2895" customWidth="1"/>
    <col min="10258" max="10258" width="7.875" style="2895" customWidth="1"/>
    <col min="10259" max="10496" width="9" style="2895"/>
    <col min="10497" max="10497" width="44.25" style="2895" customWidth="1"/>
    <col min="10498" max="10498" width="6.25" style="2895" customWidth="1"/>
    <col min="10499" max="10499" width="13.875" style="2895" customWidth="1"/>
    <col min="10500" max="10500" width="44.25" style="2895" customWidth="1"/>
    <col min="10501" max="10501" width="7.875" style="2895" customWidth="1"/>
    <col min="10502" max="10502" width="29.375" style="2895" customWidth="1"/>
    <col min="10503" max="10504" width="13.875" style="2895" customWidth="1"/>
    <col min="10505" max="10505" width="28.625" style="2895" customWidth="1"/>
    <col min="10506" max="10507" width="9" style="2895" customWidth="1"/>
    <col min="10508" max="10508" width="29.375" style="2895" customWidth="1"/>
    <col min="10509" max="10510" width="10.625" style="2895" customWidth="1"/>
    <col min="10511" max="10511" width="14.375" style="2895" customWidth="1"/>
    <col min="10512" max="10512" width="6.25" style="2895" customWidth="1"/>
    <col min="10513" max="10513" width="32.5" style="2895" customWidth="1"/>
    <col min="10514" max="10514" width="7.875" style="2895" customWidth="1"/>
    <col min="10515" max="10752" width="9" style="2895"/>
    <col min="10753" max="10753" width="44.25" style="2895" customWidth="1"/>
    <col min="10754" max="10754" width="6.25" style="2895" customWidth="1"/>
    <col min="10755" max="10755" width="13.875" style="2895" customWidth="1"/>
    <col min="10756" max="10756" width="44.25" style="2895" customWidth="1"/>
    <col min="10757" max="10757" width="7.875" style="2895" customWidth="1"/>
    <col min="10758" max="10758" width="29.375" style="2895" customWidth="1"/>
    <col min="10759" max="10760" width="13.875" style="2895" customWidth="1"/>
    <col min="10761" max="10761" width="28.625" style="2895" customWidth="1"/>
    <col min="10762" max="10763" width="9" style="2895" customWidth="1"/>
    <col min="10764" max="10764" width="29.375" style="2895" customWidth="1"/>
    <col min="10765" max="10766" width="10.625" style="2895" customWidth="1"/>
    <col min="10767" max="10767" width="14.375" style="2895" customWidth="1"/>
    <col min="10768" max="10768" width="6.25" style="2895" customWidth="1"/>
    <col min="10769" max="10769" width="32.5" style="2895" customWidth="1"/>
    <col min="10770" max="10770" width="7.875" style="2895" customWidth="1"/>
    <col min="10771" max="11008" width="9" style="2895"/>
    <col min="11009" max="11009" width="44.25" style="2895" customWidth="1"/>
    <col min="11010" max="11010" width="6.25" style="2895" customWidth="1"/>
    <col min="11011" max="11011" width="13.875" style="2895" customWidth="1"/>
    <col min="11012" max="11012" width="44.25" style="2895" customWidth="1"/>
    <col min="11013" max="11013" width="7.875" style="2895" customWidth="1"/>
    <col min="11014" max="11014" width="29.375" style="2895" customWidth="1"/>
    <col min="11015" max="11016" width="13.875" style="2895" customWidth="1"/>
    <col min="11017" max="11017" width="28.625" style="2895" customWidth="1"/>
    <col min="11018" max="11019" width="9" style="2895" customWidth="1"/>
    <col min="11020" max="11020" width="29.375" style="2895" customWidth="1"/>
    <col min="11021" max="11022" width="10.625" style="2895" customWidth="1"/>
    <col min="11023" max="11023" width="14.375" style="2895" customWidth="1"/>
    <col min="11024" max="11024" width="6.25" style="2895" customWidth="1"/>
    <col min="11025" max="11025" width="32.5" style="2895" customWidth="1"/>
    <col min="11026" max="11026" width="7.875" style="2895" customWidth="1"/>
    <col min="11027" max="11264" width="9" style="2895"/>
    <col min="11265" max="11265" width="44.25" style="2895" customWidth="1"/>
    <col min="11266" max="11266" width="6.25" style="2895" customWidth="1"/>
    <col min="11267" max="11267" width="13.875" style="2895" customWidth="1"/>
    <col min="11268" max="11268" width="44.25" style="2895" customWidth="1"/>
    <col min="11269" max="11269" width="7.875" style="2895" customWidth="1"/>
    <col min="11270" max="11270" width="29.375" style="2895" customWidth="1"/>
    <col min="11271" max="11272" width="13.875" style="2895" customWidth="1"/>
    <col min="11273" max="11273" width="28.625" style="2895" customWidth="1"/>
    <col min="11274" max="11275" width="9" style="2895" customWidth="1"/>
    <col min="11276" max="11276" width="29.375" style="2895" customWidth="1"/>
    <col min="11277" max="11278" width="10.625" style="2895" customWidth="1"/>
    <col min="11279" max="11279" width="14.375" style="2895" customWidth="1"/>
    <col min="11280" max="11280" width="6.25" style="2895" customWidth="1"/>
    <col min="11281" max="11281" width="32.5" style="2895" customWidth="1"/>
    <col min="11282" max="11282" width="7.875" style="2895" customWidth="1"/>
    <col min="11283" max="11520" width="9" style="2895"/>
    <col min="11521" max="11521" width="44.25" style="2895" customWidth="1"/>
    <col min="11522" max="11522" width="6.25" style="2895" customWidth="1"/>
    <col min="11523" max="11523" width="13.875" style="2895" customWidth="1"/>
    <col min="11524" max="11524" width="44.25" style="2895" customWidth="1"/>
    <col min="11525" max="11525" width="7.875" style="2895" customWidth="1"/>
    <col min="11526" max="11526" width="29.375" style="2895" customWidth="1"/>
    <col min="11527" max="11528" width="13.875" style="2895" customWidth="1"/>
    <col min="11529" max="11529" width="28.625" style="2895" customWidth="1"/>
    <col min="11530" max="11531" width="9" style="2895" customWidth="1"/>
    <col min="11532" max="11532" width="29.375" style="2895" customWidth="1"/>
    <col min="11533" max="11534" width="10.625" style="2895" customWidth="1"/>
    <col min="11535" max="11535" width="14.375" style="2895" customWidth="1"/>
    <col min="11536" max="11536" width="6.25" style="2895" customWidth="1"/>
    <col min="11537" max="11537" width="32.5" style="2895" customWidth="1"/>
    <col min="11538" max="11538" width="7.875" style="2895" customWidth="1"/>
    <col min="11539" max="11776" width="9" style="2895"/>
    <col min="11777" max="11777" width="44.25" style="2895" customWidth="1"/>
    <col min="11778" max="11778" width="6.25" style="2895" customWidth="1"/>
    <col min="11779" max="11779" width="13.875" style="2895" customWidth="1"/>
    <col min="11780" max="11780" width="44.25" style="2895" customWidth="1"/>
    <col min="11781" max="11781" width="7.875" style="2895" customWidth="1"/>
    <col min="11782" max="11782" width="29.375" style="2895" customWidth="1"/>
    <col min="11783" max="11784" width="13.875" style="2895" customWidth="1"/>
    <col min="11785" max="11785" width="28.625" style="2895" customWidth="1"/>
    <col min="11786" max="11787" width="9" style="2895" customWidth="1"/>
    <col min="11788" max="11788" width="29.375" style="2895" customWidth="1"/>
    <col min="11789" max="11790" width="10.625" style="2895" customWidth="1"/>
    <col min="11791" max="11791" width="14.375" style="2895" customWidth="1"/>
    <col min="11792" max="11792" width="6.25" style="2895" customWidth="1"/>
    <col min="11793" max="11793" width="32.5" style="2895" customWidth="1"/>
    <col min="11794" max="11794" width="7.875" style="2895" customWidth="1"/>
    <col min="11795" max="12032" width="9" style="2895"/>
    <col min="12033" max="12033" width="44.25" style="2895" customWidth="1"/>
    <col min="12034" max="12034" width="6.25" style="2895" customWidth="1"/>
    <col min="12035" max="12035" width="13.875" style="2895" customWidth="1"/>
    <col min="12036" max="12036" width="44.25" style="2895" customWidth="1"/>
    <col min="12037" max="12037" width="7.875" style="2895" customWidth="1"/>
    <col min="12038" max="12038" width="29.375" style="2895" customWidth="1"/>
    <col min="12039" max="12040" width="13.875" style="2895" customWidth="1"/>
    <col min="12041" max="12041" width="28.625" style="2895" customWidth="1"/>
    <col min="12042" max="12043" width="9" style="2895" customWidth="1"/>
    <col min="12044" max="12044" width="29.375" style="2895" customWidth="1"/>
    <col min="12045" max="12046" width="10.625" style="2895" customWidth="1"/>
    <col min="12047" max="12047" width="14.375" style="2895" customWidth="1"/>
    <col min="12048" max="12048" width="6.25" style="2895" customWidth="1"/>
    <col min="12049" max="12049" width="32.5" style="2895" customWidth="1"/>
    <col min="12050" max="12050" width="7.875" style="2895" customWidth="1"/>
    <col min="12051" max="12288" width="9" style="2895"/>
    <col min="12289" max="12289" width="44.25" style="2895" customWidth="1"/>
    <col min="12290" max="12290" width="6.25" style="2895" customWidth="1"/>
    <col min="12291" max="12291" width="13.875" style="2895" customWidth="1"/>
    <col min="12292" max="12292" width="44.25" style="2895" customWidth="1"/>
    <col min="12293" max="12293" width="7.875" style="2895" customWidth="1"/>
    <col min="12294" max="12294" width="29.375" style="2895" customWidth="1"/>
    <col min="12295" max="12296" width="13.875" style="2895" customWidth="1"/>
    <col min="12297" max="12297" width="28.625" style="2895" customWidth="1"/>
    <col min="12298" max="12299" width="9" style="2895" customWidth="1"/>
    <col min="12300" max="12300" width="29.375" style="2895" customWidth="1"/>
    <col min="12301" max="12302" width="10.625" style="2895" customWidth="1"/>
    <col min="12303" max="12303" width="14.375" style="2895" customWidth="1"/>
    <col min="12304" max="12304" width="6.25" style="2895" customWidth="1"/>
    <col min="12305" max="12305" width="32.5" style="2895" customWidth="1"/>
    <col min="12306" max="12306" width="7.875" style="2895" customWidth="1"/>
    <col min="12307" max="12544" width="9" style="2895"/>
    <col min="12545" max="12545" width="44.25" style="2895" customWidth="1"/>
    <col min="12546" max="12546" width="6.25" style="2895" customWidth="1"/>
    <col min="12547" max="12547" width="13.875" style="2895" customWidth="1"/>
    <col min="12548" max="12548" width="44.25" style="2895" customWidth="1"/>
    <col min="12549" max="12549" width="7.875" style="2895" customWidth="1"/>
    <col min="12550" max="12550" width="29.375" style="2895" customWidth="1"/>
    <col min="12551" max="12552" width="13.875" style="2895" customWidth="1"/>
    <col min="12553" max="12553" width="28.625" style="2895" customWidth="1"/>
    <col min="12554" max="12555" width="9" style="2895" customWidth="1"/>
    <col min="12556" max="12556" width="29.375" style="2895" customWidth="1"/>
    <col min="12557" max="12558" width="10.625" style="2895" customWidth="1"/>
    <col min="12559" max="12559" width="14.375" style="2895" customWidth="1"/>
    <col min="12560" max="12560" width="6.25" style="2895" customWidth="1"/>
    <col min="12561" max="12561" width="32.5" style="2895" customWidth="1"/>
    <col min="12562" max="12562" width="7.875" style="2895" customWidth="1"/>
    <col min="12563" max="12800" width="9" style="2895"/>
    <col min="12801" max="12801" width="44.25" style="2895" customWidth="1"/>
    <col min="12802" max="12802" width="6.25" style="2895" customWidth="1"/>
    <col min="12803" max="12803" width="13.875" style="2895" customWidth="1"/>
    <col min="12804" max="12804" width="44.25" style="2895" customWidth="1"/>
    <col min="12805" max="12805" width="7.875" style="2895" customWidth="1"/>
    <col min="12806" max="12806" width="29.375" style="2895" customWidth="1"/>
    <col min="12807" max="12808" width="13.875" style="2895" customWidth="1"/>
    <col min="12809" max="12809" width="28.625" style="2895" customWidth="1"/>
    <col min="12810" max="12811" width="9" style="2895" customWidth="1"/>
    <col min="12812" max="12812" width="29.375" style="2895" customWidth="1"/>
    <col min="12813" max="12814" width="10.625" style="2895" customWidth="1"/>
    <col min="12815" max="12815" width="14.375" style="2895" customWidth="1"/>
    <col min="12816" max="12816" width="6.25" style="2895" customWidth="1"/>
    <col min="12817" max="12817" width="32.5" style="2895" customWidth="1"/>
    <col min="12818" max="12818" width="7.875" style="2895" customWidth="1"/>
    <col min="12819" max="13056" width="9" style="2895"/>
    <col min="13057" max="13057" width="44.25" style="2895" customWidth="1"/>
    <col min="13058" max="13058" width="6.25" style="2895" customWidth="1"/>
    <col min="13059" max="13059" width="13.875" style="2895" customWidth="1"/>
    <col min="13060" max="13060" width="44.25" style="2895" customWidth="1"/>
    <col min="13061" max="13061" width="7.875" style="2895" customWidth="1"/>
    <col min="13062" max="13062" width="29.375" style="2895" customWidth="1"/>
    <col min="13063" max="13064" width="13.875" style="2895" customWidth="1"/>
    <col min="13065" max="13065" width="28.625" style="2895" customWidth="1"/>
    <col min="13066" max="13067" width="9" style="2895" customWidth="1"/>
    <col min="13068" max="13068" width="29.375" style="2895" customWidth="1"/>
    <col min="13069" max="13070" width="10.625" style="2895" customWidth="1"/>
    <col min="13071" max="13071" width="14.375" style="2895" customWidth="1"/>
    <col min="13072" max="13072" width="6.25" style="2895" customWidth="1"/>
    <col min="13073" max="13073" width="32.5" style="2895" customWidth="1"/>
    <col min="13074" max="13074" width="7.875" style="2895" customWidth="1"/>
    <col min="13075" max="13312" width="9" style="2895"/>
    <col min="13313" max="13313" width="44.25" style="2895" customWidth="1"/>
    <col min="13314" max="13314" width="6.25" style="2895" customWidth="1"/>
    <col min="13315" max="13315" width="13.875" style="2895" customWidth="1"/>
    <col min="13316" max="13316" width="44.25" style="2895" customWidth="1"/>
    <col min="13317" max="13317" width="7.875" style="2895" customWidth="1"/>
    <col min="13318" max="13318" width="29.375" style="2895" customWidth="1"/>
    <col min="13319" max="13320" width="13.875" style="2895" customWidth="1"/>
    <col min="13321" max="13321" width="28.625" style="2895" customWidth="1"/>
    <col min="13322" max="13323" width="9" style="2895" customWidth="1"/>
    <col min="13324" max="13324" width="29.375" style="2895" customWidth="1"/>
    <col min="13325" max="13326" width="10.625" style="2895" customWidth="1"/>
    <col min="13327" max="13327" width="14.375" style="2895" customWidth="1"/>
    <col min="13328" max="13328" width="6.25" style="2895" customWidth="1"/>
    <col min="13329" max="13329" width="32.5" style="2895" customWidth="1"/>
    <col min="13330" max="13330" width="7.875" style="2895" customWidth="1"/>
    <col min="13331" max="13568" width="9" style="2895"/>
    <col min="13569" max="13569" width="44.25" style="2895" customWidth="1"/>
    <col min="13570" max="13570" width="6.25" style="2895" customWidth="1"/>
    <col min="13571" max="13571" width="13.875" style="2895" customWidth="1"/>
    <col min="13572" max="13572" width="44.25" style="2895" customWidth="1"/>
    <col min="13573" max="13573" width="7.875" style="2895" customWidth="1"/>
    <col min="13574" max="13574" width="29.375" style="2895" customWidth="1"/>
    <col min="13575" max="13576" width="13.875" style="2895" customWidth="1"/>
    <col min="13577" max="13577" width="28.625" style="2895" customWidth="1"/>
    <col min="13578" max="13579" width="9" style="2895" customWidth="1"/>
    <col min="13580" max="13580" width="29.375" style="2895" customWidth="1"/>
    <col min="13581" max="13582" width="10.625" style="2895" customWidth="1"/>
    <col min="13583" max="13583" width="14.375" style="2895" customWidth="1"/>
    <col min="13584" max="13584" width="6.25" style="2895" customWidth="1"/>
    <col min="13585" max="13585" width="32.5" style="2895" customWidth="1"/>
    <col min="13586" max="13586" width="7.875" style="2895" customWidth="1"/>
    <col min="13587" max="13824" width="9" style="2895"/>
    <col min="13825" max="13825" width="44.25" style="2895" customWidth="1"/>
    <col min="13826" max="13826" width="6.25" style="2895" customWidth="1"/>
    <col min="13827" max="13827" width="13.875" style="2895" customWidth="1"/>
    <col min="13828" max="13828" width="44.25" style="2895" customWidth="1"/>
    <col min="13829" max="13829" width="7.875" style="2895" customWidth="1"/>
    <col min="13830" max="13830" width="29.375" style="2895" customWidth="1"/>
    <col min="13831" max="13832" width="13.875" style="2895" customWidth="1"/>
    <col min="13833" max="13833" width="28.625" style="2895" customWidth="1"/>
    <col min="13834" max="13835" width="9" style="2895" customWidth="1"/>
    <col min="13836" max="13836" width="29.375" style="2895" customWidth="1"/>
    <col min="13837" max="13838" width="10.625" style="2895" customWidth="1"/>
    <col min="13839" max="13839" width="14.375" style="2895" customWidth="1"/>
    <col min="13840" max="13840" width="6.25" style="2895" customWidth="1"/>
    <col min="13841" max="13841" width="32.5" style="2895" customWidth="1"/>
    <col min="13842" max="13842" width="7.875" style="2895" customWidth="1"/>
    <col min="13843" max="14080" width="9" style="2895"/>
    <col min="14081" max="14081" width="44.25" style="2895" customWidth="1"/>
    <col min="14082" max="14082" width="6.25" style="2895" customWidth="1"/>
    <col min="14083" max="14083" width="13.875" style="2895" customWidth="1"/>
    <col min="14084" max="14084" width="44.25" style="2895" customWidth="1"/>
    <col min="14085" max="14085" width="7.875" style="2895" customWidth="1"/>
    <col min="14086" max="14086" width="29.375" style="2895" customWidth="1"/>
    <col min="14087" max="14088" width="13.875" style="2895" customWidth="1"/>
    <col min="14089" max="14089" width="28.625" style="2895" customWidth="1"/>
    <col min="14090" max="14091" width="9" style="2895" customWidth="1"/>
    <col min="14092" max="14092" width="29.375" style="2895" customWidth="1"/>
    <col min="14093" max="14094" width="10.625" style="2895" customWidth="1"/>
    <col min="14095" max="14095" width="14.375" style="2895" customWidth="1"/>
    <col min="14096" max="14096" width="6.25" style="2895" customWidth="1"/>
    <col min="14097" max="14097" width="32.5" style="2895" customWidth="1"/>
    <col min="14098" max="14098" width="7.875" style="2895" customWidth="1"/>
    <col min="14099" max="14336" width="9" style="2895"/>
    <col min="14337" max="14337" width="44.25" style="2895" customWidth="1"/>
    <col min="14338" max="14338" width="6.25" style="2895" customWidth="1"/>
    <col min="14339" max="14339" width="13.875" style="2895" customWidth="1"/>
    <col min="14340" max="14340" width="44.25" style="2895" customWidth="1"/>
    <col min="14341" max="14341" width="7.875" style="2895" customWidth="1"/>
    <col min="14342" max="14342" width="29.375" style="2895" customWidth="1"/>
    <col min="14343" max="14344" width="13.875" style="2895" customWidth="1"/>
    <col min="14345" max="14345" width="28.625" style="2895" customWidth="1"/>
    <col min="14346" max="14347" width="9" style="2895" customWidth="1"/>
    <col min="14348" max="14348" width="29.375" style="2895" customWidth="1"/>
    <col min="14349" max="14350" width="10.625" style="2895" customWidth="1"/>
    <col min="14351" max="14351" width="14.375" style="2895" customWidth="1"/>
    <col min="14352" max="14352" width="6.25" style="2895" customWidth="1"/>
    <col min="14353" max="14353" width="32.5" style="2895" customWidth="1"/>
    <col min="14354" max="14354" width="7.875" style="2895" customWidth="1"/>
    <col min="14355" max="14592" width="9" style="2895"/>
    <col min="14593" max="14593" width="44.25" style="2895" customWidth="1"/>
    <col min="14594" max="14594" width="6.25" style="2895" customWidth="1"/>
    <col min="14595" max="14595" width="13.875" style="2895" customWidth="1"/>
    <col min="14596" max="14596" width="44.25" style="2895" customWidth="1"/>
    <col min="14597" max="14597" width="7.875" style="2895" customWidth="1"/>
    <col min="14598" max="14598" width="29.375" style="2895" customWidth="1"/>
    <col min="14599" max="14600" width="13.875" style="2895" customWidth="1"/>
    <col min="14601" max="14601" width="28.625" style="2895" customWidth="1"/>
    <col min="14602" max="14603" width="9" style="2895" customWidth="1"/>
    <col min="14604" max="14604" width="29.375" style="2895" customWidth="1"/>
    <col min="14605" max="14606" width="10.625" style="2895" customWidth="1"/>
    <col min="14607" max="14607" width="14.375" style="2895" customWidth="1"/>
    <col min="14608" max="14608" width="6.25" style="2895" customWidth="1"/>
    <col min="14609" max="14609" width="32.5" style="2895" customWidth="1"/>
    <col min="14610" max="14610" width="7.875" style="2895" customWidth="1"/>
    <col min="14611" max="14848" width="9" style="2895"/>
    <col min="14849" max="14849" width="44.25" style="2895" customWidth="1"/>
    <col min="14850" max="14850" width="6.25" style="2895" customWidth="1"/>
    <col min="14851" max="14851" width="13.875" style="2895" customWidth="1"/>
    <col min="14852" max="14852" width="44.25" style="2895" customWidth="1"/>
    <col min="14853" max="14853" width="7.875" style="2895" customWidth="1"/>
    <col min="14854" max="14854" width="29.375" style="2895" customWidth="1"/>
    <col min="14855" max="14856" width="13.875" style="2895" customWidth="1"/>
    <col min="14857" max="14857" width="28.625" style="2895" customWidth="1"/>
    <col min="14858" max="14859" width="9" style="2895" customWidth="1"/>
    <col min="14860" max="14860" width="29.375" style="2895" customWidth="1"/>
    <col min="14861" max="14862" width="10.625" style="2895" customWidth="1"/>
    <col min="14863" max="14863" width="14.375" style="2895" customWidth="1"/>
    <col min="14864" max="14864" width="6.25" style="2895" customWidth="1"/>
    <col min="14865" max="14865" width="32.5" style="2895" customWidth="1"/>
    <col min="14866" max="14866" width="7.875" style="2895" customWidth="1"/>
    <col min="14867" max="15104" width="9" style="2895"/>
    <col min="15105" max="15105" width="44.25" style="2895" customWidth="1"/>
    <col min="15106" max="15106" width="6.25" style="2895" customWidth="1"/>
    <col min="15107" max="15107" width="13.875" style="2895" customWidth="1"/>
    <col min="15108" max="15108" width="44.25" style="2895" customWidth="1"/>
    <col min="15109" max="15109" width="7.875" style="2895" customWidth="1"/>
    <col min="15110" max="15110" width="29.375" style="2895" customWidth="1"/>
    <col min="15111" max="15112" width="13.875" style="2895" customWidth="1"/>
    <col min="15113" max="15113" width="28.625" style="2895" customWidth="1"/>
    <col min="15114" max="15115" width="9" style="2895" customWidth="1"/>
    <col min="15116" max="15116" width="29.375" style="2895" customWidth="1"/>
    <col min="15117" max="15118" width="10.625" style="2895" customWidth="1"/>
    <col min="15119" max="15119" width="14.375" style="2895" customWidth="1"/>
    <col min="15120" max="15120" width="6.25" style="2895" customWidth="1"/>
    <col min="15121" max="15121" width="32.5" style="2895" customWidth="1"/>
    <col min="15122" max="15122" width="7.875" style="2895" customWidth="1"/>
    <col min="15123" max="15360" width="9" style="2895"/>
    <col min="15361" max="15361" width="44.25" style="2895" customWidth="1"/>
    <col min="15362" max="15362" width="6.25" style="2895" customWidth="1"/>
    <col min="15363" max="15363" width="13.875" style="2895" customWidth="1"/>
    <col min="15364" max="15364" width="44.25" style="2895" customWidth="1"/>
    <col min="15365" max="15365" width="7.875" style="2895" customWidth="1"/>
    <col min="15366" max="15366" width="29.375" style="2895" customWidth="1"/>
    <col min="15367" max="15368" width="13.875" style="2895" customWidth="1"/>
    <col min="15369" max="15369" width="28.625" style="2895" customWidth="1"/>
    <col min="15370" max="15371" width="9" style="2895" customWidth="1"/>
    <col min="15372" max="15372" width="29.375" style="2895" customWidth="1"/>
    <col min="15373" max="15374" width="10.625" style="2895" customWidth="1"/>
    <col min="15375" max="15375" width="14.375" style="2895" customWidth="1"/>
    <col min="15376" max="15376" width="6.25" style="2895" customWidth="1"/>
    <col min="15377" max="15377" width="32.5" style="2895" customWidth="1"/>
    <col min="15378" max="15378" width="7.875" style="2895" customWidth="1"/>
    <col min="15379" max="15616" width="9" style="2895"/>
    <col min="15617" max="15617" width="44.25" style="2895" customWidth="1"/>
    <col min="15618" max="15618" width="6.25" style="2895" customWidth="1"/>
    <col min="15619" max="15619" width="13.875" style="2895" customWidth="1"/>
    <col min="15620" max="15620" width="44.25" style="2895" customWidth="1"/>
    <col min="15621" max="15621" width="7.875" style="2895" customWidth="1"/>
    <col min="15622" max="15622" width="29.375" style="2895" customWidth="1"/>
    <col min="15623" max="15624" width="13.875" style="2895" customWidth="1"/>
    <col min="15625" max="15625" width="28.625" style="2895" customWidth="1"/>
    <col min="15626" max="15627" width="9" style="2895" customWidth="1"/>
    <col min="15628" max="15628" width="29.375" style="2895" customWidth="1"/>
    <col min="15629" max="15630" width="10.625" style="2895" customWidth="1"/>
    <col min="15631" max="15631" width="14.375" style="2895" customWidth="1"/>
    <col min="15632" max="15632" width="6.25" style="2895" customWidth="1"/>
    <col min="15633" max="15633" width="32.5" style="2895" customWidth="1"/>
    <col min="15634" max="15634" width="7.875" style="2895" customWidth="1"/>
    <col min="15635" max="15872" width="9" style="2895"/>
    <col min="15873" max="15873" width="44.25" style="2895" customWidth="1"/>
    <col min="15874" max="15874" width="6.25" style="2895" customWidth="1"/>
    <col min="15875" max="15875" width="13.875" style="2895" customWidth="1"/>
    <col min="15876" max="15876" width="44.25" style="2895" customWidth="1"/>
    <col min="15877" max="15877" width="7.875" style="2895" customWidth="1"/>
    <col min="15878" max="15878" width="29.375" style="2895" customWidth="1"/>
    <col min="15879" max="15880" width="13.875" style="2895" customWidth="1"/>
    <col min="15881" max="15881" width="28.625" style="2895" customWidth="1"/>
    <col min="15882" max="15883" width="9" style="2895" customWidth="1"/>
    <col min="15884" max="15884" width="29.375" style="2895" customWidth="1"/>
    <col min="15885" max="15886" width="10.625" style="2895" customWidth="1"/>
    <col min="15887" max="15887" width="14.375" style="2895" customWidth="1"/>
    <col min="15888" max="15888" width="6.25" style="2895" customWidth="1"/>
    <col min="15889" max="15889" width="32.5" style="2895" customWidth="1"/>
    <col min="15890" max="15890" width="7.875" style="2895" customWidth="1"/>
    <col min="15891" max="16128" width="9" style="2895"/>
    <col min="16129" max="16129" width="44.25" style="2895" customWidth="1"/>
    <col min="16130" max="16130" width="6.25" style="2895" customWidth="1"/>
    <col min="16131" max="16131" width="13.875" style="2895" customWidth="1"/>
    <col min="16132" max="16132" width="44.25" style="2895" customWidth="1"/>
    <col min="16133" max="16133" width="7.875" style="2895" customWidth="1"/>
    <col min="16134" max="16134" width="29.375" style="2895" customWidth="1"/>
    <col min="16135" max="16136" width="13.875" style="2895" customWidth="1"/>
    <col min="16137" max="16137" width="28.625" style="2895" customWidth="1"/>
    <col min="16138" max="16139" width="9" style="2895" customWidth="1"/>
    <col min="16140" max="16140" width="29.375" style="2895" customWidth="1"/>
    <col min="16141" max="16142" width="10.625" style="2895" customWidth="1"/>
    <col min="16143" max="16143" width="14.375" style="2895" customWidth="1"/>
    <col min="16144" max="16144" width="6.25" style="2895" customWidth="1"/>
    <col min="16145" max="16145" width="32.5" style="2895" customWidth="1"/>
    <col min="16146" max="16146" width="7.875" style="2895" customWidth="1"/>
    <col min="16147" max="16384" width="9" style="2895"/>
  </cols>
  <sheetData>
    <row r="1" spans="1:19">
      <c r="A1" s="2895" t="s">
        <v>3041</v>
      </c>
      <c r="B1" s="2895" t="s">
        <v>3042</v>
      </c>
      <c r="C1" s="2895" t="s">
        <v>3043</v>
      </c>
      <c r="D1" s="2895" t="s">
        <v>3044</v>
      </c>
      <c r="E1" s="2895" t="s">
        <v>3045</v>
      </c>
      <c r="F1" s="2895" t="s">
        <v>3046</v>
      </c>
      <c r="G1" s="2895" t="s">
        <v>3047</v>
      </c>
      <c r="H1" s="2895" t="s">
        <v>3048</v>
      </c>
      <c r="I1" s="2895" t="s">
        <v>2032</v>
      </c>
      <c r="J1" s="2895" t="s">
        <v>3049</v>
      </c>
      <c r="K1" s="2895" t="s">
        <v>3050</v>
      </c>
      <c r="L1" s="2895" t="s">
        <v>3051</v>
      </c>
      <c r="M1" s="2895" t="s">
        <v>3052</v>
      </c>
      <c r="N1" s="2895" t="s">
        <v>3053</v>
      </c>
      <c r="O1" s="2895" t="s">
        <v>3054</v>
      </c>
      <c r="P1" s="2895" t="s">
        <v>3055</v>
      </c>
      <c r="Q1" s="2895" t="s">
        <v>3056</v>
      </c>
      <c r="R1" s="2895" t="s">
        <v>3057</v>
      </c>
      <c r="S1" s="3193" t="s">
        <v>3202</v>
      </c>
    </row>
    <row r="2" spans="1:19">
      <c r="A2" s="2895" t="s">
        <v>3058</v>
      </c>
      <c r="B2" s="2895" t="s">
        <v>3000</v>
      </c>
      <c r="C2" s="2895" t="s">
        <v>3059</v>
      </c>
      <c r="D2" s="2895" t="s">
        <v>3058</v>
      </c>
      <c r="E2" s="2895" t="s">
        <v>3060</v>
      </c>
      <c r="F2" s="2895" t="s">
        <v>3061</v>
      </c>
      <c r="G2" s="2895">
        <v>14236.82</v>
      </c>
      <c r="H2" s="2895">
        <v>35592.050000000003</v>
      </c>
      <c r="I2" s="2895" t="s">
        <v>3062</v>
      </c>
      <c r="J2" s="2895" t="s">
        <v>3063</v>
      </c>
      <c r="K2" s="2895" t="s">
        <v>3063</v>
      </c>
      <c r="L2" s="2895" t="s">
        <v>3064</v>
      </c>
      <c r="M2" s="2895">
        <v>10960</v>
      </c>
      <c r="N2" s="2895">
        <v>16260</v>
      </c>
      <c r="O2" s="2895">
        <v>4568.43</v>
      </c>
      <c r="P2" s="2895">
        <v>48.36</v>
      </c>
      <c r="Q2" s="2895" t="s">
        <v>3065</v>
      </c>
      <c r="R2" s="2895" t="s">
        <v>3066</v>
      </c>
      <c r="S2" s="3192">
        <f>N2*10000/G2</f>
        <v>11421.089822024862</v>
      </c>
    </row>
    <row r="3" spans="1:19">
      <c r="A3" s="2895" t="s">
        <v>3039</v>
      </c>
      <c r="B3" s="2895" t="s">
        <v>3000</v>
      </c>
      <c r="C3" s="2895" t="s">
        <v>3059</v>
      </c>
      <c r="D3" s="2895" t="s">
        <v>3039</v>
      </c>
      <c r="E3" s="2895" t="s">
        <v>3060</v>
      </c>
      <c r="F3" s="2895" t="s">
        <v>3061</v>
      </c>
      <c r="G3" s="2895">
        <v>13685.39</v>
      </c>
      <c r="H3" s="2895">
        <v>43793.25</v>
      </c>
      <c r="I3" s="2895" t="s">
        <v>3067</v>
      </c>
      <c r="J3" s="2895" t="s">
        <v>3068</v>
      </c>
      <c r="K3" s="2895" t="s">
        <v>3068</v>
      </c>
      <c r="L3" s="2895" t="s">
        <v>3069</v>
      </c>
      <c r="M3" s="2895">
        <v>14300</v>
      </c>
      <c r="N3" s="2895">
        <v>14300</v>
      </c>
      <c r="O3" s="2895">
        <v>3265.34</v>
      </c>
      <c r="P3" s="2895">
        <v>0</v>
      </c>
      <c r="Q3" s="2895" t="s">
        <v>3070</v>
      </c>
      <c r="R3" s="2895" t="s">
        <v>3066</v>
      </c>
      <c r="S3" s="3192">
        <f t="shared" ref="S3:S33" si="0">N3*10000/G3</f>
        <v>10449.099368012165</v>
      </c>
    </row>
    <row r="4" spans="1:19">
      <c r="A4" s="2895" t="s">
        <v>3071</v>
      </c>
      <c r="B4" s="2895" t="s">
        <v>3000</v>
      </c>
      <c r="C4" s="2895" t="s">
        <v>3059</v>
      </c>
      <c r="D4" s="2895" t="s">
        <v>3071</v>
      </c>
      <c r="E4" s="2895" t="s">
        <v>3060</v>
      </c>
      <c r="F4" s="2895" t="s">
        <v>3072</v>
      </c>
      <c r="G4" s="2895">
        <v>67394.649999999994</v>
      </c>
      <c r="H4" s="2895">
        <v>256099.7</v>
      </c>
      <c r="I4" s="2895" t="s">
        <v>3073</v>
      </c>
      <c r="J4" s="2895" t="s">
        <v>3074</v>
      </c>
      <c r="K4" s="2895" t="s">
        <v>3074</v>
      </c>
      <c r="L4" s="2895" t="s">
        <v>3075</v>
      </c>
      <c r="M4" s="2895">
        <v>40700</v>
      </c>
      <c r="N4" s="2895">
        <v>40700</v>
      </c>
      <c r="O4" s="2895">
        <v>1589.22</v>
      </c>
      <c r="P4" s="2895">
        <v>0</v>
      </c>
      <c r="Q4" s="2895" t="s">
        <v>3065</v>
      </c>
      <c r="R4" s="2895" t="s">
        <v>3066</v>
      </c>
      <c r="S4" s="3192">
        <f t="shared" si="0"/>
        <v>6039.0550288487293</v>
      </c>
    </row>
    <row r="5" spans="1:19">
      <c r="A5" s="2895" t="s">
        <v>3076</v>
      </c>
      <c r="B5" s="2895" t="s">
        <v>3000</v>
      </c>
      <c r="C5" s="2895" t="s">
        <v>3059</v>
      </c>
      <c r="D5" s="2895" t="s">
        <v>3076</v>
      </c>
      <c r="E5" s="2895" t="s">
        <v>3060</v>
      </c>
      <c r="F5" s="2895" t="s">
        <v>3072</v>
      </c>
      <c r="G5" s="2895">
        <v>12937.43</v>
      </c>
      <c r="H5" s="2895">
        <v>41399.78</v>
      </c>
      <c r="I5" s="2895" t="s">
        <v>3077</v>
      </c>
      <c r="J5" s="2895" t="s">
        <v>3078</v>
      </c>
      <c r="K5" s="2895" t="s">
        <v>3078</v>
      </c>
      <c r="L5" s="2895" t="s">
        <v>3079</v>
      </c>
      <c r="M5" s="2895">
        <v>6240</v>
      </c>
      <c r="N5" s="2895">
        <v>6240</v>
      </c>
      <c r="O5" s="2895">
        <v>1507.25</v>
      </c>
      <c r="P5" s="2895">
        <v>0</v>
      </c>
      <c r="Q5" s="2895" t="s">
        <v>3065</v>
      </c>
      <c r="R5" s="2895" t="s">
        <v>3066</v>
      </c>
      <c r="S5" s="3192">
        <f t="shared" si="0"/>
        <v>4823.2145024166311</v>
      </c>
    </row>
    <row r="6" spans="1:19" s="3191" customFormat="1">
      <c r="A6" s="3191" t="s">
        <v>3080</v>
      </c>
      <c r="B6" s="3191" t="s">
        <v>3000</v>
      </c>
      <c r="C6" s="3191" t="s">
        <v>3059</v>
      </c>
      <c r="D6" s="3191" t="s">
        <v>3080</v>
      </c>
      <c r="E6" s="3191" t="s">
        <v>3060</v>
      </c>
      <c r="F6" s="3191" t="s">
        <v>3072</v>
      </c>
      <c r="G6" s="3191">
        <v>36794.94</v>
      </c>
      <c r="H6" s="3191">
        <v>91987.35</v>
      </c>
      <c r="I6" s="3191" t="s">
        <v>3062</v>
      </c>
      <c r="J6" s="3191" t="s">
        <v>3081</v>
      </c>
      <c r="K6" s="3191" t="s">
        <v>3081</v>
      </c>
      <c r="L6" s="3191" t="s">
        <v>3082</v>
      </c>
      <c r="M6" s="3191">
        <v>31400</v>
      </c>
      <c r="N6" s="3191">
        <v>34200</v>
      </c>
      <c r="O6" s="3191">
        <v>3717.9</v>
      </c>
      <c r="P6" s="3191">
        <v>8.92</v>
      </c>
      <c r="Q6" s="3191" t="s">
        <v>3065</v>
      </c>
      <c r="R6" s="3191" t="s">
        <v>3066</v>
      </c>
      <c r="S6" s="3192">
        <f t="shared" si="0"/>
        <v>9294.7562898594206</v>
      </c>
    </row>
    <row r="7" spans="1:19" s="3188" customFormat="1">
      <c r="A7" s="3188" t="s">
        <v>3083</v>
      </c>
      <c r="B7" s="3188" t="s">
        <v>3000</v>
      </c>
      <c r="C7" s="3188" t="s">
        <v>3059</v>
      </c>
      <c r="D7" s="3188" t="s">
        <v>3083</v>
      </c>
      <c r="E7" s="3188" t="s">
        <v>3060</v>
      </c>
      <c r="F7" s="3188" t="s">
        <v>3072</v>
      </c>
      <c r="G7" s="3188">
        <v>23001.87</v>
      </c>
      <c r="H7" s="3188">
        <v>57504.68</v>
      </c>
      <c r="I7" s="3188" t="s">
        <v>3062</v>
      </c>
      <c r="J7" s="3188" t="s">
        <v>3084</v>
      </c>
      <c r="K7" s="3188" t="s">
        <v>3084</v>
      </c>
      <c r="L7" s="3188" t="s">
        <v>3085</v>
      </c>
      <c r="M7" s="3188">
        <v>11500</v>
      </c>
      <c r="N7" s="3188">
        <v>20100</v>
      </c>
      <c r="O7" s="3188">
        <v>3495.36</v>
      </c>
      <c r="P7" s="3188">
        <v>74.78</v>
      </c>
      <c r="Q7" s="3188" t="s">
        <v>3065</v>
      </c>
      <c r="R7" s="3188" t="s">
        <v>3066</v>
      </c>
      <c r="S7" s="3192">
        <f t="shared" si="0"/>
        <v>8738.4199632464661</v>
      </c>
    </row>
    <row r="8" spans="1:19" s="3188" customFormat="1">
      <c r="A8" s="3188" t="s">
        <v>3086</v>
      </c>
      <c r="B8" s="3188" t="s">
        <v>3000</v>
      </c>
      <c r="C8" s="3188" t="s">
        <v>3087</v>
      </c>
      <c r="D8" s="3188" t="s">
        <v>3086</v>
      </c>
      <c r="E8" s="3188" t="s">
        <v>3060</v>
      </c>
      <c r="F8" s="3188" t="s">
        <v>3088</v>
      </c>
      <c r="G8" s="3188">
        <v>87163.82</v>
      </c>
      <c r="H8" s="3188">
        <v>217909.5</v>
      </c>
      <c r="I8" s="3188" t="s">
        <v>3089</v>
      </c>
      <c r="J8" s="3188" t="s">
        <v>3090</v>
      </c>
      <c r="K8" s="3188" t="s">
        <v>3090</v>
      </c>
      <c r="L8" s="3188" t="s">
        <v>3091</v>
      </c>
      <c r="M8" s="3188">
        <v>35700</v>
      </c>
      <c r="N8" s="3188">
        <v>67600</v>
      </c>
      <c r="O8" s="3188">
        <v>3102.21</v>
      </c>
      <c r="P8" s="3188">
        <v>89.36</v>
      </c>
      <c r="Q8" s="3188" t="s">
        <v>3092</v>
      </c>
      <c r="R8" s="3188" t="s">
        <v>3066</v>
      </c>
      <c r="S8" s="3192">
        <f t="shared" si="0"/>
        <v>7755.5114036993782</v>
      </c>
    </row>
    <row r="9" spans="1:19" s="3191" customFormat="1">
      <c r="A9" s="3191" t="s">
        <v>3093</v>
      </c>
      <c r="B9" s="3191" t="s">
        <v>3000</v>
      </c>
      <c r="C9" s="3191" t="s">
        <v>3087</v>
      </c>
      <c r="D9" s="3191" t="s">
        <v>3093</v>
      </c>
      <c r="E9" s="3191" t="s">
        <v>3060</v>
      </c>
      <c r="F9" s="3191" t="s">
        <v>3094</v>
      </c>
      <c r="G9" s="3191">
        <v>197351.9</v>
      </c>
      <c r="H9" s="3191">
        <v>493379.8</v>
      </c>
      <c r="I9" s="3191" t="s">
        <v>3095</v>
      </c>
      <c r="J9" s="3191" t="s">
        <v>3096</v>
      </c>
      <c r="K9" s="3191" t="s">
        <v>3096</v>
      </c>
      <c r="L9" s="3191" t="s">
        <v>3082</v>
      </c>
      <c r="M9" s="3191">
        <v>65150</v>
      </c>
      <c r="N9" s="3191">
        <v>103250</v>
      </c>
      <c r="O9" s="3191">
        <v>2092.71</v>
      </c>
      <c r="P9" s="3191">
        <v>58.48</v>
      </c>
      <c r="Q9" s="3191" t="s">
        <v>3097</v>
      </c>
      <c r="R9" s="3191" t="s">
        <v>3066</v>
      </c>
      <c r="S9" s="3192">
        <f t="shared" si="0"/>
        <v>5231.7712674668956</v>
      </c>
    </row>
    <row r="10" spans="1:19" s="3191" customFormat="1">
      <c r="A10" s="3191" t="s">
        <v>3098</v>
      </c>
      <c r="B10" s="3191" t="s">
        <v>3000</v>
      </c>
      <c r="C10" s="3191" t="s">
        <v>3087</v>
      </c>
      <c r="D10" s="3191" t="s">
        <v>3098</v>
      </c>
      <c r="E10" s="3191" t="s">
        <v>3060</v>
      </c>
      <c r="F10" s="3191" t="s">
        <v>3099</v>
      </c>
      <c r="G10" s="3191">
        <v>12252.73</v>
      </c>
      <c r="H10" s="3191">
        <v>31857.1</v>
      </c>
      <c r="I10" s="3191" t="s">
        <v>3100</v>
      </c>
      <c r="J10" s="3191" t="s">
        <v>3101</v>
      </c>
      <c r="K10" s="3191" t="s">
        <v>3101</v>
      </c>
      <c r="L10" s="3191" t="s">
        <v>3079</v>
      </c>
      <c r="M10" s="3191">
        <v>8960</v>
      </c>
      <c r="N10" s="3191">
        <v>8960</v>
      </c>
      <c r="O10" s="3191">
        <v>2812.55</v>
      </c>
      <c r="P10" s="3191">
        <v>0</v>
      </c>
      <c r="Q10" s="3191" t="s">
        <v>3102</v>
      </c>
      <c r="R10" s="3191" t="s">
        <v>3066</v>
      </c>
      <c r="S10" s="3192">
        <f t="shared" si="0"/>
        <v>7312.6560366546883</v>
      </c>
    </row>
    <row r="11" spans="1:19" s="3188" customFormat="1">
      <c r="A11" s="3188" t="s">
        <v>3103</v>
      </c>
      <c r="B11" s="3188" t="s">
        <v>3000</v>
      </c>
      <c r="C11" s="3188" t="s">
        <v>3087</v>
      </c>
      <c r="D11" s="3188" t="s">
        <v>3103</v>
      </c>
      <c r="E11" s="3188" t="s">
        <v>3060</v>
      </c>
      <c r="F11" s="3188" t="s">
        <v>3104</v>
      </c>
      <c r="G11" s="3188">
        <v>48369.83</v>
      </c>
      <c r="H11" s="3188">
        <v>120924.6</v>
      </c>
      <c r="I11" s="3188" t="s">
        <v>3105</v>
      </c>
      <c r="J11" s="3188" t="s">
        <v>3101</v>
      </c>
      <c r="K11" s="3188" t="s">
        <v>3101</v>
      </c>
      <c r="L11" s="3188" t="s">
        <v>3106</v>
      </c>
      <c r="M11" s="3188">
        <v>15300</v>
      </c>
      <c r="N11" s="3188">
        <v>41200</v>
      </c>
      <c r="O11" s="3188">
        <v>3407.07</v>
      </c>
      <c r="P11" s="3188">
        <v>169.28</v>
      </c>
      <c r="Q11" s="3188" t="s">
        <v>3092</v>
      </c>
      <c r="R11" s="3188" t="s">
        <v>3066</v>
      </c>
      <c r="S11" s="3192">
        <f t="shared" si="0"/>
        <v>8517.7061817252616</v>
      </c>
    </row>
    <row r="12" spans="1:19">
      <c r="A12" s="2895" t="s">
        <v>3107</v>
      </c>
      <c r="B12" s="2895" t="s">
        <v>3000</v>
      </c>
      <c r="C12" s="2895" t="s">
        <v>3087</v>
      </c>
      <c r="D12" s="2895" t="s">
        <v>3107</v>
      </c>
      <c r="E12" s="2895" t="s">
        <v>3060</v>
      </c>
      <c r="F12" s="2895" t="s">
        <v>3099</v>
      </c>
      <c r="G12" s="2895">
        <v>6413.34</v>
      </c>
      <c r="H12" s="2895">
        <v>14750.68</v>
      </c>
      <c r="I12" s="2895" t="s">
        <v>3108</v>
      </c>
      <c r="J12" s="2895" t="s">
        <v>3101</v>
      </c>
      <c r="K12" s="2895" t="s">
        <v>3101</v>
      </c>
      <c r="L12" s="2895" t="s">
        <v>3079</v>
      </c>
      <c r="M12" s="2895">
        <v>7600</v>
      </c>
      <c r="N12" s="2895">
        <v>7600</v>
      </c>
      <c r="O12" s="2895">
        <v>5152.3</v>
      </c>
      <c r="P12" s="2895">
        <v>0</v>
      </c>
      <c r="Q12" s="2895" t="s">
        <v>3102</v>
      </c>
      <c r="R12" s="2895" t="s">
        <v>3066</v>
      </c>
      <c r="S12" s="3192">
        <f t="shared" si="0"/>
        <v>11850.299531913168</v>
      </c>
    </row>
    <row r="13" spans="1:19">
      <c r="A13" s="2895" t="s">
        <v>3109</v>
      </c>
      <c r="B13" s="2895" t="s">
        <v>3000</v>
      </c>
      <c r="C13" s="2895" t="s">
        <v>3059</v>
      </c>
      <c r="D13" s="2895" t="s">
        <v>3109</v>
      </c>
      <c r="E13" s="2895" t="s">
        <v>3060</v>
      </c>
      <c r="F13" s="2895" t="s">
        <v>3072</v>
      </c>
      <c r="G13" s="2895">
        <v>34817.64</v>
      </c>
      <c r="H13" s="2895">
        <v>94007.63</v>
      </c>
      <c r="I13" s="2895" t="s">
        <v>3110</v>
      </c>
      <c r="J13" s="2895" t="s">
        <v>3111</v>
      </c>
      <c r="K13" s="2895" t="s">
        <v>3111</v>
      </c>
      <c r="L13" s="2895" t="s">
        <v>3112</v>
      </c>
      <c r="M13" s="2895">
        <v>13300</v>
      </c>
      <c r="N13" s="2895">
        <v>36200</v>
      </c>
      <c r="O13" s="2895">
        <v>3850.75</v>
      </c>
      <c r="P13" s="2895">
        <v>172.18</v>
      </c>
      <c r="Q13" s="2895" t="s">
        <v>3065</v>
      </c>
      <c r="R13" s="2895" t="s">
        <v>3066</v>
      </c>
      <c r="S13" s="3192">
        <f t="shared" si="0"/>
        <v>10397.028632612664</v>
      </c>
    </row>
    <row r="14" spans="1:19">
      <c r="A14" s="2895" t="s">
        <v>3113</v>
      </c>
      <c r="B14" s="2895" t="s">
        <v>3000</v>
      </c>
      <c r="C14" s="2895" t="s">
        <v>3059</v>
      </c>
      <c r="D14" s="2895" t="s">
        <v>3113</v>
      </c>
      <c r="E14" s="2895" t="s">
        <v>3060</v>
      </c>
      <c r="F14" s="2895" t="s">
        <v>3114</v>
      </c>
      <c r="G14" s="2895">
        <v>27189.54</v>
      </c>
      <c r="H14" s="2895">
        <v>81568.62</v>
      </c>
      <c r="I14" s="2895" t="s">
        <v>3115</v>
      </c>
      <c r="J14" s="2895" t="s">
        <v>3111</v>
      </c>
      <c r="K14" s="2895" t="s">
        <v>3111</v>
      </c>
      <c r="L14" s="2895" t="s">
        <v>3116</v>
      </c>
      <c r="M14" s="2895">
        <v>16130</v>
      </c>
      <c r="N14" s="2895">
        <v>35800</v>
      </c>
      <c r="O14" s="2895">
        <v>4388.93</v>
      </c>
      <c r="P14" s="2895">
        <v>121.95</v>
      </c>
      <c r="Q14" s="2895" t="s">
        <v>3065</v>
      </c>
      <c r="R14" s="2895" t="s">
        <v>3066</v>
      </c>
      <c r="S14" s="3192">
        <f t="shared" si="0"/>
        <v>13166.82812581603</v>
      </c>
    </row>
    <row r="15" spans="1:19">
      <c r="A15" s="2895" t="s">
        <v>3117</v>
      </c>
      <c r="B15" s="2895" t="s">
        <v>3000</v>
      </c>
      <c r="C15" s="2895" t="s">
        <v>3059</v>
      </c>
      <c r="D15" s="2895" t="s">
        <v>3117</v>
      </c>
      <c r="E15" s="2895" t="s">
        <v>3060</v>
      </c>
      <c r="F15" s="2895" t="s">
        <v>3114</v>
      </c>
      <c r="G15" s="2895">
        <v>8080.65</v>
      </c>
      <c r="H15" s="2895">
        <v>28282.28</v>
      </c>
      <c r="I15" s="2895" t="s">
        <v>3118</v>
      </c>
      <c r="J15" s="2895" t="s">
        <v>3119</v>
      </c>
      <c r="K15" s="2895" t="s">
        <v>3119</v>
      </c>
      <c r="L15" s="2895" t="s">
        <v>3120</v>
      </c>
      <c r="M15" s="2895">
        <v>9670</v>
      </c>
      <c r="N15" s="2895">
        <v>9670</v>
      </c>
      <c r="O15" s="2895">
        <v>3419.09</v>
      </c>
      <c r="P15" s="2895">
        <v>0</v>
      </c>
      <c r="Q15" s="2895" t="s">
        <v>3065</v>
      </c>
      <c r="R15" s="2895" t="s">
        <v>3066</v>
      </c>
      <c r="S15" s="3192">
        <f t="shared" si="0"/>
        <v>11966.859101681177</v>
      </c>
    </row>
    <row r="16" spans="1:19" s="3191" customFormat="1">
      <c r="A16" s="3191" t="s">
        <v>3121</v>
      </c>
      <c r="B16" s="3191" t="s">
        <v>3000</v>
      </c>
      <c r="C16" s="3191" t="s">
        <v>3087</v>
      </c>
      <c r="D16" s="3191" t="s">
        <v>3121</v>
      </c>
      <c r="E16" s="3191" t="s">
        <v>3060</v>
      </c>
      <c r="F16" s="3191" t="s">
        <v>3088</v>
      </c>
      <c r="G16" s="3191">
        <v>13651.08</v>
      </c>
      <c r="H16" s="3191">
        <v>40953.24</v>
      </c>
      <c r="I16" s="3191" t="s">
        <v>3122</v>
      </c>
      <c r="J16" s="3191" t="s">
        <v>3123</v>
      </c>
      <c r="K16" s="3191" t="s">
        <v>3123</v>
      </c>
      <c r="L16" s="3191" t="s">
        <v>3124</v>
      </c>
      <c r="M16" s="3191">
        <v>7380</v>
      </c>
      <c r="N16" s="3191">
        <v>9680</v>
      </c>
      <c r="O16" s="3191">
        <v>2363.67</v>
      </c>
      <c r="P16" s="3191">
        <v>31.17</v>
      </c>
      <c r="Q16" s="3191" t="s">
        <v>3125</v>
      </c>
      <c r="R16" s="3191" t="s">
        <v>3066</v>
      </c>
      <c r="S16" s="3192">
        <f t="shared" si="0"/>
        <v>7091.0140443100472</v>
      </c>
    </row>
    <row r="17" spans="1:19">
      <c r="A17" s="2895" t="s">
        <v>3126</v>
      </c>
      <c r="B17" s="2895" t="s">
        <v>3000</v>
      </c>
      <c r="C17" s="2895" t="s">
        <v>3087</v>
      </c>
      <c r="D17" s="2895" t="s">
        <v>3126</v>
      </c>
      <c r="E17" s="2895" t="s">
        <v>3060</v>
      </c>
      <c r="F17" s="2895" t="s">
        <v>3088</v>
      </c>
      <c r="G17" s="2895">
        <v>23878.29</v>
      </c>
      <c r="H17" s="2895">
        <v>54528.160000000003</v>
      </c>
      <c r="I17" s="2895" t="s">
        <v>3127</v>
      </c>
      <c r="J17" s="2895" t="s">
        <v>3128</v>
      </c>
      <c r="K17" s="2895" t="s">
        <v>3128</v>
      </c>
      <c r="L17" s="2895" t="s">
        <v>3129</v>
      </c>
      <c r="M17" s="2895">
        <v>10770</v>
      </c>
      <c r="N17" s="2895">
        <v>17170</v>
      </c>
      <c r="O17" s="2895">
        <v>3148.82</v>
      </c>
      <c r="P17" s="2895">
        <v>59.42</v>
      </c>
      <c r="Q17" s="2895" t="s">
        <v>3130</v>
      </c>
      <c r="R17" s="2895" t="s">
        <v>3066</v>
      </c>
      <c r="S17" s="3192">
        <f t="shared" si="0"/>
        <v>7190.6321600081073</v>
      </c>
    </row>
    <row r="18" spans="1:19" s="3191" customFormat="1">
      <c r="A18" s="3191" t="s">
        <v>3131</v>
      </c>
      <c r="B18" s="3191" t="s">
        <v>3000</v>
      </c>
      <c r="C18" s="3191" t="s">
        <v>3087</v>
      </c>
      <c r="D18" s="3191" t="s">
        <v>3131</v>
      </c>
      <c r="E18" s="3191" t="s">
        <v>3060</v>
      </c>
      <c r="F18" s="3191" t="s">
        <v>3088</v>
      </c>
      <c r="G18" s="3191">
        <v>26753.54</v>
      </c>
      <c r="H18" s="3191">
        <v>80260.62</v>
      </c>
      <c r="I18" s="3191" t="s">
        <v>3122</v>
      </c>
      <c r="J18" s="3191" t="s">
        <v>3132</v>
      </c>
      <c r="K18" s="3191" t="s">
        <v>3132</v>
      </c>
      <c r="L18" s="3191" t="s">
        <v>3124</v>
      </c>
      <c r="M18" s="3191">
        <v>15230</v>
      </c>
      <c r="N18" s="3191">
        <v>18700</v>
      </c>
      <c r="O18" s="3191">
        <v>2329.9</v>
      </c>
      <c r="P18" s="3191">
        <v>22.78</v>
      </c>
      <c r="Q18" s="3191" t="s">
        <v>3102</v>
      </c>
      <c r="R18" s="3191" t="s">
        <v>3066</v>
      </c>
      <c r="S18" s="3192">
        <f t="shared" si="0"/>
        <v>6989.7292096672063</v>
      </c>
    </row>
    <row r="19" spans="1:19">
      <c r="A19" s="2895" t="s">
        <v>3133</v>
      </c>
      <c r="B19" s="2895" t="s">
        <v>3000</v>
      </c>
      <c r="C19" s="2895" t="s">
        <v>3087</v>
      </c>
      <c r="D19" s="2895" t="s">
        <v>3133</v>
      </c>
      <c r="E19" s="2895" t="s">
        <v>3060</v>
      </c>
      <c r="F19" s="2895" t="s">
        <v>3088</v>
      </c>
      <c r="G19" s="2895">
        <v>5537.79</v>
      </c>
      <c r="H19" s="2895">
        <v>11075.58</v>
      </c>
      <c r="I19" s="2895" t="s">
        <v>3134</v>
      </c>
      <c r="J19" s="2895" t="s">
        <v>3132</v>
      </c>
      <c r="K19" s="2895" t="s">
        <v>3132</v>
      </c>
      <c r="L19" s="2895" t="s">
        <v>3135</v>
      </c>
      <c r="M19" s="2895">
        <v>1350</v>
      </c>
      <c r="N19" s="2895">
        <v>1350</v>
      </c>
      <c r="O19" s="2895">
        <v>1218.9000000000001</v>
      </c>
      <c r="P19" s="2895">
        <v>0</v>
      </c>
      <c r="Q19" s="2895" t="s">
        <v>3102</v>
      </c>
      <c r="R19" s="2895" t="s">
        <v>3066</v>
      </c>
      <c r="S19" s="3192">
        <f t="shared" si="0"/>
        <v>2437.7955827144042</v>
      </c>
    </row>
    <row r="20" spans="1:19">
      <c r="A20" s="2895" t="s">
        <v>3136</v>
      </c>
      <c r="B20" s="2895" t="s">
        <v>3000</v>
      </c>
      <c r="C20" s="2895" t="s">
        <v>3087</v>
      </c>
      <c r="D20" s="2895" t="s">
        <v>3136</v>
      </c>
      <c r="E20" s="2895" t="s">
        <v>3060</v>
      </c>
      <c r="F20" s="2895" t="s">
        <v>3137</v>
      </c>
      <c r="G20" s="2895">
        <v>53375.11</v>
      </c>
      <c r="H20" s="2895">
        <v>208162.9</v>
      </c>
      <c r="I20" s="2895" t="s">
        <v>3138</v>
      </c>
      <c r="J20" s="2895" t="s">
        <v>3139</v>
      </c>
      <c r="K20" s="2895" t="s">
        <v>3139</v>
      </c>
      <c r="L20" s="2895" t="s">
        <v>3082</v>
      </c>
      <c r="M20" s="2895">
        <v>22500</v>
      </c>
      <c r="N20" s="2895">
        <v>22500</v>
      </c>
      <c r="O20" s="2895">
        <v>1080.8800000000001</v>
      </c>
      <c r="P20" s="2895">
        <v>0</v>
      </c>
      <c r="Q20" s="2895" t="s">
        <v>3125</v>
      </c>
      <c r="R20" s="2895" t="s">
        <v>3066</v>
      </c>
      <c r="S20" s="3192">
        <f t="shared" si="0"/>
        <v>4215.4479868987619</v>
      </c>
    </row>
    <row r="21" spans="1:19">
      <c r="A21" s="2895" t="s">
        <v>3140</v>
      </c>
      <c r="B21" s="2895" t="s">
        <v>3000</v>
      </c>
      <c r="C21" s="2895" t="s">
        <v>3087</v>
      </c>
      <c r="D21" s="2895" t="s">
        <v>3140</v>
      </c>
      <c r="E21" s="2895" t="s">
        <v>3060</v>
      </c>
      <c r="F21" s="2895" t="s">
        <v>3141</v>
      </c>
      <c r="G21" s="2895">
        <v>55034.53</v>
      </c>
      <c r="H21" s="2895">
        <v>192620.79999999999</v>
      </c>
      <c r="I21" s="2895" t="s">
        <v>3142</v>
      </c>
      <c r="J21" s="2895" t="s">
        <v>3143</v>
      </c>
      <c r="K21" s="2895" t="s">
        <v>3143</v>
      </c>
      <c r="L21" s="2895" t="s">
        <v>3079</v>
      </c>
      <c r="M21" s="2895">
        <v>38820</v>
      </c>
      <c r="N21" s="2895">
        <v>52120</v>
      </c>
      <c r="O21" s="2895">
        <v>2705.82</v>
      </c>
      <c r="P21" s="2895">
        <v>34.26</v>
      </c>
      <c r="Q21" s="2895" t="s">
        <v>3144</v>
      </c>
      <c r="R21" s="2895" t="s">
        <v>3066</v>
      </c>
      <c r="S21" s="3192">
        <f t="shared" si="0"/>
        <v>9470.4179357941284</v>
      </c>
    </row>
    <row r="22" spans="1:19">
      <c r="A22" s="2895" t="s">
        <v>3145</v>
      </c>
      <c r="B22" s="2895" t="s">
        <v>3000</v>
      </c>
      <c r="C22" s="2895" t="s">
        <v>3059</v>
      </c>
      <c r="D22" s="2895" t="s">
        <v>3145</v>
      </c>
      <c r="E22" s="2895" t="s">
        <v>3060</v>
      </c>
      <c r="F22" s="2895" t="s">
        <v>3072</v>
      </c>
      <c r="G22" s="2895">
        <v>116332.7</v>
      </c>
      <c r="H22" s="2895">
        <v>407164.4</v>
      </c>
      <c r="I22" s="2895" t="s">
        <v>3146</v>
      </c>
      <c r="J22" s="2895" t="s">
        <v>3147</v>
      </c>
      <c r="K22" s="2895" t="s">
        <v>3147</v>
      </c>
      <c r="L22" s="2895" t="s">
        <v>3106</v>
      </c>
      <c r="M22" s="2895">
        <v>32580</v>
      </c>
      <c r="N22" s="2895">
        <v>32580</v>
      </c>
      <c r="O22" s="2895">
        <v>800.16</v>
      </c>
      <c r="P22" s="2895">
        <v>0</v>
      </c>
      <c r="Q22" s="2895" t="s">
        <v>3065</v>
      </c>
      <c r="R22" s="2895" t="s">
        <v>3066</v>
      </c>
      <c r="S22" s="3192">
        <f t="shared" si="0"/>
        <v>2800.5883126584358</v>
      </c>
    </row>
    <row r="23" spans="1:19">
      <c r="A23" s="2895" t="s">
        <v>3148</v>
      </c>
      <c r="B23" s="2895" t="s">
        <v>3000</v>
      </c>
      <c r="C23" s="2895" t="s">
        <v>3087</v>
      </c>
      <c r="D23" s="2895" t="s">
        <v>3148</v>
      </c>
      <c r="E23" s="2895" t="s">
        <v>3060</v>
      </c>
      <c r="F23" s="2895" t="s">
        <v>3149</v>
      </c>
      <c r="G23" s="2895">
        <v>99672.11</v>
      </c>
      <c r="H23" s="2895">
        <v>252211.3</v>
      </c>
      <c r="I23" s="2895" t="s">
        <v>3150</v>
      </c>
      <c r="J23" s="2895" t="s">
        <v>3151</v>
      </c>
      <c r="K23" s="2895" t="s">
        <v>3151</v>
      </c>
      <c r="L23" s="2895" t="s">
        <v>3152</v>
      </c>
      <c r="M23" s="2895">
        <v>46660</v>
      </c>
      <c r="N23" s="2895">
        <v>46760</v>
      </c>
      <c r="O23" s="2895">
        <v>1854</v>
      </c>
      <c r="P23" s="2895">
        <v>0.21</v>
      </c>
      <c r="Q23" s="2895" t="s">
        <v>3153</v>
      </c>
      <c r="R23" s="2895" t="s">
        <v>3066</v>
      </c>
      <c r="S23" s="3192">
        <f t="shared" si="0"/>
        <v>4691.3825743229472</v>
      </c>
    </row>
    <row r="24" spans="1:19">
      <c r="A24" s="2895" t="s">
        <v>3154</v>
      </c>
      <c r="B24" s="2895" t="s">
        <v>3000</v>
      </c>
      <c r="C24" s="2895" t="s">
        <v>3087</v>
      </c>
      <c r="D24" s="2895" t="s">
        <v>3154</v>
      </c>
      <c r="E24" s="2895" t="s">
        <v>3060</v>
      </c>
      <c r="F24" s="2895" t="s">
        <v>3088</v>
      </c>
      <c r="G24" s="2895">
        <v>6839.36</v>
      </c>
      <c r="H24" s="2895">
        <v>26673.5</v>
      </c>
      <c r="I24" s="2895" t="s">
        <v>3155</v>
      </c>
      <c r="J24" s="2895" t="s">
        <v>3156</v>
      </c>
      <c r="K24" s="2895" t="s">
        <v>3156</v>
      </c>
      <c r="L24" s="2895" t="s">
        <v>3157</v>
      </c>
      <c r="M24" s="2895">
        <v>2700</v>
      </c>
      <c r="N24" s="2895">
        <v>2700</v>
      </c>
      <c r="O24" s="2895">
        <v>1012.24</v>
      </c>
      <c r="P24" s="2895">
        <v>0</v>
      </c>
      <c r="Q24" s="2895" t="s">
        <v>3097</v>
      </c>
      <c r="R24" s="2895" t="s">
        <v>3066</v>
      </c>
      <c r="S24" s="3192">
        <f t="shared" si="0"/>
        <v>3947.7378000280728</v>
      </c>
    </row>
    <row r="25" spans="1:19">
      <c r="A25" s="2895" t="s">
        <v>3158</v>
      </c>
      <c r="B25" s="2895" t="s">
        <v>3000</v>
      </c>
      <c r="C25" s="2895" t="s">
        <v>3087</v>
      </c>
      <c r="D25" s="2895" t="s">
        <v>3158</v>
      </c>
      <c r="E25" s="2895" t="s">
        <v>3060</v>
      </c>
      <c r="F25" s="2895" t="s">
        <v>3159</v>
      </c>
      <c r="G25" s="2895">
        <v>9175.56</v>
      </c>
      <c r="H25" s="2895">
        <v>27526.68</v>
      </c>
      <c r="I25" s="2895" t="s">
        <v>3160</v>
      </c>
      <c r="J25" s="2895" t="s">
        <v>3161</v>
      </c>
      <c r="K25" s="2895" t="s">
        <v>3161</v>
      </c>
      <c r="L25" s="2895" t="s">
        <v>3157</v>
      </c>
      <c r="M25" s="2895">
        <v>5810</v>
      </c>
      <c r="N25" s="2895">
        <v>5810</v>
      </c>
      <c r="O25" s="2895">
        <v>2110.67</v>
      </c>
      <c r="P25" s="2895">
        <v>0</v>
      </c>
      <c r="Q25" s="2895" t="s">
        <v>3097</v>
      </c>
      <c r="R25" s="2895" t="s">
        <v>3066</v>
      </c>
      <c r="S25" s="3192">
        <f t="shared" si="0"/>
        <v>6332.0385894702886</v>
      </c>
    </row>
    <row r="26" spans="1:19">
      <c r="A26" s="2895" t="s">
        <v>3162</v>
      </c>
      <c r="B26" s="2895" t="s">
        <v>3000</v>
      </c>
      <c r="C26" s="2895" t="s">
        <v>3059</v>
      </c>
      <c r="D26" s="2895" t="s">
        <v>3162</v>
      </c>
      <c r="E26" s="2895" t="s">
        <v>3060</v>
      </c>
      <c r="F26" s="2895" t="s">
        <v>3072</v>
      </c>
      <c r="G26" s="2895">
        <v>67110.12</v>
      </c>
      <c r="H26" s="2895">
        <v>234885.4</v>
      </c>
      <c r="I26" s="2895" t="s">
        <v>3146</v>
      </c>
      <c r="J26" s="2895" t="s">
        <v>3163</v>
      </c>
      <c r="K26" s="2895" t="s">
        <v>3163</v>
      </c>
      <c r="L26" s="2895" t="s">
        <v>3164</v>
      </c>
      <c r="M26" s="2895">
        <v>40770</v>
      </c>
      <c r="N26" s="2895">
        <v>40770</v>
      </c>
      <c r="O26" s="2895">
        <v>1735.74</v>
      </c>
      <c r="P26" s="2895">
        <v>0</v>
      </c>
      <c r="Q26" s="2895" t="s">
        <v>3065</v>
      </c>
      <c r="R26" s="2895" t="s">
        <v>3066</v>
      </c>
      <c r="S26" s="3192">
        <f t="shared" si="0"/>
        <v>6075.0897182123954</v>
      </c>
    </row>
    <row r="27" spans="1:19">
      <c r="A27" s="2895" t="s">
        <v>3165</v>
      </c>
      <c r="B27" s="2895" t="s">
        <v>3000</v>
      </c>
      <c r="C27" s="2895" t="s">
        <v>3087</v>
      </c>
      <c r="D27" s="2895" t="s">
        <v>3165</v>
      </c>
      <c r="E27" s="2895" t="s">
        <v>3060</v>
      </c>
      <c r="F27" s="2895" t="s">
        <v>3166</v>
      </c>
      <c r="G27" s="2895">
        <v>41794.949999999997</v>
      </c>
      <c r="H27" s="2895">
        <v>234051.7</v>
      </c>
      <c r="I27" s="2895" t="s">
        <v>3167</v>
      </c>
      <c r="J27" s="2895" t="s">
        <v>3168</v>
      </c>
      <c r="K27" s="2895" t="s">
        <v>3168</v>
      </c>
      <c r="L27" s="2895" t="s">
        <v>3069</v>
      </c>
      <c r="M27" s="2895">
        <v>40910</v>
      </c>
      <c r="N27" s="2895">
        <v>40910</v>
      </c>
      <c r="O27" s="2895">
        <v>1747.9</v>
      </c>
      <c r="P27" s="2895">
        <v>0</v>
      </c>
      <c r="Q27" s="2895" t="s">
        <v>3169</v>
      </c>
      <c r="R27" s="2895" t="s">
        <v>3066</v>
      </c>
      <c r="S27" s="3192">
        <f t="shared" si="0"/>
        <v>9788.2638931258443</v>
      </c>
    </row>
    <row r="28" spans="1:19">
      <c r="A28" s="2895" t="s">
        <v>3170</v>
      </c>
      <c r="B28" s="2895" t="s">
        <v>3000</v>
      </c>
      <c r="C28" s="2895" t="s">
        <v>3087</v>
      </c>
      <c r="D28" s="2895" t="s">
        <v>3170</v>
      </c>
      <c r="E28" s="2895" t="s">
        <v>3060</v>
      </c>
      <c r="F28" s="2895" t="s">
        <v>3171</v>
      </c>
      <c r="G28" s="2895">
        <v>14960.41</v>
      </c>
      <c r="H28" s="2895">
        <v>76298.09</v>
      </c>
      <c r="I28" s="2895" t="s">
        <v>3172</v>
      </c>
      <c r="J28" s="2895" t="s">
        <v>3173</v>
      </c>
      <c r="K28" s="2895" t="s">
        <v>3173</v>
      </c>
      <c r="L28" s="2895" t="s">
        <v>3079</v>
      </c>
      <c r="M28" s="2895">
        <v>17100</v>
      </c>
      <c r="N28" s="2895">
        <v>17100</v>
      </c>
      <c r="O28" s="2895">
        <v>2241.21</v>
      </c>
      <c r="P28" s="2895">
        <v>0</v>
      </c>
      <c r="Q28" s="2895" t="s">
        <v>3144</v>
      </c>
      <c r="R28" s="2895" t="s">
        <v>3066</v>
      </c>
      <c r="S28" s="3192">
        <f t="shared" si="0"/>
        <v>11430.168023469945</v>
      </c>
    </row>
    <row r="29" spans="1:19">
      <c r="A29" s="2895" t="s">
        <v>3174</v>
      </c>
      <c r="B29" s="2895" t="s">
        <v>3000</v>
      </c>
      <c r="C29" s="2895" t="s">
        <v>3059</v>
      </c>
      <c r="D29" s="2895" t="s">
        <v>3175</v>
      </c>
      <c r="E29" s="2895" t="s">
        <v>3060</v>
      </c>
      <c r="F29" s="2895" t="s">
        <v>3072</v>
      </c>
      <c r="G29" s="2895">
        <v>70759.16</v>
      </c>
      <c r="H29" s="2895">
        <v>283036.59999999998</v>
      </c>
      <c r="I29" s="2895" t="s">
        <v>3176</v>
      </c>
      <c r="J29" s="2895" t="s">
        <v>3177</v>
      </c>
      <c r="K29" s="2895" t="s">
        <v>3177</v>
      </c>
      <c r="L29" s="2895" t="s">
        <v>3178</v>
      </c>
      <c r="M29" s="2895">
        <v>25260</v>
      </c>
      <c r="N29" s="2895">
        <v>25260</v>
      </c>
      <c r="O29" s="2895">
        <v>892.46</v>
      </c>
      <c r="P29" s="2895">
        <v>0</v>
      </c>
      <c r="Q29" s="2895" t="s">
        <v>3065</v>
      </c>
      <c r="R29" s="2895" t="s">
        <v>3066</v>
      </c>
      <c r="S29" s="3192">
        <f t="shared" si="0"/>
        <v>3569.8558320929756</v>
      </c>
    </row>
    <row r="30" spans="1:19">
      <c r="A30" s="2895" t="s">
        <v>3179</v>
      </c>
      <c r="B30" s="2895" t="s">
        <v>3000</v>
      </c>
      <c r="C30" s="2895" t="s">
        <v>3059</v>
      </c>
      <c r="D30" s="2895" t="s">
        <v>3180</v>
      </c>
      <c r="E30" s="2895" t="s">
        <v>3060</v>
      </c>
      <c r="F30" s="2895" t="s">
        <v>3061</v>
      </c>
      <c r="G30" s="2895">
        <v>6707.13</v>
      </c>
      <c r="H30" s="2895">
        <v>20121.39</v>
      </c>
      <c r="I30" s="2895" t="s">
        <v>3181</v>
      </c>
      <c r="J30" s="2895" t="s">
        <v>3182</v>
      </c>
      <c r="K30" s="2895" t="s">
        <v>3182</v>
      </c>
      <c r="L30" s="2895" t="s">
        <v>3164</v>
      </c>
      <c r="M30" s="2895">
        <v>4820</v>
      </c>
      <c r="N30" s="2895">
        <v>4820</v>
      </c>
      <c r="O30" s="2895">
        <v>2395.46</v>
      </c>
      <c r="P30" s="2895">
        <v>0</v>
      </c>
      <c r="Q30" s="2895" t="s">
        <v>3065</v>
      </c>
      <c r="R30" s="2895" t="s">
        <v>3066</v>
      </c>
      <c r="S30" s="3192">
        <f t="shared" si="0"/>
        <v>7186.382252915927</v>
      </c>
    </row>
    <row r="31" spans="1:19">
      <c r="A31" s="2895" t="s">
        <v>3183</v>
      </c>
      <c r="B31" s="2895" t="s">
        <v>3000</v>
      </c>
      <c r="C31" s="2895" t="s">
        <v>3059</v>
      </c>
      <c r="D31" s="2895" t="s">
        <v>3184</v>
      </c>
      <c r="E31" s="2895" t="s">
        <v>3060</v>
      </c>
      <c r="F31" s="2895" t="s">
        <v>3061</v>
      </c>
      <c r="G31" s="2895">
        <v>67772.100000000006</v>
      </c>
      <c r="H31" s="2895">
        <v>155875.79999999999</v>
      </c>
      <c r="I31" s="2895" t="s">
        <v>3185</v>
      </c>
      <c r="J31" s="2895" t="s">
        <v>3186</v>
      </c>
      <c r="K31" s="2895" t="s">
        <v>3186</v>
      </c>
      <c r="L31" s="2895" t="s">
        <v>3187</v>
      </c>
      <c r="M31" s="2895">
        <v>10790</v>
      </c>
      <c r="N31" s="2895">
        <v>10790</v>
      </c>
      <c r="O31" s="2895">
        <v>692.22</v>
      </c>
      <c r="P31" s="2895">
        <v>0</v>
      </c>
      <c r="Q31" s="2895" t="s">
        <v>3065</v>
      </c>
      <c r="R31" s="2895" t="s">
        <v>3066</v>
      </c>
      <c r="S31" s="3192">
        <f t="shared" si="0"/>
        <v>1592.1005841636897</v>
      </c>
    </row>
    <row r="32" spans="1:19">
      <c r="A32" s="2895" t="s">
        <v>3188</v>
      </c>
      <c r="B32" s="2895" t="s">
        <v>3000</v>
      </c>
      <c r="C32" s="2895" t="s">
        <v>3059</v>
      </c>
      <c r="D32" s="2895" t="s">
        <v>3189</v>
      </c>
      <c r="E32" s="2895" t="s">
        <v>3060</v>
      </c>
      <c r="F32" s="2895" t="s">
        <v>3114</v>
      </c>
      <c r="G32" s="2895">
        <v>19850.18</v>
      </c>
      <c r="H32" s="2895">
        <v>49625.45</v>
      </c>
      <c r="I32" s="2895" t="s">
        <v>3190</v>
      </c>
      <c r="J32" s="2895" t="s">
        <v>3191</v>
      </c>
      <c r="K32" s="2895" t="s">
        <v>3191</v>
      </c>
      <c r="L32" s="2895" t="s">
        <v>3192</v>
      </c>
      <c r="M32" s="2895">
        <v>4700</v>
      </c>
      <c r="N32" s="2895">
        <v>10000</v>
      </c>
      <c r="O32" s="2895">
        <v>2015.09</v>
      </c>
      <c r="P32" s="2895">
        <v>112.77</v>
      </c>
      <c r="Q32" s="2895" t="s">
        <v>3065</v>
      </c>
      <c r="R32" s="2895" t="s">
        <v>3066</v>
      </c>
      <c r="S32" s="3192">
        <f t="shared" si="0"/>
        <v>5037.7376930587025</v>
      </c>
    </row>
    <row r="33" spans="1:19">
      <c r="A33" s="2895" t="s">
        <v>3193</v>
      </c>
      <c r="B33" s="2895" t="s">
        <v>3000</v>
      </c>
      <c r="C33" s="2895" t="s">
        <v>3087</v>
      </c>
      <c r="D33" s="2895" t="s">
        <v>3193</v>
      </c>
      <c r="E33" s="2895" t="s">
        <v>3060</v>
      </c>
      <c r="F33" s="2895" t="s">
        <v>3194</v>
      </c>
      <c r="G33" s="2895">
        <v>12577.98</v>
      </c>
      <c r="H33" s="2895">
        <v>37733.94</v>
      </c>
      <c r="I33" s="2895" t="s">
        <v>3195</v>
      </c>
      <c r="J33" s="2895" t="s">
        <v>3196</v>
      </c>
      <c r="K33" s="2895" t="s">
        <v>3196</v>
      </c>
      <c r="L33" s="2895" t="s">
        <v>3197</v>
      </c>
      <c r="M33" s="2895">
        <v>2290</v>
      </c>
      <c r="N33" s="2895">
        <v>2290</v>
      </c>
      <c r="O33" s="2895">
        <v>606.87</v>
      </c>
      <c r="P33" s="2895">
        <v>0</v>
      </c>
      <c r="Q33" s="2895" t="s">
        <v>3198</v>
      </c>
      <c r="R33" s="2895" t="s">
        <v>3066</v>
      </c>
      <c r="S33" s="3192">
        <f t="shared" si="0"/>
        <v>1820.6421062841571</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0" t="s">
        <v>2038</v>
      </c>
      <c r="B1" s="3200"/>
      <c r="C1" s="3200"/>
      <c r="D1" s="3200"/>
      <c r="E1" s="3200"/>
      <c r="F1" s="3200"/>
      <c r="G1" s="3200"/>
      <c r="H1" s="3200"/>
      <c r="I1" s="3200"/>
      <c r="J1" s="3200"/>
      <c r="K1" s="3200"/>
      <c r="L1" s="3200"/>
      <c r="M1" s="3200"/>
      <c r="N1" s="3200"/>
      <c r="O1" s="3200"/>
      <c r="P1" s="3200"/>
      <c r="Q1" s="3200"/>
      <c r="R1" s="3200"/>
    </row>
    <row r="2" spans="1:18">
      <c r="A2" s="1793" t="s">
        <v>2040</v>
      </c>
      <c r="B2" s="1793"/>
      <c r="C2" s="1793"/>
      <c r="D2" s="1793"/>
      <c r="E2" s="1793"/>
      <c r="F2" s="1793"/>
      <c r="G2" s="1793"/>
      <c r="H2" s="1793"/>
      <c r="I2" s="1794"/>
      <c r="J2" s="1794"/>
      <c r="K2" s="1795" t="str">
        <f>"估价期日："&amp;TEXT(项目基本情况!D3,"yyyy年m月d日;;")</f>
        <v>估价期日：2019年8月21日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01" t="s">
        <v>2029</v>
      </c>
      <c r="B3" s="3201" t="s">
        <v>2730</v>
      </c>
      <c r="C3" s="3202" t="s">
        <v>2030</v>
      </c>
      <c r="D3" s="3201" t="s">
        <v>2734</v>
      </c>
      <c r="E3" s="3196" t="s">
        <v>2031</v>
      </c>
      <c r="F3" s="3196"/>
      <c r="G3" s="3196"/>
      <c r="H3" s="3196" t="s">
        <v>2032</v>
      </c>
      <c r="I3" s="3196"/>
      <c r="J3" s="3196"/>
      <c r="K3" s="3202" t="s">
        <v>2033</v>
      </c>
      <c r="L3" s="3202" t="s">
        <v>2034</v>
      </c>
      <c r="M3" s="3201" t="s">
        <v>2731</v>
      </c>
      <c r="N3" s="3203" t="str">
        <f>"（分摊）"&amp;项目基本情况!B16&amp;"国有建设用地使用权面积/㎡"</f>
        <v>（分摊）出让国有建设用地使用权面积/㎡</v>
      </c>
      <c r="O3" s="3201" t="s">
        <v>2063</v>
      </c>
      <c r="P3" s="3202" t="s">
        <v>2043</v>
      </c>
      <c r="Q3" s="3202" t="s">
        <v>2064</v>
      </c>
      <c r="R3" s="3202" t="s">
        <v>2035</v>
      </c>
    </row>
    <row r="4" spans="1:18" ht="36.75" customHeight="1">
      <c r="A4" s="3201"/>
      <c r="B4" s="3201"/>
      <c r="C4" s="3202"/>
      <c r="D4" s="3201"/>
      <c r="E4" s="2614" t="s">
        <v>2042</v>
      </c>
      <c r="F4" s="2614" t="s">
        <v>2743</v>
      </c>
      <c r="G4" s="2614" t="s">
        <v>2036</v>
      </c>
      <c r="H4" s="2614" t="s">
        <v>2037</v>
      </c>
      <c r="I4" s="2614" t="s">
        <v>2744</v>
      </c>
      <c r="J4" s="2614" t="s">
        <v>2036</v>
      </c>
      <c r="K4" s="3202"/>
      <c r="L4" s="3202"/>
      <c r="M4" s="3201"/>
      <c r="N4" s="3203"/>
      <c r="O4" s="3201"/>
      <c r="P4" s="3202"/>
      <c r="Q4" s="3202"/>
      <c r="R4" s="3202"/>
    </row>
    <row r="5" spans="1:18" ht="135" customHeight="1">
      <c r="A5" s="1929" t="s">
        <v>2654</v>
      </c>
      <c r="B5" s="2823" t="s">
        <v>2652</v>
      </c>
      <c r="C5" s="2613">
        <v>22</v>
      </c>
      <c r="D5" s="2612" t="s">
        <v>2653</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红线外七通、宗地红线内场地未平整</v>
      </c>
      <c r="L5" s="1796" t="str">
        <f>"红线外"&amp;项目基本情况!T40&amp;"、宗地红线内场地"&amp;项目基本情况!D36</f>
        <v>红线外七通、宗地红线内场地未平整</v>
      </c>
      <c r="M5" s="1796">
        <f>IF(项目基本情况!B16="出让",项目基本情况!D20,"——")</f>
        <v>0</v>
      </c>
      <c r="N5" s="1796">
        <f>项目基本情况!C22</f>
        <v>67772.100000000006</v>
      </c>
      <c r="O5" s="1796">
        <f>项目基本情况!C21</f>
        <v>217672.19</v>
      </c>
      <c r="P5" s="1796">
        <f ca="1">结果表!E42</f>
        <v>7531</v>
      </c>
      <c r="Q5" s="1796">
        <f ca="1">结果表!D42</f>
        <v>2345</v>
      </c>
      <c r="R5" s="1797">
        <f ca="1">结果表!C42</f>
        <v>51038</v>
      </c>
    </row>
    <row r="6" spans="1:18">
      <c r="A6" s="3197" t="str">
        <f>IF(项目基本情况!B9="市场价格","——","抵押价格")</f>
        <v>抵押价格</v>
      </c>
      <c r="B6" s="3198"/>
      <c r="C6" s="3198"/>
      <c r="D6" s="3198"/>
      <c r="E6" s="3198"/>
      <c r="F6" s="3198"/>
      <c r="G6" s="3198"/>
      <c r="H6" s="3198"/>
      <c r="I6" s="3198"/>
      <c r="J6" s="3198"/>
      <c r="K6" s="3198"/>
      <c r="L6" s="3198"/>
      <c r="M6" s="3198"/>
      <c r="N6" s="3198"/>
      <c r="O6" s="3198"/>
      <c r="P6" s="3198"/>
      <c r="Q6" s="3199"/>
      <c r="R6" s="1798">
        <f ca="1">结果表!O39</f>
        <v>51038</v>
      </c>
    </row>
    <row r="7" spans="1:18">
      <c r="A7" s="3197" t="str">
        <f>IF(项目基本情况!B9="市场价格","——",IF(项目基本情况!E8="已注销及未注销","抵押担保权已注销时的抵押价格","——"))</f>
        <v>——</v>
      </c>
      <c r="B7" s="3198"/>
      <c r="C7" s="3198"/>
      <c r="D7" s="3198"/>
      <c r="E7" s="3198"/>
      <c r="F7" s="3198"/>
      <c r="G7" s="3198"/>
      <c r="H7" s="3198"/>
      <c r="I7" s="3198"/>
      <c r="J7" s="3198"/>
      <c r="K7" s="3198"/>
      <c r="L7" s="3198"/>
      <c r="M7" s="3198"/>
      <c r="N7" s="3198"/>
      <c r="O7" s="3198"/>
      <c r="P7" s="3198"/>
      <c r="Q7" s="3199"/>
      <c r="R7" s="1798" t="str">
        <f>结果表!O40</f>
        <v>——</v>
      </c>
    </row>
    <row r="8" spans="1:18">
      <c r="A8" s="3197">
        <f>IF(项目基本情况!B9="市场价格","——",项目基本情况!E9)</f>
        <v>0</v>
      </c>
      <c r="B8" s="3198"/>
      <c r="C8" s="3198"/>
      <c r="D8" s="3198"/>
      <c r="E8" s="3198"/>
      <c r="F8" s="3198"/>
      <c r="G8" s="3198"/>
      <c r="H8" s="3198"/>
      <c r="I8" s="3198"/>
      <c r="J8" s="3198"/>
      <c r="K8" s="3198"/>
      <c r="L8" s="3198"/>
      <c r="M8" s="3198"/>
      <c r="N8" s="3198"/>
      <c r="O8" s="3198"/>
      <c r="P8" s="3198"/>
      <c r="Q8" s="3199"/>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05" t="s">
        <v>2065</v>
      </c>
      <c r="B1" s="3205"/>
      <c r="C1" s="3205"/>
      <c r="D1" s="3205"/>
    </row>
    <row r="2" spans="1:4" ht="47.25" customHeight="1">
      <c r="A2" s="3206" t="str">
        <f>"1.权利限制："&amp;项目基本情况!L24&amp;"未设定租赁等其他他项权利。"</f>
        <v>1.权利限制：根据估价对象《不动产权证书》原件、《国有土地使用权》复印件，截至估价期日，估价对象抵押权未见登记。未设定租赁等其他他项权利。</v>
      </c>
      <c r="B2" s="3206"/>
      <c r="C2" s="3206"/>
      <c r="D2" s="3206"/>
    </row>
    <row r="3" spans="1:4" ht="48" customHeight="1">
      <c r="A3" s="3205"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05"/>
      <c r="C3" s="3205"/>
      <c r="D3" s="3205"/>
    </row>
    <row r="4" spans="1:4" ht="36.75" customHeight="1">
      <c r="A4" s="3205" t="str">
        <f>"3.估价规划限制条件：详见"&amp;项目基本情况!E21&amp;"。"</f>
        <v>3.估价规划限制条件：详见《建设工程规划许可证》[]、《出让合同》[]。</v>
      </c>
      <c r="B4" s="3205"/>
      <c r="C4" s="3205"/>
      <c r="D4" s="3205"/>
    </row>
    <row r="5" spans="1:4">
      <c r="A5" s="3204" t="s">
        <v>2066</v>
      </c>
      <c r="B5" s="3204"/>
      <c r="C5" s="3204"/>
      <c r="D5" s="3204"/>
    </row>
    <row r="6" spans="1:4">
      <c r="A6" s="3205" t="s">
        <v>2044</v>
      </c>
      <c r="B6" s="3205"/>
      <c r="C6" s="3205"/>
      <c r="D6" s="3205"/>
    </row>
    <row r="7" spans="1:4" ht="33" customHeight="1">
      <c r="A7" s="3205" t="s">
        <v>2575</v>
      </c>
      <c r="B7" s="3205"/>
      <c r="C7" s="3205"/>
      <c r="D7" s="3205"/>
    </row>
    <row r="8" spans="1:4" ht="32.25" customHeight="1">
      <c r="A8" s="32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5"/>
      <c r="C8" s="3205"/>
      <c r="D8" s="3205"/>
    </row>
    <row r="9" spans="1:4" ht="33.75" customHeight="1">
      <c r="A9" s="32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5"/>
      <c r="C9" s="3205"/>
      <c r="D9" s="3205"/>
    </row>
    <row r="10" spans="1:4">
      <c r="A10" s="3205" t="str">
        <f>IF(项目基本情况!B8="抵押","4.估价师所知悉的法定优先受偿款情况为：","——")</f>
        <v>4.估价师所知悉的法定优先受偿款情况为：</v>
      </c>
      <c r="B10" s="3205"/>
      <c r="C10" s="3205"/>
      <c r="D10" s="3205"/>
    </row>
    <row r="11" spans="1:4" ht="37.5" customHeight="1">
      <c r="A11" s="320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7"/>
      <c r="C11" s="3207"/>
      <c r="D11" s="3207"/>
    </row>
    <row r="12" spans="1:4" ht="168" customHeight="1">
      <c r="A12" s="3204" t="s">
        <v>2068</v>
      </c>
      <c r="B12" s="3204"/>
      <c r="C12" s="3204"/>
      <c r="D12" s="3204"/>
    </row>
    <row r="13" spans="1:4">
      <c r="A13" s="3208" t="s">
        <v>2745</v>
      </c>
      <c r="B13" s="3208"/>
      <c r="C13" s="3208"/>
      <c r="D13" s="3208"/>
    </row>
    <row r="14" spans="1:4">
      <c r="A14" s="3207" t="str">
        <f>IF(项目基本情况!B8="抵押","综上，"&amp;结果表!K47,"——")</f>
        <v>综上，本次评估不存在估价师知悉的法定优先受偿款</v>
      </c>
      <c r="B14" s="3207"/>
      <c r="C14" s="3207"/>
      <c r="D14" s="3207"/>
    </row>
    <row r="15" spans="1:4" ht="58.5" customHeight="1">
      <c r="A15" s="32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5"/>
      <c r="C15" s="3205"/>
      <c r="D15" s="3205"/>
    </row>
    <row r="16" spans="1:4" ht="70.5" customHeight="1">
      <c r="A16" s="32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5"/>
      <c r="C16" s="3205"/>
      <c r="D16" s="3205"/>
    </row>
    <row r="17" spans="1:4">
      <c r="A17" s="3205" t="s">
        <v>2701</v>
      </c>
      <c r="B17" s="3205"/>
      <c r="C17" s="3205"/>
      <c r="D17" s="3205"/>
    </row>
    <row r="18" spans="1:4">
      <c r="A18" s="3205" t="s">
        <v>2693</v>
      </c>
      <c r="B18" s="3205"/>
      <c r="C18" s="3205"/>
      <c r="D18" s="3205"/>
    </row>
    <row r="19" spans="1:4">
      <c r="A19" s="2824" t="s">
        <v>2694</v>
      </c>
      <c r="B19" s="2824" t="s">
        <v>2695</v>
      </c>
      <c r="C19" s="2824" t="s">
        <v>2696</v>
      </c>
      <c r="D19" s="2824" t="s">
        <v>2697</v>
      </c>
    </row>
    <row r="20" spans="1:4">
      <c r="A20" s="2824" t="str">
        <f>项目基本情况!B4</f>
        <v>土地估价师</v>
      </c>
      <c r="B20" s="2824">
        <f>项目基本情况!C4</f>
        <v>0</v>
      </c>
      <c r="C20" s="2826"/>
      <c r="D20" s="1786" t="s">
        <v>2702</v>
      </c>
    </row>
    <row r="21" spans="1:4">
      <c r="A21" s="2824" t="str">
        <f>项目基本情况!D4</f>
        <v>土地估价师</v>
      </c>
      <c r="B21" s="2824">
        <f>项目基本情况!E4</f>
        <v>0</v>
      </c>
      <c r="C21" s="2826"/>
      <c r="D21" s="1786" t="s">
        <v>2703</v>
      </c>
    </row>
    <row r="23" spans="1:4">
      <c r="A23" s="3205" t="s">
        <v>2698</v>
      </c>
      <c r="B23" s="3205"/>
      <c r="C23" s="3205"/>
      <c r="D23" s="3205"/>
    </row>
    <row r="24" spans="1:4">
      <c r="A24" s="2824" t="s">
        <v>2694</v>
      </c>
      <c r="B24" s="2824" t="s">
        <v>2699</v>
      </c>
      <c r="C24" s="2824" t="s">
        <v>2696</v>
      </c>
      <c r="D24" s="2824" t="s">
        <v>2697</v>
      </c>
    </row>
    <row r="25" spans="1:4">
      <c r="A25" s="2827" t="s">
        <v>2700</v>
      </c>
      <c r="B25" s="2824" t="s">
        <v>952</v>
      </c>
      <c r="C25" s="2826"/>
      <c r="D25" s="1786" t="s">
        <v>2703</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16" t="s">
        <v>53</v>
      </c>
      <c r="B15" s="3217" t="s">
        <v>846</v>
      </c>
      <c r="C15" s="3213"/>
    </row>
    <row r="16" spans="1:7" ht="14.25">
      <c r="A16" s="3216"/>
      <c r="B16" s="3214" t="s">
        <v>54</v>
      </c>
      <c r="C16" s="1168" t="s">
        <v>53</v>
      </c>
    </row>
    <row r="17" spans="1:3" ht="14.25">
      <c r="A17" s="3216"/>
      <c r="B17" s="3214"/>
      <c r="C17" s="1168" t="s">
        <v>55</v>
      </c>
    </row>
    <row r="18" spans="1:3" ht="14.25">
      <c r="A18" s="3216"/>
      <c r="B18" s="3214"/>
      <c r="C18" s="1168" t="s">
        <v>56</v>
      </c>
    </row>
    <row r="19" spans="1:3" ht="14.25">
      <c r="A19" s="3216"/>
      <c r="B19" s="3212" t="s">
        <v>57</v>
      </c>
      <c r="C19" s="3213"/>
    </row>
    <row r="20" spans="1:3" ht="14.25">
      <c r="A20" s="1169" t="s">
        <v>58</v>
      </c>
      <c r="B20" s="1170"/>
      <c r="C20" s="1171"/>
    </row>
    <row r="21" spans="1:3" ht="14.25">
      <c r="A21" s="3215" t="s">
        <v>59</v>
      </c>
      <c r="B21" s="3212" t="s">
        <v>60</v>
      </c>
      <c r="C21" s="3213"/>
    </row>
    <row r="22" spans="1:3" ht="14.25">
      <c r="A22" s="3215"/>
      <c r="B22" s="3212" t="s">
        <v>61</v>
      </c>
      <c r="C22" s="3213"/>
    </row>
    <row r="23" spans="1:3" ht="14.25">
      <c r="A23" s="3215"/>
      <c r="B23" s="3212" t="s">
        <v>62</v>
      </c>
      <c r="C23" s="3213"/>
    </row>
    <row r="24" spans="1:3" ht="14.25">
      <c r="A24" s="3215"/>
      <c r="B24" s="3218" t="s">
        <v>63</v>
      </c>
      <c r="C24" s="1172" t="s">
        <v>837</v>
      </c>
    </row>
    <row r="25" spans="1:3" ht="14.25">
      <c r="A25" s="3215"/>
      <c r="B25" s="3219"/>
      <c r="C25" s="1172" t="s">
        <v>838</v>
      </c>
    </row>
    <row r="26" spans="1:3" ht="14.25">
      <c r="A26" s="3215"/>
      <c r="B26" s="3219"/>
      <c r="C26" s="1172" t="s">
        <v>839</v>
      </c>
    </row>
    <row r="27" spans="1:3" ht="14.25">
      <c r="A27" s="3215"/>
      <c r="B27" s="3219"/>
      <c r="C27" s="1172" t="s">
        <v>840</v>
      </c>
    </row>
    <row r="28" spans="1:3" ht="14.25">
      <c r="A28" s="3215"/>
      <c r="B28" s="3219"/>
      <c r="C28" s="1172" t="s">
        <v>841</v>
      </c>
    </row>
    <row r="29" spans="1:3" ht="14.25">
      <c r="A29" s="3215"/>
      <c r="B29" s="3219"/>
      <c r="C29" s="1172" t="s">
        <v>842</v>
      </c>
    </row>
    <row r="30" spans="1:3" ht="14.25">
      <c r="A30" s="3215"/>
      <c r="B30" s="3219"/>
      <c r="C30" s="1172" t="s">
        <v>843</v>
      </c>
    </row>
    <row r="31" spans="1:3" ht="14.25">
      <c r="A31" s="3215"/>
      <c r="B31" s="3219"/>
      <c r="C31" s="1172" t="s">
        <v>844</v>
      </c>
    </row>
    <row r="32" spans="1:3" ht="14.25">
      <c r="A32" s="3215"/>
      <c r="B32" s="3219"/>
      <c r="C32" s="1172" t="s">
        <v>1646</v>
      </c>
    </row>
    <row r="33" spans="1:3" ht="14.25">
      <c r="A33" s="3215"/>
      <c r="B33" s="3209" t="s">
        <v>1652</v>
      </c>
      <c r="C33" s="1172" t="s">
        <v>1647</v>
      </c>
    </row>
    <row r="34" spans="1:3" ht="14.25">
      <c r="A34" s="3215"/>
      <c r="B34" s="3210"/>
      <c r="C34" s="1177" t="s">
        <v>1648</v>
      </c>
    </row>
    <row r="35" spans="1:3" ht="14.25">
      <c r="A35" s="3215"/>
      <c r="B35" s="3210"/>
      <c r="C35" s="1178" t="s">
        <v>1649</v>
      </c>
    </row>
    <row r="36" spans="1:3" ht="14.25">
      <c r="A36" s="3215"/>
      <c r="B36" s="3210"/>
      <c r="C36" s="1178" t="s">
        <v>1650</v>
      </c>
    </row>
    <row r="37" spans="1:3" ht="14.25">
      <c r="A37" s="3215"/>
      <c r="B37" s="3211"/>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43682</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f ca="1">IF(C10&lt;B2,"已过期",1120060040)</f>
        <v>1120060040</v>
      </c>
      <c r="C10" s="3134">
        <v>44554</v>
      </c>
      <c r="D10" s="3132" t="s">
        <v>1920</v>
      </c>
      <c r="E10" s="3132">
        <f ca="1">IF(F10&lt;B2,"已过期",2004110096)</f>
        <v>2004110096</v>
      </c>
      <c r="F10" s="3135">
        <v>47118</v>
      </c>
    </row>
    <row r="11" spans="1:6" ht="20.25" customHeight="1">
      <c r="A11" s="3132" t="s">
        <v>1921</v>
      </c>
      <c r="B11" s="3132">
        <f ca="1">IF(C11&lt;B2,"已过期",1120100036)</f>
        <v>1120100036</v>
      </c>
      <c r="C11" s="3134">
        <v>44675</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2981</v>
      </c>
      <c r="B14" s="3132">
        <f ca="1">IF(C14&lt;B2,"已过期",1120040230)</f>
        <v>1120040230</v>
      </c>
      <c r="C14" s="3136">
        <v>43835</v>
      </c>
      <c r="D14" s="3137" t="s">
        <v>2982</v>
      </c>
      <c r="E14" s="3132">
        <f ca="1">IF(F14&lt;B2,"已过期",98030020)</f>
        <v>98030020</v>
      </c>
      <c r="F14" s="3135">
        <v>47118</v>
      </c>
    </row>
    <row r="15" spans="1:6" ht="20.25" customHeight="1">
      <c r="A15" s="3132" t="s">
        <v>2574</v>
      </c>
      <c r="B15" s="3132">
        <f ca="1">IF(C15&lt;B2,"已过期",1120070085)</f>
        <v>1120070085</v>
      </c>
      <c r="C15" s="3136">
        <v>43814</v>
      </c>
      <c r="D15" s="3132" t="s">
        <v>2983</v>
      </c>
      <c r="E15" s="3132">
        <f ca="1">IF(F15&lt;B2,"已过期",2004110128)</f>
        <v>2004110128</v>
      </c>
      <c r="F15" s="3138">
        <v>47118</v>
      </c>
    </row>
    <row r="16" spans="1:6" ht="20.25" customHeight="1">
      <c r="A16" s="3132" t="s">
        <v>1923</v>
      </c>
      <c r="B16" s="3132">
        <f ca="1">IF(C16&lt;B2,"已过期",1120140022)</f>
        <v>1120140022</v>
      </c>
      <c r="C16" s="3134">
        <v>44029</v>
      </c>
      <c r="D16" s="3132" t="s">
        <v>2984</v>
      </c>
      <c r="E16" s="3132">
        <f ca="1">IF(F16&lt;B2,"已过期",2008110059)</f>
        <v>2008110059</v>
      </c>
      <c r="F16" s="3135">
        <v>47177</v>
      </c>
    </row>
    <row r="17" spans="1:7" ht="20.25" customHeight="1">
      <c r="A17" s="3132"/>
      <c r="B17" s="3132"/>
      <c r="C17" s="3134"/>
      <c r="D17" s="3137" t="s">
        <v>2985</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2053</v>
      </c>
      <c r="B24" s="3131" t="s">
        <v>2053</v>
      </c>
      <c r="C24" s="3134"/>
      <c r="D24" s="3139" t="s">
        <v>2053</v>
      </c>
      <c r="E24" s="3131" t="s">
        <v>2053</v>
      </c>
      <c r="F24" s="3138"/>
    </row>
    <row r="25" spans="1:7" ht="20.25" customHeight="1">
      <c r="A25" s="3220" t="s">
        <v>1926</v>
      </c>
      <c r="B25" s="3220"/>
      <c r="C25" s="3220"/>
      <c r="D25" s="3220"/>
      <c r="E25" s="3220"/>
      <c r="F25" s="3220"/>
      <c r="G25" s="3220"/>
    </row>
    <row r="26" spans="1:7" ht="20.25" customHeight="1">
      <c r="A26" s="3221" t="s">
        <v>1927</v>
      </c>
      <c r="B26" s="3221"/>
      <c r="C26" s="3221"/>
      <c r="D26" s="3221" t="s">
        <v>1928</v>
      </c>
      <c r="E26" s="3221"/>
      <c r="F26" s="3221"/>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3" t="s">
        <v>2993</v>
      </c>
      <c r="F29" s="3144">
        <v>43646</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2955</v>
      </c>
      <c r="C18" s="1541"/>
    </row>
    <row r="19" spans="1:3">
      <c r="A19" s="8" t="s">
        <v>120</v>
      </c>
      <c r="B19" s="3065" t="s">
        <v>2963</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柳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22"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21日，在规划利用条件下、设定土地开发程度为红线外“七通”、宗地内场地未平整，设定用途为，剩余土地使用年限为的出让国有建设用地使用权价格。</v>
      </c>
      <c r="D53" s="1753"/>
      <c r="E53" s="1753"/>
    </row>
    <row r="54" spans="1:5">
      <c r="A54" s="3222"/>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22"/>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22"/>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22"/>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不动产比较法-住宅</vt:lpstr>
      <vt:lpstr>不动产收益法</vt:lpstr>
      <vt:lpstr>酒店收入计算</vt:lpstr>
      <vt:lpstr>成本逼近法</vt:lpstr>
      <vt:lpstr>地价</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2019-08-05T03:04:17Z</dcterms:modified>
</cp:coreProperties>
</file>