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00"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state="hidden" r:id="rId29"/>
    <sheet name="不动产比较法-商业" sheetId="33" r:id="rId30"/>
    <sheet name="酒店收入计算" sheetId="57" state="hidden" r:id="rId31"/>
    <sheet name="成本逼近法" sheetId="11" state="hidden" r:id="rId32"/>
    <sheet name="不动产比较法-住宅" sheetId="21"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案例" sheetId="67" r:id="rId39"/>
    <sheet name="存贷款利率" sheetId="65" state="hidden" r:id="rId40"/>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29"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E47" i="33"/>
  <c r="C33" l="1"/>
  <c r="G47"/>
  <c r="I47"/>
  <c r="K25" l="1"/>
  <c r="K23"/>
  <c r="K19"/>
  <c r="K17"/>
  <c r="K15"/>
  <c r="I23"/>
  <c r="I19"/>
  <c r="I17"/>
  <c r="I15"/>
  <c r="I9" i="39" l="1"/>
  <c r="G9"/>
  <c r="I8"/>
  <c r="I7"/>
  <c r="I48"/>
  <c r="G48"/>
  <c r="G8"/>
  <c r="G7"/>
  <c r="E48"/>
  <c r="I40"/>
  <c r="G40"/>
  <c r="E40"/>
  <c r="I13"/>
  <c r="G13"/>
  <c r="E13"/>
  <c r="M55" i="33" l="1"/>
  <c r="F19" i="6"/>
  <c r="E12" i="39"/>
  <c r="E9"/>
  <c r="E8"/>
  <c r="E7"/>
  <c r="B24" i="31" l="1"/>
  <c r="M51" i="33"/>
  <c r="M21" i="1"/>
  <c r="O21" s="1"/>
  <c r="M22"/>
  <c r="M54" i="33" l="1"/>
  <c r="M52"/>
  <c r="M53"/>
  <c r="B27" i="31"/>
  <c r="B25"/>
  <c r="B26"/>
  <c r="M23" i="1"/>
  <c r="O22"/>
  <c r="O23" s="1"/>
  <c r="M56" i="33" l="1"/>
  <c r="N23" i="1"/>
  <c r="K75" i="9"/>
  <c r="K6" i="4"/>
  <c r="O76" i="9" s="1"/>
  <c r="L76" l="1"/>
  <c r="K76"/>
  <c r="K77" s="1"/>
  <c r="K79" s="1"/>
  <c r="K81" s="1"/>
  <c r="B22" i="31"/>
  <c r="E15" i="66" l="1"/>
  <c r="F15"/>
  <c r="E16"/>
  <c r="F16"/>
  <c r="E17"/>
  <c r="F17"/>
  <c r="E18"/>
  <c r="F18"/>
  <c r="E19"/>
  <c r="F19"/>
  <c r="E20"/>
  <c r="F20"/>
  <c r="E21"/>
  <c r="F21"/>
  <c r="E22"/>
  <c r="F22"/>
  <c r="E23"/>
  <c r="F23"/>
  <c r="B3"/>
  <c r="M19" i="46" l="1"/>
  <c r="J6" i="59" l="1"/>
  <c r="O6" s="1"/>
  <c r="K6"/>
  <c r="P6" s="1"/>
  <c r="L6"/>
  <c r="Q6" s="1"/>
  <c r="I6"/>
  <c r="N6" s="1"/>
  <c r="AD3" l="1"/>
  <c r="AE3"/>
  <c r="AF3" s="1"/>
  <c r="AG3"/>
  <c r="AH3"/>
  <c r="AD4"/>
  <c r="AE4"/>
  <c r="AF4" s="1"/>
  <c r="AG4"/>
  <c r="AH4"/>
  <c r="AD5"/>
  <c r="AE5"/>
  <c r="AF5"/>
  <c r="AG5"/>
  <c r="AH5"/>
  <c r="AD6"/>
  <c r="AE6"/>
  <c r="AF6" s="1"/>
  <c r="AG6"/>
  <c r="AH6"/>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c r="AG15"/>
  <c r="AH15"/>
  <c r="AD16"/>
  <c r="AE16"/>
  <c r="AF16" s="1"/>
  <c r="AG16"/>
  <c r="AH16"/>
  <c r="AD17"/>
  <c r="AE17"/>
  <c r="AF17" s="1"/>
  <c r="AG17"/>
  <c r="AH17"/>
  <c r="AH18"/>
  <c r="AG18"/>
  <c r="AE18"/>
  <c r="AF18" s="1"/>
  <c r="AD18"/>
  <c r="AD19"/>
  <c r="AE19"/>
  <c r="AF19"/>
  <c r="AG19"/>
  <c r="AH19"/>
  <c r="S2" i="31" l="1"/>
  <c r="M2"/>
  <c r="N2"/>
  <c r="O2"/>
  <c r="P2"/>
  <c r="Q2"/>
  <c r="R2"/>
  <c r="C3" i="65" l="1"/>
  <c r="C1"/>
  <c r="N1" s="1"/>
  <c r="N7"/>
  <c r="H1" l="1"/>
  <c r="B76" i="63"/>
  <c r="I6" i="65"/>
  <c r="N3"/>
  <c r="N5"/>
  <c r="N6"/>
  <c r="N4"/>
  <c r="C4" l="1"/>
  <c r="B39" i="1" s="1"/>
  <c r="I3" i="65"/>
  <c r="J5"/>
  <c r="J4"/>
  <c r="I4"/>
  <c r="I7"/>
  <c r="J7"/>
  <c r="J6"/>
  <c r="I5"/>
  <c r="J3"/>
  <c r="E20" i="46" l="1"/>
  <c r="J1" i="65"/>
  <c r="M5" i="54"/>
  <c r="A23" i="51"/>
  <c r="E3" i="65"/>
  <c r="F17" i="11" l="1"/>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8" i="64"/>
  <c r="A27"/>
  <c r="A15"/>
  <c r="A14"/>
  <c r="A11"/>
  <c r="A3"/>
  <c r="A45" i="9"/>
  <c r="A44"/>
  <c r="C57" i="10"/>
  <c r="C56"/>
  <c r="C55"/>
  <c r="C54"/>
  <c r="A27" i="51"/>
  <c r="B49" i="63"/>
  <c r="B44"/>
  <c r="B40"/>
  <c r="B30"/>
  <c r="B27"/>
  <c r="B25"/>
  <c r="A11" i="51"/>
  <c r="A26" i="64" l="1"/>
  <c r="K39" i="9"/>
  <c r="K40" l="1"/>
  <c r="B58" i="63" l="1"/>
  <c r="A8" i="54"/>
  <c r="B53" i="63" s="1"/>
  <c r="A7" i="54"/>
  <c r="B51" i="63" s="1"/>
  <c r="A46" i="9"/>
  <c r="K41" s="1"/>
  <c r="B8" i="63" l="1"/>
  <c r="A21" i="55"/>
  <c r="B71" i="63" s="1"/>
  <c r="A20" i="55"/>
  <c r="B69" i="63" s="1"/>
  <c r="B26" l="1"/>
  <c r="B28"/>
  <c r="B29"/>
  <c r="B31"/>
  <c r="B33"/>
  <c r="B35"/>
  <c r="B36"/>
  <c r="B37"/>
  <c r="B63"/>
  <c r="B64"/>
  <c r="B68"/>
  <c r="D51" i="10" l="1"/>
  <c r="A10" i="55"/>
  <c r="B61" i="63" s="1"/>
  <c r="A9" i="55"/>
  <c r="B60" i="63" s="1"/>
  <c r="A8" i="55"/>
  <c r="B59" i="63" s="1"/>
  <c r="B10"/>
  <c r="B51" i="10" l="1"/>
  <c r="B20" i="63"/>
  <c r="B17"/>
  <c r="A15" i="51"/>
  <c r="B12" i="63" s="1"/>
  <c r="A14" i="51"/>
  <c r="B11" i="63" s="1"/>
  <c r="A15" i="55" l="1"/>
  <c r="B66" i="63" s="1"/>
  <c r="A4" i="55"/>
  <c r="B57" i="63" s="1"/>
  <c r="B41"/>
  <c r="G5" i="54"/>
  <c r="B34" i="63" s="1"/>
  <c r="E5" i="54"/>
  <c r="B32" i="63" s="1"/>
  <c r="R2" i="54"/>
  <c r="B24" i="63" s="1"/>
  <c r="A28" i="51"/>
  <c r="A26"/>
  <c r="B19" i="63" s="1"/>
  <c r="B49" i="50"/>
  <c r="B5" i="63" s="1"/>
  <c r="B40" i="50"/>
  <c r="B3" i="63" s="1"/>
  <c r="N4" l="1"/>
  <c r="B21"/>
  <c r="A16" i="55"/>
  <c r="B67" i="63" s="1"/>
  <c r="I19" i="46" l="1"/>
  <c r="Q7" i="59" l="1"/>
  <c r="P7"/>
  <c r="O7"/>
  <c r="N7"/>
  <c r="D68"/>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E46" s="1"/>
  <c r="P46" s="1"/>
  <c r="C47"/>
  <c r="B47"/>
  <c r="N47" s="1"/>
  <c r="F46"/>
  <c r="F45" s="1"/>
  <c r="Q45" s="1"/>
  <c r="B46"/>
  <c r="Q44"/>
  <c r="D44"/>
  <c r="Q43"/>
  <c r="P43"/>
  <c r="O43"/>
  <c r="N43"/>
  <c r="Q42"/>
  <c r="P42"/>
  <c r="O42"/>
  <c r="N42"/>
  <c r="Q41"/>
  <c r="P41"/>
  <c r="O41"/>
  <c r="N41"/>
  <c r="Q40"/>
  <c r="F41" s="1"/>
  <c r="P40"/>
  <c r="E41" s="1"/>
  <c r="E42" s="1"/>
  <c r="E43" s="1"/>
  <c r="U43" s="1"/>
  <c r="O40"/>
  <c r="C41" s="1"/>
  <c r="N40"/>
  <c r="B41" s="1"/>
  <c r="B42" s="1"/>
  <c r="B43" s="1"/>
  <c r="S43" s="1"/>
  <c r="D40"/>
  <c r="Q39"/>
  <c r="P39"/>
  <c r="O39"/>
  <c r="N39"/>
  <c r="Q38"/>
  <c r="P38"/>
  <c r="O38"/>
  <c r="N38"/>
  <c r="Q37"/>
  <c r="P37"/>
  <c r="O37"/>
  <c r="N37"/>
  <c r="Q36"/>
  <c r="F37" s="1"/>
  <c r="P36"/>
  <c r="E37" s="1"/>
  <c r="E38" s="1"/>
  <c r="E39" s="1"/>
  <c r="U39" s="1"/>
  <c r="O36"/>
  <c r="C37" s="1"/>
  <c r="N36"/>
  <c r="B37" s="1"/>
  <c r="B38" s="1"/>
  <c r="B39" s="1"/>
  <c r="S39" s="1"/>
  <c r="D36"/>
  <c r="Q35"/>
  <c r="P35"/>
  <c r="O35"/>
  <c r="N35"/>
  <c r="Q34"/>
  <c r="P34"/>
  <c r="O34"/>
  <c r="N34"/>
  <c r="Q33"/>
  <c r="P33"/>
  <c r="O33"/>
  <c r="N33"/>
  <c r="Q32"/>
  <c r="F33" s="1"/>
  <c r="P32"/>
  <c r="E33" s="1"/>
  <c r="E34" s="1"/>
  <c r="E35" s="1"/>
  <c r="U35" s="1"/>
  <c r="O32"/>
  <c r="C33" s="1"/>
  <c r="N32"/>
  <c r="B33" s="1"/>
  <c r="B34" s="1"/>
  <c r="B35" s="1"/>
  <c r="S35" s="1"/>
  <c r="D32"/>
  <c r="Q31"/>
  <c r="P31"/>
  <c r="O31"/>
  <c r="N31"/>
  <c r="Q30"/>
  <c r="P30"/>
  <c r="O30"/>
  <c r="N30"/>
  <c r="Q29"/>
  <c r="P29"/>
  <c r="O29"/>
  <c r="N29"/>
  <c r="Q28"/>
  <c r="F29" s="1"/>
  <c r="F30" s="1"/>
  <c r="F31" s="1"/>
  <c r="V31" s="1"/>
  <c r="P28"/>
  <c r="E29" s="1"/>
  <c r="O28"/>
  <c r="C29" s="1"/>
  <c r="N28"/>
  <c r="B29" s="1"/>
  <c r="D28"/>
  <c r="T27"/>
  <c r="Q27"/>
  <c r="P27"/>
  <c r="O27"/>
  <c r="N27"/>
  <c r="D27"/>
  <c r="Q26"/>
  <c r="P26"/>
  <c r="O26"/>
  <c r="N26"/>
  <c r="Q25"/>
  <c r="P25"/>
  <c r="O25"/>
  <c r="N25"/>
  <c r="Q24"/>
  <c r="F25" s="1"/>
  <c r="P24"/>
  <c r="E25" s="1"/>
  <c r="E26" s="1"/>
  <c r="E27" s="1"/>
  <c r="U27" s="1"/>
  <c r="O24"/>
  <c r="C25" s="1"/>
  <c r="N24"/>
  <c r="B25" s="1"/>
  <c r="B26" s="1"/>
  <c r="B27" s="1"/>
  <c r="S27" s="1"/>
  <c r="D24"/>
  <c r="Q23"/>
  <c r="P23"/>
  <c r="O23"/>
  <c r="N23"/>
  <c r="Q22"/>
  <c r="P22"/>
  <c r="O22"/>
  <c r="N22"/>
  <c r="Q21"/>
  <c r="P21"/>
  <c r="O21"/>
  <c r="N21"/>
  <c r="Q20"/>
  <c r="F21" s="1"/>
  <c r="P20"/>
  <c r="E21" s="1"/>
  <c r="E22" s="1"/>
  <c r="E23" s="1"/>
  <c r="U23" s="1"/>
  <c r="O20"/>
  <c r="C21" s="1"/>
  <c r="N20"/>
  <c r="B21" s="1"/>
  <c r="B22" s="1"/>
  <c r="B23" s="1"/>
  <c r="S23" s="1"/>
  <c r="D20"/>
  <c r="Q19"/>
  <c r="P19"/>
  <c r="O19"/>
  <c r="N19"/>
  <c r="Q18"/>
  <c r="AB18" s="1"/>
  <c r="P18"/>
  <c r="O18"/>
  <c r="Y18" s="1"/>
  <c r="Z18" s="1"/>
  <c r="N18"/>
  <c r="X18" s="1"/>
  <c r="Q17"/>
  <c r="AB17" s="1"/>
  <c r="P17"/>
  <c r="AA17" s="1"/>
  <c r="O17"/>
  <c r="Y17" s="1"/>
  <c r="N17"/>
  <c r="X17" s="1"/>
  <c r="Q16"/>
  <c r="P16"/>
  <c r="O16"/>
  <c r="N16"/>
  <c r="D16"/>
  <c r="Q15"/>
  <c r="P15"/>
  <c r="AA15" s="1"/>
  <c r="O15"/>
  <c r="N15"/>
  <c r="X15" s="1"/>
  <c r="Q14"/>
  <c r="P14"/>
  <c r="AA14" s="1"/>
  <c r="O14"/>
  <c r="N14"/>
  <c r="X14" s="1"/>
  <c r="Q13"/>
  <c r="P13"/>
  <c r="AA13" s="1"/>
  <c r="O13"/>
  <c r="Y13" s="1"/>
  <c r="Z13" s="1"/>
  <c r="N13"/>
  <c r="X13" s="1"/>
  <c r="Q12"/>
  <c r="P12"/>
  <c r="O12"/>
  <c r="N12"/>
  <c r="D12"/>
  <c r="Q11"/>
  <c r="AB11" s="1"/>
  <c r="P11"/>
  <c r="O11"/>
  <c r="Y11" s="1"/>
  <c r="Z11" s="1"/>
  <c r="N11"/>
  <c r="Q10"/>
  <c r="AB10" s="1"/>
  <c r="P10"/>
  <c r="O10"/>
  <c r="Y10" s="1"/>
  <c r="Z10" s="1"/>
  <c r="N10"/>
  <c r="Q9"/>
  <c r="AB9" s="1"/>
  <c r="P9"/>
  <c r="O9"/>
  <c r="Y9" s="1"/>
  <c r="Z9" s="1"/>
  <c r="N9"/>
  <c r="Q8"/>
  <c r="P8"/>
  <c r="AA8" s="1"/>
  <c r="O8"/>
  <c r="N8"/>
  <c r="D8"/>
  <c r="C9" l="1"/>
  <c r="Y8"/>
  <c r="Z8" s="1"/>
  <c r="F9"/>
  <c r="AB8"/>
  <c r="B9"/>
  <c r="X8"/>
  <c r="X9"/>
  <c r="AA9"/>
  <c r="X10"/>
  <c r="AA10"/>
  <c r="X11"/>
  <c r="AA11"/>
  <c r="C13"/>
  <c r="Y12"/>
  <c r="Z12" s="1"/>
  <c r="F13"/>
  <c r="AB12"/>
  <c r="AB13"/>
  <c r="Y14"/>
  <c r="Z14" s="1"/>
  <c r="AB14"/>
  <c r="Y15"/>
  <c r="Z15" s="1"/>
  <c r="AB15"/>
  <c r="B17"/>
  <c r="B18" s="1"/>
  <c r="B19" s="1"/>
  <c r="S19" s="1"/>
  <c r="X16"/>
  <c r="E17"/>
  <c r="E18" s="1"/>
  <c r="E19" s="1"/>
  <c r="U19" s="1"/>
  <c r="AA16"/>
  <c r="B13"/>
  <c r="B14" s="1"/>
  <c r="B15" s="1"/>
  <c r="S15" s="1"/>
  <c r="X12"/>
  <c r="E13"/>
  <c r="E14" s="1"/>
  <c r="E15" s="1"/>
  <c r="U15" s="1"/>
  <c r="AA12"/>
  <c r="C17"/>
  <c r="Y16"/>
  <c r="Z16" s="1"/>
  <c r="F17"/>
  <c r="AB16"/>
  <c r="B7"/>
  <c r="X3"/>
  <c r="X4"/>
  <c r="X5"/>
  <c r="X6"/>
  <c r="X7"/>
  <c r="E7"/>
  <c r="AA3"/>
  <c r="AA4"/>
  <c r="AA5"/>
  <c r="AA6"/>
  <c r="AA7"/>
  <c r="C7"/>
  <c r="T7" s="1"/>
  <c r="Y4"/>
  <c r="Z4" s="1"/>
  <c r="Y5"/>
  <c r="Z5" s="1"/>
  <c r="Y6"/>
  <c r="Z6" s="1"/>
  <c r="Y7"/>
  <c r="Z7" s="1"/>
  <c r="Y3"/>
  <c r="Z3" s="1"/>
  <c r="F7"/>
  <c r="AB7"/>
  <c r="AB3"/>
  <c r="AB4"/>
  <c r="AB5"/>
  <c r="AB6"/>
  <c r="B10"/>
  <c r="B11" s="1"/>
  <c r="S11" s="1"/>
  <c r="E9"/>
  <c r="E10" s="1"/>
  <c r="E11" s="1"/>
  <c r="U11" s="1"/>
  <c r="B30"/>
  <c r="B31" s="1"/>
  <c r="S31" s="1"/>
  <c r="E30"/>
  <c r="E31" s="1"/>
  <c r="U31" s="1"/>
  <c r="S47"/>
  <c r="Z17"/>
  <c r="AA18"/>
  <c r="F10"/>
  <c r="F11" s="1"/>
  <c r="V11" s="1"/>
  <c r="F14"/>
  <c r="F15" s="1"/>
  <c r="V15" s="1"/>
  <c r="F18"/>
  <c r="F19" s="1"/>
  <c r="V19" s="1"/>
  <c r="F22"/>
  <c r="F23" s="1"/>
  <c r="V23" s="1"/>
  <c r="F26"/>
  <c r="F27" s="1"/>
  <c r="V27" s="1"/>
  <c r="F34"/>
  <c r="F35" s="1"/>
  <c r="V35" s="1"/>
  <c r="F38"/>
  <c r="F39" s="1"/>
  <c r="V39" s="1"/>
  <c r="F42"/>
  <c r="F43" s="1"/>
  <c r="V43" s="1"/>
  <c r="C10"/>
  <c r="D9"/>
  <c r="C18"/>
  <c r="D17"/>
  <c r="C22"/>
  <c r="D21"/>
  <c r="C26"/>
  <c r="D26" s="1"/>
  <c r="D25"/>
  <c r="C30"/>
  <c r="D29"/>
  <c r="C34"/>
  <c r="D33"/>
  <c r="C38"/>
  <c r="D37"/>
  <c r="C42"/>
  <c r="D41"/>
  <c r="C14"/>
  <c r="D13"/>
  <c r="E45"/>
  <c r="N46"/>
  <c r="B45"/>
  <c r="Q46"/>
  <c r="T47"/>
  <c r="O47"/>
  <c r="D47"/>
  <c r="C46"/>
  <c r="P47"/>
  <c r="U47"/>
  <c r="Q47"/>
  <c r="C50"/>
  <c r="E50"/>
  <c r="E49" s="1"/>
  <c r="D51"/>
  <c r="C54"/>
  <c r="E54"/>
  <c r="E53" s="1"/>
  <c r="D55"/>
  <c r="C58"/>
  <c r="E58"/>
  <c r="E57" s="1"/>
  <c r="D59"/>
  <c r="C62"/>
  <c r="C66"/>
  <c r="U16" i="4"/>
  <c r="S16"/>
  <c r="Q16"/>
  <c r="O16"/>
  <c r="M16"/>
  <c r="K16"/>
  <c r="F6" i="59" l="1"/>
  <c r="V7"/>
  <c r="E6"/>
  <c r="U7"/>
  <c r="B6"/>
  <c r="S7"/>
  <c r="D7"/>
  <c r="C6"/>
  <c r="D6" s="1"/>
  <c r="P44"/>
  <c r="P45"/>
  <c r="D66"/>
  <c r="C65"/>
  <c r="D65" s="1"/>
  <c r="D58"/>
  <c r="C57"/>
  <c r="D57" s="1"/>
  <c r="D50"/>
  <c r="C49"/>
  <c r="D49" s="1"/>
  <c r="C45"/>
  <c r="O46"/>
  <c r="D46"/>
  <c r="D62"/>
  <c r="C61"/>
  <c r="D61" s="1"/>
  <c r="D54"/>
  <c r="C53"/>
  <c r="D53" s="1"/>
  <c r="N44"/>
  <c r="N45"/>
  <c r="C15"/>
  <c r="D14"/>
  <c r="C43"/>
  <c r="D42"/>
  <c r="D38"/>
  <c r="C39"/>
  <c r="C35"/>
  <c r="D34"/>
  <c r="C31"/>
  <c r="D30"/>
  <c r="C23"/>
  <c r="D22"/>
  <c r="C19"/>
  <c r="D18"/>
  <c r="C11"/>
  <c r="D10"/>
  <c r="N16" i="4"/>
  <c r="L16"/>
  <c r="T39" i="59" l="1"/>
  <c r="D39"/>
  <c r="T11"/>
  <c r="D11"/>
  <c r="T19"/>
  <c r="D19"/>
  <c r="T23"/>
  <c r="D23"/>
  <c r="T31"/>
  <c r="D31"/>
  <c r="T35"/>
  <c r="D35"/>
  <c r="T43"/>
  <c r="D43"/>
  <c r="T15"/>
  <c r="D15"/>
  <c r="O45"/>
  <c r="D45"/>
  <c r="O44"/>
  <c r="O27" i="6" l="1"/>
  <c r="N27"/>
  <c r="P26"/>
  <c r="L26"/>
  <c r="P25"/>
  <c r="L25"/>
  <c r="P24"/>
  <c r="L24"/>
  <c r="P23"/>
  <c r="L23"/>
  <c r="P22"/>
  <c r="L22"/>
  <c r="P21"/>
  <c r="L21"/>
  <c r="P20"/>
  <c r="P19"/>
  <c r="P27" s="1"/>
  <c r="Q18" i="36" l="1"/>
  <c r="Z18" s="1"/>
  <c r="C18"/>
  <c r="D66"/>
  <c r="F18" s="1"/>
  <c r="AA18" s="1"/>
  <c r="Q18" i="35"/>
  <c r="Z18" s="1"/>
  <c r="F18"/>
  <c r="AA18" s="1"/>
  <c r="C18"/>
  <c r="D68"/>
  <c r="E68" s="1"/>
  <c r="F68" s="1"/>
  <c r="G68" s="1"/>
  <c r="Z21" i="37"/>
  <c r="Q21"/>
  <c r="F21"/>
  <c r="AA21" s="1"/>
  <c r="C21"/>
  <c r="E77"/>
  <c r="F77" s="1"/>
  <c r="G77" s="1"/>
  <c r="D77"/>
  <c r="Z21" i="34"/>
  <c r="Q21"/>
  <c r="C21"/>
  <c r="D84"/>
  <c r="F21" s="1"/>
  <c r="AA21" s="1"/>
  <c r="Q21" i="33"/>
  <c r="Z21" s="1"/>
  <c r="C21"/>
  <c r="D83"/>
  <c r="E83" s="1"/>
  <c r="F83" s="1"/>
  <c r="G83" s="1"/>
  <c r="Q21" i="21"/>
  <c r="Z21" s="1"/>
  <c r="D83"/>
  <c r="E83" s="1"/>
  <c r="F21"/>
  <c r="AA21" s="1"/>
  <c r="C21"/>
  <c r="Z27" i="40"/>
  <c r="Q27"/>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13" i="44"/>
  <c r="C12" s="1"/>
  <c r="K2" i="4"/>
  <c r="K1"/>
  <c r="B1"/>
  <c r="B37" i="50" s="1"/>
  <c r="B2" i="63" s="1"/>
  <c r="C31" i="57"/>
  <c r="C32"/>
  <c r="I23"/>
  <c r="D20"/>
  <c r="I19"/>
  <c r="I18"/>
  <c r="I17"/>
  <c r="I20"/>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Q51"/>
  <c r="AE7" i="1"/>
  <c r="AE9"/>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X106"/>
  <c r="AW106"/>
  <c r="AV106"/>
  <c r="AC106"/>
  <c r="H106"/>
  <c r="G106" s="1"/>
  <c r="BT105"/>
  <c r="BS105"/>
  <c r="BR105"/>
  <c r="BQ105"/>
  <c r="BP105"/>
  <c r="BO105"/>
  <c r="BN105"/>
  <c r="BM105"/>
  <c r="BL105"/>
  <c r="BK105"/>
  <c r="BJ105"/>
  <c r="BI105"/>
  <c r="BH105"/>
  <c r="BG105"/>
  <c r="BF105"/>
  <c r="BE105"/>
  <c r="BD105"/>
  <c r="BC105"/>
  <c r="BB105"/>
  <c r="BA105" s="1"/>
  <c r="AZ105" s="1"/>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Z101" s="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c r="BT98"/>
  <c r="BS98"/>
  <c r="BR98"/>
  <c r="BQ98"/>
  <c r="BP98"/>
  <c r="BO98"/>
  <c r="BN98"/>
  <c r="BM98"/>
  <c r="BL98" s="1"/>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Z93" s="1"/>
  <c r="AX93"/>
  <c r="AW93"/>
  <c r="AV93"/>
  <c r="AC93"/>
  <c r="H93"/>
  <c r="G93"/>
  <c r="BT92"/>
  <c r="BS92"/>
  <c r="BR92"/>
  <c r="BQ92"/>
  <c r="BP92"/>
  <c r="BO92"/>
  <c r="BN92"/>
  <c r="BM92"/>
  <c r="BL92" s="1"/>
  <c r="BK92"/>
  <c r="BJ92"/>
  <c r="BI92"/>
  <c r="BH92"/>
  <c r="BG92"/>
  <c r="BF92"/>
  <c r="BE92"/>
  <c r="BD92"/>
  <c r="BC92"/>
  <c r="BB92"/>
  <c r="BA92"/>
  <c r="AX92"/>
  <c r="AW92"/>
  <c r="AV92"/>
  <c r="AC92"/>
  <c r="H92"/>
  <c r="G92" s="1"/>
  <c r="BT91"/>
  <c r="BS91"/>
  <c r="BR91"/>
  <c r="BQ91"/>
  <c r="BP91"/>
  <c r="BO91"/>
  <c r="BN91"/>
  <c r="BM91"/>
  <c r="BL91"/>
  <c r="BK91"/>
  <c r="BJ91"/>
  <c r="BI91"/>
  <c r="BH91"/>
  <c r="BG91"/>
  <c r="BF91"/>
  <c r="BE91"/>
  <c r="BD91"/>
  <c r="BC91"/>
  <c r="BB91"/>
  <c r="BA91" s="1"/>
  <c r="AX91"/>
  <c r="AW91"/>
  <c r="AV91"/>
  <c r="AC91"/>
  <c r="H91"/>
  <c r="G91" s="1"/>
  <c r="BT90"/>
  <c r="BS90"/>
  <c r="BR90"/>
  <c r="BQ90"/>
  <c r="BP90"/>
  <c r="BO90"/>
  <c r="BN90"/>
  <c r="BM90"/>
  <c r="BL90"/>
  <c r="BK90"/>
  <c r="BJ90"/>
  <c r="BI90"/>
  <c r="BH90"/>
  <c r="BG90"/>
  <c r="BF90"/>
  <c r="BE90"/>
  <c r="BD90"/>
  <c r="BC90"/>
  <c r="BB90"/>
  <c r="BA90" s="1"/>
  <c r="AX90"/>
  <c r="AW90"/>
  <c r="AV90"/>
  <c r="AC90"/>
  <c r="H90"/>
  <c r="G90" s="1"/>
  <c r="BT89"/>
  <c r="BS89"/>
  <c r="BR89"/>
  <c r="BQ89"/>
  <c r="BP89"/>
  <c r="BO89"/>
  <c r="BN89"/>
  <c r="BM89"/>
  <c r="BL89"/>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Z88" s="1"/>
  <c r="AX88"/>
  <c r="AW88"/>
  <c r="AV88"/>
  <c r="AC88"/>
  <c r="H88"/>
  <c r="G88" s="1"/>
  <c r="BT87"/>
  <c r="BS87"/>
  <c r="BR87"/>
  <c r="BQ87"/>
  <c r="BP87"/>
  <c r="BO87"/>
  <c r="BN87"/>
  <c r="BM87"/>
  <c r="BL87"/>
  <c r="BK87"/>
  <c r="BJ87"/>
  <c r="BI87"/>
  <c r="BH87"/>
  <c r="BG87"/>
  <c r="BF87"/>
  <c r="BE87"/>
  <c r="BD87"/>
  <c r="BC87"/>
  <c r="BB87"/>
  <c r="BA87" s="1"/>
  <c r="AZ87" s="1"/>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Z85" s="1"/>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Z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X70"/>
  <c r="AW70"/>
  <c r="AV70"/>
  <c r="AC70"/>
  <c r="H70"/>
  <c r="G70" s="1"/>
  <c r="BT69"/>
  <c r="BS69"/>
  <c r="BR69"/>
  <c r="BQ69"/>
  <c r="BP69"/>
  <c r="BO69"/>
  <c r="BN69"/>
  <c r="BM69"/>
  <c r="BL69"/>
  <c r="BK69"/>
  <c r="BJ69"/>
  <c r="BI69"/>
  <c r="BH69"/>
  <c r="BG69"/>
  <c r="BF69"/>
  <c r="BE69"/>
  <c r="BD69"/>
  <c r="BC69"/>
  <c r="BB69"/>
  <c r="BA69" s="1"/>
  <c r="AZ69"/>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Z67"/>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Z58" s="1"/>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Z42" s="1"/>
  <c r="AX42"/>
  <c r="AW42"/>
  <c r="AV42"/>
  <c r="AC42"/>
  <c r="H42"/>
  <c r="G42"/>
  <c r="BT41"/>
  <c r="BS41"/>
  <c r="BR41"/>
  <c r="BQ41"/>
  <c r="BP41"/>
  <c r="BO41"/>
  <c r="BN41"/>
  <c r="BM41"/>
  <c r="BL41" s="1"/>
  <c r="BK41"/>
  <c r="BJ41"/>
  <c r="BI41"/>
  <c r="BH41"/>
  <c r="BG41"/>
  <c r="BF41"/>
  <c r="BE41"/>
  <c r="BD41"/>
  <c r="BC41"/>
  <c r="BB41"/>
  <c r="BA41"/>
  <c r="AZ41" s="1"/>
  <c r="AX41"/>
  <c r="AW41"/>
  <c r="AV41"/>
  <c r="AC41"/>
  <c r="H41"/>
  <c r="G41" s="1"/>
  <c r="BT40"/>
  <c r="BS40"/>
  <c r="BR40"/>
  <c r="BQ40"/>
  <c r="BP40"/>
  <c r="BO40"/>
  <c r="BN40"/>
  <c r="BM40"/>
  <c r="BL40"/>
  <c r="BK40"/>
  <c r="BJ40"/>
  <c r="BI40"/>
  <c r="BH40"/>
  <c r="BG40"/>
  <c r="BF40"/>
  <c r="BE40"/>
  <c r="BD40"/>
  <c r="BC40"/>
  <c r="BB40"/>
  <c r="BA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s="1"/>
  <c r="BT37"/>
  <c r="BS37"/>
  <c r="BR37"/>
  <c r="BQ37"/>
  <c r="BP37"/>
  <c r="BO37"/>
  <c r="BN37"/>
  <c r="BM37"/>
  <c r="BL37"/>
  <c r="BK37"/>
  <c r="BJ37"/>
  <c r="BI37"/>
  <c r="BH37"/>
  <c r="BG37"/>
  <c r="BF37"/>
  <c r="BE37"/>
  <c r="BD37"/>
  <c r="BC37"/>
  <c r="BB37"/>
  <c r="BA37" s="1"/>
  <c r="AZ37" s="1"/>
  <c r="AX37"/>
  <c r="AW37"/>
  <c r="AV37"/>
  <c r="AC37"/>
  <c r="H37"/>
  <c r="G37"/>
  <c r="BT36"/>
  <c r="BS36"/>
  <c r="BR36"/>
  <c r="BQ36"/>
  <c r="BP36"/>
  <c r="BO36"/>
  <c r="BN36"/>
  <c r="BM36"/>
  <c r="BL36" s="1"/>
  <c r="BK36"/>
  <c r="BJ36"/>
  <c r="BI36"/>
  <c r="BH36"/>
  <c r="BG36"/>
  <c r="BF36"/>
  <c r="BE36"/>
  <c r="BD36"/>
  <c r="BC36"/>
  <c r="BB36"/>
  <c r="BA36"/>
  <c r="AX36"/>
  <c r="AW36"/>
  <c r="AV36"/>
  <c r="AC36"/>
  <c r="H36"/>
  <c r="G36" s="1"/>
  <c r="BT35"/>
  <c r="BS35"/>
  <c r="BR35"/>
  <c r="BQ35"/>
  <c r="BP35"/>
  <c r="BO35"/>
  <c r="BN35"/>
  <c r="BM35"/>
  <c r="BL35"/>
  <c r="BK35"/>
  <c r="BJ35"/>
  <c r="BI35"/>
  <c r="BH35"/>
  <c r="BG35"/>
  <c r="BF35"/>
  <c r="BE35"/>
  <c r="BD35"/>
  <c r="BC35"/>
  <c r="BB35"/>
  <c r="BA35" s="1"/>
  <c r="AX35"/>
  <c r="AW35"/>
  <c r="AV35"/>
  <c r="AC35"/>
  <c r="H35"/>
  <c r="G35" s="1"/>
  <c r="BT34"/>
  <c r="BS34"/>
  <c r="BR34"/>
  <c r="BQ34"/>
  <c r="BP34"/>
  <c r="BO34"/>
  <c r="BN34"/>
  <c r="BM34"/>
  <c r="BL34"/>
  <c r="BK34"/>
  <c r="BJ34"/>
  <c r="BI34"/>
  <c r="BH34"/>
  <c r="BG34"/>
  <c r="BF34"/>
  <c r="BE34"/>
  <c r="BD34"/>
  <c r="BC34"/>
  <c r="BB34"/>
  <c r="BA34" s="1"/>
  <c r="AZ34" s="1"/>
  <c r="AX34"/>
  <c r="AW34"/>
  <c r="AV34"/>
  <c r="AC34"/>
  <c r="H34"/>
  <c r="G34"/>
  <c r="BT33"/>
  <c r="BS33"/>
  <c r="BR33"/>
  <c r="BQ33"/>
  <c r="BP33"/>
  <c r="BO33"/>
  <c r="BN33"/>
  <c r="BM33"/>
  <c r="BL33" s="1"/>
  <c r="BK33"/>
  <c r="BJ33"/>
  <c r="BI33"/>
  <c r="BH33"/>
  <c r="BG33"/>
  <c r="BF33"/>
  <c r="BE33"/>
  <c r="BD33"/>
  <c r="BC33"/>
  <c r="BB33"/>
  <c r="BA33"/>
  <c r="AZ33" s="1"/>
  <c r="AX33"/>
  <c r="AW33"/>
  <c r="AV33"/>
  <c r="AC33"/>
  <c r="H33"/>
  <c r="G33" s="1"/>
  <c r="BT32"/>
  <c r="BS32"/>
  <c r="BR32"/>
  <c r="BQ32"/>
  <c r="BP32"/>
  <c r="BO32"/>
  <c r="BN32"/>
  <c r="BM32"/>
  <c r="BL32"/>
  <c r="BK32"/>
  <c r="BJ32"/>
  <c r="BI32"/>
  <c r="BH32"/>
  <c r="BG32"/>
  <c r="BF32"/>
  <c r="BE32"/>
  <c r="BD32"/>
  <c r="BC32"/>
  <c r="BB32"/>
  <c r="BA32" s="1"/>
  <c r="AX32"/>
  <c r="AW32"/>
  <c r="AV32"/>
  <c r="AC32"/>
  <c r="H32"/>
  <c r="G32" s="1"/>
  <c r="BT31"/>
  <c r="BS31"/>
  <c r="BR31"/>
  <c r="BQ31"/>
  <c r="BP31"/>
  <c r="BO31"/>
  <c r="BN31"/>
  <c r="BM31"/>
  <c r="BL31"/>
  <c r="BK31"/>
  <c r="BJ31"/>
  <c r="BI31"/>
  <c r="BH31"/>
  <c r="BG31"/>
  <c r="BF31"/>
  <c r="BE31"/>
  <c r="BD31"/>
  <c r="BC31"/>
  <c r="BB31"/>
  <c r="BA31" s="1"/>
  <c r="AX31"/>
  <c r="AW31"/>
  <c r="AV31"/>
  <c r="AC31"/>
  <c r="H31"/>
  <c r="G31" s="1"/>
  <c r="BT30"/>
  <c r="BS30"/>
  <c r="BR30"/>
  <c r="BQ30"/>
  <c r="BP30"/>
  <c r="BO30"/>
  <c r="BN30"/>
  <c r="BM30"/>
  <c r="BL30"/>
  <c r="BK30"/>
  <c r="BJ30"/>
  <c r="BI30"/>
  <c r="BH30"/>
  <c r="BG30"/>
  <c r="BF30"/>
  <c r="BE30"/>
  <c r="BD30"/>
  <c r="BC30"/>
  <c r="BB30"/>
  <c r="BA30" s="1"/>
  <c r="AZ30" s="1"/>
  <c r="AX30"/>
  <c r="AW30"/>
  <c r="AV30"/>
  <c r="AC30"/>
  <c r="H30"/>
  <c r="G30"/>
  <c r="BT29"/>
  <c r="BS29"/>
  <c r="BR29"/>
  <c r="BQ29"/>
  <c r="BP29"/>
  <c r="BO29"/>
  <c r="BN29"/>
  <c r="BM29"/>
  <c r="BL29" s="1"/>
  <c r="BK29"/>
  <c r="BJ29"/>
  <c r="BI29"/>
  <c r="BH29"/>
  <c r="BG29"/>
  <c r="BF29"/>
  <c r="BE29"/>
  <c r="BD29"/>
  <c r="BC29"/>
  <c r="BB29"/>
  <c r="BA29"/>
  <c r="AX29"/>
  <c r="AW29"/>
  <c r="AV29"/>
  <c r="AC29"/>
  <c r="H29"/>
  <c r="G29" s="1"/>
  <c r="BT28"/>
  <c r="BS28"/>
  <c r="BR28"/>
  <c r="BQ28"/>
  <c r="BP28"/>
  <c r="BO28"/>
  <c r="BN28"/>
  <c r="BM28"/>
  <c r="BL28"/>
  <c r="BK28"/>
  <c r="BJ28"/>
  <c r="BI28"/>
  <c r="BH28"/>
  <c r="BG28"/>
  <c r="BF28"/>
  <c r="BE28"/>
  <c r="BD28"/>
  <c r="BC28"/>
  <c r="BB28"/>
  <c r="BA28" s="1"/>
  <c r="AZ28" s="1"/>
  <c r="AX28"/>
  <c r="AW28"/>
  <c r="AV28"/>
  <c r="AC28"/>
  <c r="H28"/>
  <c r="G28"/>
  <c r="BT27"/>
  <c r="BS27"/>
  <c r="BR27"/>
  <c r="BQ27"/>
  <c r="BP27"/>
  <c r="BO27"/>
  <c r="BN27"/>
  <c r="BM27"/>
  <c r="BL27" s="1"/>
  <c r="BK27"/>
  <c r="BJ27"/>
  <c r="BI27"/>
  <c r="BH27"/>
  <c r="BG27"/>
  <c r="BF27"/>
  <c r="BE27"/>
  <c r="BD27"/>
  <c r="BC27"/>
  <c r="BB27"/>
  <c r="BA27"/>
  <c r="AX27"/>
  <c r="AW27"/>
  <c r="AV27"/>
  <c r="AC27"/>
  <c r="H27"/>
  <c r="G27"/>
  <c r="BT26"/>
  <c r="BS26"/>
  <c r="BR26"/>
  <c r="BQ26"/>
  <c r="BP26"/>
  <c r="BO26"/>
  <c r="BN26"/>
  <c r="BM26"/>
  <c r="BL26" s="1"/>
  <c r="BK26"/>
  <c r="BJ26"/>
  <c r="BI26"/>
  <c r="BH26"/>
  <c r="BG26"/>
  <c r="BF26"/>
  <c r="BE26"/>
  <c r="BD26"/>
  <c r="BC26"/>
  <c r="BB26"/>
  <c r="BA26"/>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X23"/>
  <c r="AW23"/>
  <c r="AV23"/>
  <c r="AC23"/>
  <c r="H23"/>
  <c r="G23"/>
  <c r="BT22"/>
  <c r="BS22"/>
  <c r="BR22"/>
  <c r="BQ22"/>
  <c r="BP22"/>
  <c r="BO22"/>
  <c r="BN22"/>
  <c r="BM22"/>
  <c r="BL22" s="1"/>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s="1"/>
  <c r="BK204"/>
  <c r="BJ204"/>
  <c r="BI204"/>
  <c r="BH204"/>
  <c r="BG204"/>
  <c r="BF204"/>
  <c r="BE204"/>
  <c r="BD204"/>
  <c r="BC204"/>
  <c r="BB204"/>
  <c r="BA204"/>
  <c r="AX204"/>
  <c r="AW204"/>
  <c r="AV204"/>
  <c r="AC204"/>
  <c r="H204"/>
  <c r="G204" s="1"/>
  <c r="BT203"/>
  <c r="BS203"/>
  <c r="BR203"/>
  <c r="BQ203"/>
  <c r="BP203"/>
  <c r="BO203"/>
  <c r="BN203"/>
  <c r="BM203"/>
  <c r="BL203"/>
  <c r="BK203"/>
  <c r="BJ203"/>
  <c r="BI203"/>
  <c r="BH203"/>
  <c r="BG203"/>
  <c r="BF203"/>
  <c r="BE203"/>
  <c r="BD203"/>
  <c r="BC203"/>
  <c r="BB203"/>
  <c r="BA203" s="1"/>
  <c r="AX203"/>
  <c r="AW203"/>
  <c r="AV203"/>
  <c r="AC203"/>
  <c r="H203"/>
  <c r="G203" s="1"/>
  <c r="BT202"/>
  <c r="BS202"/>
  <c r="BR202"/>
  <c r="BQ202"/>
  <c r="BP202"/>
  <c r="BO202"/>
  <c r="BN202"/>
  <c r="BM202"/>
  <c r="BL202"/>
  <c r="BK202"/>
  <c r="BJ202"/>
  <c r="BI202"/>
  <c r="BH202"/>
  <c r="BG202"/>
  <c r="BF202"/>
  <c r="BE202"/>
  <c r="BD202"/>
  <c r="BC202"/>
  <c r="BB202"/>
  <c r="BA202" s="1"/>
  <c r="AZ202" s="1"/>
  <c r="AX202"/>
  <c r="AW202"/>
  <c r="AV202"/>
  <c r="AC202"/>
  <c r="H202"/>
  <c r="G202"/>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c r="BT198"/>
  <c r="BS198"/>
  <c r="BR198"/>
  <c r="BQ198"/>
  <c r="BP198"/>
  <c r="BO198"/>
  <c r="BN198"/>
  <c r="BM198"/>
  <c r="BL198" s="1"/>
  <c r="BK198"/>
  <c r="BJ198"/>
  <c r="BI198"/>
  <c r="BH198"/>
  <c r="BG198"/>
  <c r="BF198"/>
  <c r="BE198"/>
  <c r="BD198"/>
  <c r="BC198"/>
  <c r="BB198"/>
  <c r="BA198"/>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s="1"/>
  <c r="BK195"/>
  <c r="BJ195"/>
  <c r="BI195"/>
  <c r="BH195"/>
  <c r="BG195"/>
  <c r="BF195"/>
  <c r="BE195"/>
  <c r="BD195"/>
  <c r="BC195"/>
  <c r="BB195"/>
  <c r="BA195"/>
  <c r="AX195"/>
  <c r="AW195"/>
  <c r="AV195"/>
  <c r="AC195"/>
  <c r="H195"/>
  <c r="G195"/>
  <c r="BT194"/>
  <c r="BS194"/>
  <c r="BR194"/>
  <c r="BQ194"/>
  <c r="BP194"/>
  <c r="BO194"/>
  <c r="BN194"/>
  <c r="BM194"/>
  <c r="BL194" s="1"/>
  <c r="BK194"/>
  <c r="BJ194"/>
  <c r="BI194"/>
  <c r="BH194"/>
  <c r="BG194"/>
  <c r="BF194"/>
  <c r="BE194"/>
  <c r="BD194"/>
  <c r="BC194"/>
  <c r="BB194"/>
  <c r="BA194"/>
  <c r="AZ194" s="1"/>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c r="BT190"/>
  <c r="BS190"/>
  <c r="BR190"/>
  <c r="BQ190"/>
  <c r="BP190"/>
  <c r="BO190"/>
  <c r="BN190"/>
  <c r="BM190"/>
  <c r="BL190" s="1"/>
  <c r="BK190"/>
  <c r="BJ190"/>
  <c r="BI190"/>
  <c r="BH190"/>
  <c r="BG190"/>
  <c r="BF190"/>
  <c r="BE190"/>
  <c r="BD190"/>
  <c r="BC190"/>
  <c r="BB190"/>
  <c r="BA190"/>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s="1"/>
  <c r="BK187"/>
  <c r="BJ187"/>
  <c r="BI187"/>
  <c r="BH187"/>
  <c r="BG187"/>
  <c r="BF187"/>
  <c r="BE187"/>
  <c r="BD187"/>
  <c r="BC187"/>
  <c r="BB187"/>
  <c r="BA187"/>
  <c r="AX187"/>
  <c r="AW187"/>
  <c r="AV187"/>
  <c r="AC187"/>
  <c r="H187"/>
  <c r="G187"/>
  <c r="BT186"/>
  <c r="BS186"/>
  <c r="BR186"/>
  <c r="BQ186"/>
  <c r="BP186"/>
  <c r="BO186"/>
  <c r="BN186"/>
  <c r="BM186"/>
  <c r="BL186" s="1"/>
  <c r="BK186"/>
  <c r="BJ186"/>
  <c r="BI186"/>
  <c r="BH186"/>
  <c r="BG186"/>
  <c r="BF186"/>
  <c r="BE186"/>
  <c r="BD186"/>
  <c r="BC186"/>
  <c r="BB186"/>
  <c r="BA186"/>
  <c r="AZ186" s="1"/>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L180"/>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c r="BT176"/>
  <c r="BS176"/>
  <c r="BR176"/>
  <c r="BQ176"/>
  <c r="BP176"/>
  <c r="BO176"/>
  <c r="BN176"/>
  <c r="BM176"/>
  <c r="BL176" s="1"/>
  <c r="BK176"/>
  <c r="BJ176"/>
  <c r="BI176"/>
  <c r="BH176"/>
  <c r="BG176"/>
  <c r="BF176"/>
  <c r="BE176"/>
  <c r="BD176"/>
  <c r="BC176"/>
  <c r="BB176"/>
  <c r="BA176"/>
  <c r="AX176"/>
  <c r="AW176"/>
  <c r="AV176"/>
  <c r="AC176"/>
  <c r="H176"/>
  <c r="G176" s="1"/>
  <c r="BT175"/>
  <c r="BS175"/>
  <c r="BR175"/>
  <c r="BQ175"/>
  <c r="BP175"/>
  <c r="BO175"/>
  <c r="BN175"/>
  <c r="BM175"/>
  <c r="BL175"/>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c r="BK172"/>
  <c r="BJ172"/>
  <c r="BI172"/>
  <c r="BH172"/>
  <c r="BG172"/>
  <c r="BF172"/>
  <c r="BE172"/>
  <c r="BD172"/>
  <c r="BC172"/>
  <c r="BB172"/>
  <c r="BA172" s="1"/>
  <c r="AZ172" s="1"/>
  <c r="AX172"/>
  <c r="AW172"/>
  <c r="AV172"/>
  <c r="AC172"/>
  <c r="H172"/>
  <c r="G172"/>
  <c r="BT171"/>
  <c r="BS171"/>
  <c r="BR171"/>
  <c r="BQ171"/>
  <c r="BP171"/>
  <c r="BO171"/>
  <c r="BN171"/>
  <c r="BM171"/>
  <c r="BL171" s="1"/>
  <c r="BK171"/>
  <c r="BJ171"/>
  <c r="BI171"/>
  <c r="BH171"/>
  <c r="BG171"/>
  <c r="BF171"/>
  <c r="BE171"/>
  <c r="BD171"/>
  <c r="BC171"/>
  <c r="BB171"/>
  <c r="BA171"/>
  <c r="AZ171" s="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Z168" s="1"/>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s="1"/>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c r="BT155"/>
  <c r="BS155"/>
  <c r="BR155"/>
  <c r="BQ155"/>
  <c r="BP155"/>
  <c r="BO155"/>
  <c r="BN155"/>
  <c r="BM155"/>
  <c r="BL155" s="1"/>
  <c r="BK155"/>
  <c r="BJ155"/>
  <c r="BI155"/>
  <c r="BH155"/>
  <c r="BG155"/>
  <c r="BF155"/>
  <c r="BE155"/>
  <c r="BD155"/>
  <c r="BC155"/>
  <c r="BB155"/>
  <c r="BA155"/>
  <c r="AZ155" s="1"/>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G149" s="1"/>
  <c r="BT148"/>
  <c r="BS148"/>
  <c r="BR148"/>
  <c r="BQ148"/>
  <c r="BP148"/>
  <c r="BO148"/>
  <c r="BN148"/>
  <c r="BM148"/>
  <c r="BL148"/>
  <c r="BK148"/>
  <c r="BJ148"/>
  <c r="BI148"/>
  <c r="BH148"/>
  <c r="BG148"/>
  <c r="BF148"/>
  <c r="BE148"/>
  <c r="BD148"/>
  <c r="BC148"/>
  <c r="BB148"/>
  <c r="BA148" s="1"/>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c r="BT144"/>
  <c r="BS144"/>
  <c r="BR144"/>
  <c r="BQ144"/>
  <c r="BP144"/>
  <c r="BO144"/>
  <c r="BN144"/>
  <c r="BM144"/>
  <c r="BL144" s="1"/>
  <c r="BK144"/>
  <c r="BJ144"/>
  <c r="BI144"/>
  <c r="BH144"/>
  <c r="BG144"/>
  <c r="BF144"/>
  <c r="BE144"/>
  <c r="BD144"/>
  <c r="BC144"/>
  <c r="BB144"/>
  <c r="BA144"/>
  <c r="AZ144" s="1"/>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G133" s="1"/>
  <c r="BT132"/>
  <c r="BS132"/>
  <c r="BR132"/>
  <c r="BQ132"/>
  <c r="BP132"/>
  <c r="BO132"/>
  <c r="BN132"/>
  <c r="BM132"/>
  <c r="BL132"/>
  <c r="BK132"/>
  <c r="BJ132"/>
  <c r="BI132"/>
  <c r="BH132"/>
  <c r="BG132"/>
  <c r="BF132"/>
  <c r="BE132"/>
  <c r="BD132"/>
  <c r="BC132"/>
  <c r="BB132"/>
  <c r="BA132" s="1"/>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c r="AZ128" s="1"/>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c r="AX125"/>
  <c r="AW125"/>
  <c r="AV125"/>
  <c r="AC125"/>
  <c r="H125"/>
  <c r="G125" s="1"/>
  <c r="BT124"/>
  <c r="BS124"/>
  <c r="BR124"/>
  <c r="BQ124"/>
  <c r="BP124"/>
  <c r="BO124"/>
  <c r="BN124"/>
  <c r="BM124"/>
  <c r="BL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G121"/>
  <c r="BT120"/>
  <c r="BS120"/>
  <c r="BR120"/>
  <c r="BQ120"/>
  <c r="BP120"/>
  <c r="BO120"/>
  <c r="BN120"/>
  <c r="BM120"/>
  <c r="BL120" s="1"/>
  <c r="BK120"/>
  <c r="BJ120"/>
  <c r="BI120"/>
  <c r="BH120"/>
  <c r="BG120"/>
  <c r="BF120"/>
  <c r="BE120"/>
  <c r="BD120"/>
  <c r="BC120"/>
  <c r="BB120"/>
  <c r="BA120"/>
  <c r="AZ120" s="1"/>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G117" s="1"/>
  <c r="BT116"/>
  <c r="BS116"/>
  <c r="BR116"/>
  <c r="BQ116"/>
  <c r="BP116"/>
  <c r="BO116"/>
  <c r="BN116"/>
  <c r="BM116"/>
  <c r="BL116"/>
  <c r="BK116"/>
  <c r="BJ116"/>
  <c r="BI116"/>
  <c r="BH116"/>
  <c r="BG116"/>
  <c r="BF116"/>
  <c r="BE116"/>
  <c r="BD116"/>
  <c r="BC116"/>
  <c r="BB116"/>
  <c r="BA116" s="1"/>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c r="AZ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s="1"/>
  <c r="BT287"/>
  <c r="BS287"/>
  <c r="BR287"/>
  <c r="BQ287"/>
  <c r="BP287"/>
  <c r="BO287"/>
  <c r="BN287"/>
  <c r="BM287"/>
  <c r="BL287"/>
  <c r="BK287"/>
  <c r="BJ287"/>
  <c r="BI287"/>
  <c r="BH287"/>
  <c r="BG287"/>
  <c r="BF287"/>
  <c r="BE287"/>
  <c r="BD287"/>
  <c r="BC287"/>
  <c r="BB287"/>
  <c r="BA287" s="1"/>
  <c r="AZ287" s="1"/>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X284"/>
  <c r="AW284"/>
  <c r="AV284"/>
  <c r="AC284"/>
  <c r="H284"/>
  <c r="G284" s="1"/>
  <c r="BT283"/>
  <c r="BS283"/>
  <c r="BR283"/>
  <c r="BQ283"/>
  <c r="BP283"/>
  <c r="BO283"/>
  <c r="BN283"/>
  <c r="BM283"/>
  <c r="BL283"/>
  <c r="BK283"/>
  <c r="BJ283"/>
  <c r="BI283"/>
  <c r="BH283"/>
  <c r="BG283"/>
  <c r="BF283"/>
  <c r="BE283"/>
  <c r="BD283"/>
  <c r="BC283"/>
  <c r="BB283"/>
  <c r="BA283" s="1"/>
  <c r="AZ283" s="1"/>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c r="BT280"/>
  <c r="BS280"/>
  <c r="BR280"/>
  <c r="BQ280"/>
  <c r="BP280"/>
  <c r="BO280"/>
  <c r="BN280"/>
  <c r="BM280"/>
  <c r="BL280" s="1"/>
  <c r="BK280"/>
  <c r="BJ280"/>
  <c r="BI280"/>
  <c r="BH280"/>
  <c r="BG280"/>
  <c r="BF280"/>
  <c r="BE280"/>
  <c r="BD280"/>
  <c r="BC280"/>
  <c r="BB280"/>
  <c r="BA280"/>
  <c r="AZ280" s="1"/>
  <c r="AX280"/>
  <c r="AW280"/>
  <c r="AV280"/>
  <c r="AC280"/>
  <c r="H280"/>
  <c r="G280" s="1"/>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X276"/>
  <c r="AW276"/>
  <c r="AV276"/>
  <c r="AC276"/>
  <c r="H276"/>
  <c r="G276" s="1"/>
  <c r="BT275"/>
  <c r="BS275"/>
  <c r="BR275"/>
  <c r="BQ275"/>
  <c r="BP275"/>
  <c r="BO275"/>
  <c r="BN275"/>
  <c r="BM275"/>
  <c r="BL275"/>
  <c r="BK275"/>
  <c r="BJ275"/>
  <c r="BI275"/>
  <c r="BH275"/>
  <c r="BG275"/>
  <c r="BF275"/>
  <c r="BE275"/>
  <c r="BD275"/>
  <c r="BC275"/>
  <c r="BB275"/>
  <c r="BA275" s="1"/>
  <c r="AZ275" s="1"/>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c r="AZ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Z238" s="1"/>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Z214" s="1"/>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Z386" s="1"/>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s="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s="1"/>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Z464" s="1"/>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s="1"/>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M451"/>
  <c r="BL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Z440" s="1"/>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X429"/>
  <c r="AW429"/>
  <c r="AV429"/>
  <c r="AC429"/>
  <c r="H429"/>
  <c r="G429" s="1"/>
  <c r="BT428"/>
  <c r="BS428"/>
  <c r="BR428"/>
  <c r="BQ428"/>
  <c r="BP428"/>
  <c r="BO428"/>
  <c r="BN428"/>
  <c r="BM428"/>
  <c r="BL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s="1"/>
  <c r="BK420"/>
  <c r="BJ420"/>
  <c r="BI420"/>
  <c r="BH420"/>
  <c r="BG420"/>
  <c r="BF420"/>
  <c r="BE420"/>
  <c r="BD420"/>
  <c r="BC420"/>
  <c r="BB420"/>
  <c r="BA420"/>
  <c r="AX420"/>
  <c r="AW420"/>
  <c r="AV420"/>
  <c r="AC420"/>
  <c r="H420"/>
  <c r="G420" s="1"/>
  <c r="BT419"/>
  <c r="BS419"/>
  <c r="BR419"/>
  <c r="BQ419"/>
  <c r="BP419"/>
  <c r="BO419"/>
  <c r="BN419"/>
  <c r="BM419"/>
  <c r="BL419"/>
  <c r="BK419"/>
  <c r="BJ419"/>
  <c r="BI419"/>
  <c r="BH419"/>
  <c r="BG419"/>
  <c r="BF419"/>
  <c r="BE419"/>
  <c r="BD419"/>
  <c r="BC419"/>
  <c r="BB419"/>
  <c r="BA419" s="1"/>
  <c r="AZ419" s="1"/>
  <c r="AX419"/>
  <c r="AW419"/>
  <c r="AV419"/>
  <c r="AC419"/>
  <c r="H419"/>
  <c r="G419"/>
  <c r="BT418"/>
  <c r="BS418"/>
  <c r="BR418"/>
  <c r="BQ418"/>
  <c r="BP418"/>
  <c r="BO418"/>
  <c r="BN418"/>
  <c r="BM418"/>
  <c r="BL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Z417" s="1"/>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c r="BT413"/>
  <c r="BS413"/>
  <c r="BR413"/>
  <c r="BQ413"/>
  <c r="BP413"/>
  <c r="BO413"/>
  <c r="BN413"/>
  <c r="BM413"/>
  <c r="BL413" s="1"/>
  <c r="BK413"/>
  <c r="BJ413"/>
  <c r="BI413"/>
  <c r="BH413"/>
  <c r="BG413"/>
  <c r="BF413"/>
  <c r="BE413"/>
  <c r="BD413"/>
  <c r="BC413"/>
  <c r="BB413"/>
  <c r="BA413"/>
  <c r="AX413"/>
  <c r="AW413"/>
  <c r="AV413"/>
  <c r="AC413"/>
  <c r="H413"/>
  <c r="G413" s="1"/>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BK411"/>
  <c r="BJ411"/>
  <c r="BI411"/>
  <c r="BH411"/>
  <c r="BG411"/>
  <c r="BF411"/>
  <c r="BE411"/>
  <c r="BD411"/>
  <c r="BC411"/>
  <c r="BB411"/>
  <c r="BA411"/>
  <c r="AZ411" s="1"/>
  <c r="AX411"/>
  <c r="AW411"/>
  <c r="AV411"/>
  <c r="AC411"/>
  <c r="H411"/>
  <c r="G411" s="1"/>
  <c r="BT410"/>
  <c r="BS410"/>
  <c r="BR410"/>
  <c r="BQ410"/>
  <c r="BP410"/>
  <c r="BO410"/>
  <c r="BN410"/>
  <c r="BM410"/>
  <c r="BL410"/>
  <c r="BK410"/>
  <c r="BJ410"/>
  <c r="BI410"/>
  <c r="BH410"/>
  <c r="BG410"/>
  <c r="BF410"/>
  <c r="BE410"/>
  <c r="BD410"/>
  <c r="BC410"/>
  <c r="BB410"/>
  <c r="BA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X407"/>
  <c r="AW407"/>
  <c r="AV407"/>
  <c r="AC407"/>
  <c r="H407"/>
  <c r="G407" s="1"/>
  <c r="BT406"/>
  <c r="BS406"/>
  <c r="BR406"/>
  <c r="BQ406"/>
  <c r="BP406"/>
  <c r="BO406"/>
  <c r="BN406"/>
  <c r="BM406"/>
  <c r="BL406"/>
  <c r="BK406"/>
  <c r="BJ406"/>
  <c r="BI406"/>
  <c r="BH406"/>
  <c r="BG406"/>
  <c r="BF406"/>
  <c r="BE406"/>
  <c r="BD406"/>
  <c r="BC406"/>
  <c r="BB406"/>
  <c r="BA406" s="1"/>
  <c r="AZ406" s="1"/>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c r="AZ402" s="1"/>
  <c r="AX402"/>
  <c r="AW402"/>
  <c r="AV402"/>
  <c r="AC402"/>
  <c r="H402"/>
  <c r="G402" s="1"/>
  <c r="BT401"/>
  <c r="BS401"/>
  <c r="BR401"/>
  <c r="BQ401"/>
  <c r="BP401"/>
  <c r="BO401"/>
  <c r="BN401"/>
  <c r="BM401"/>
  <c r="BL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c r="BT397"/>
  <c r="BS397"/>
  <c r="BR397"/>
  <c r="BQ397"/>
  <c r="BP397"/>
  <c r="BO397"/>
  <c r="BN397"/>
  <c r="BM397"/>
  <c r="BL397" s="1"/>
  <c r="BK397"/>
  <c r="BJ397"/>
  <c r="BI397"/>
  <c r="BH397"/>
  <c r="BG397"/>
  <c r="BF397"/>
  <c r="BE397"/>
  <c r="BD397"/>
  <c r="BC397"/>
  <c r="BB397"/>
  <c r="BA397"/>
  <c r="AX397"/>
  <c r="AW397"/>
  <c r="AV397"/>
  <c r="AC397"/>
  <c r="H397"/>
  <c r="G397" s="1"/>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L394"/>
  <c r="BK394"/>
  <c r="BJ394"/>
  <c r="BI394"/>
  <c r="BH394"/>
  <c r="BG394"/>
  <c r="BF394"/>
  <c r="BE394"/>
  <c r="BD394"/>
  <c r="BC394"/>
  <c r="BB394"/>
  <c r="BA394" s="1"/>
  <c r="AX394"/>
  <c r="AW394"/>
  <c r="AV394"/>
  <c r="AC394"/>
  <c r="H394"/>
  <c r="G394" s="1"/>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c r="AX392"/>
  <c r="AW392"/>
  <c r="AV392"/>
  <c r="AC392"/>
  <c r="H392"/>
  <c r="G392" s="1"/>
  <c r="BT391"/>
  <c r="BS391"/>
  <c r="BR391"/>
  <c r="BQ391"/>
  <c r="BP391"/>
  <c r="BO391"/>
  <c r="BN391"/>
  <c r="BM391"/>
  <c r="BL391"/>
  <c r="BK391"/>
  <c r="BJ391"/>
  <c r="BI391"/>
  <c r="BH391"/>
  <c r="BG391"/>
  <c r="BF391"/>
  <c r="BE391"/>
  <c r="BD391"/>
  <c r="BC391"/>
  <c r="BB391"/>
  <c r="BA391" s="1"/>
  <c r="AX391"/>
  <c r="AW391"/>
  <c r="AV391"/>
  <c r="AC391"/>
  <c r="H391"/>
  <c r="G391" s="1"/>
  <c r="BT390"/>
  <c r="BS390"/>
  <c r="BR390"/>
  <c r="BQ390"/>
  <c r="BP390"/>
  <c r="BO390"/>
  <c r="BN390"/>
  <c r="BM390"/>
  <c r="BL390"/>
  <c r="BK390"/>
  <c r="BJ390"/>
  <c r="BI390"/>
  <c r="BH390"/>
  <c r="BG390"/>
  <c r="BF390"/>
  <c r="BE390"/>
  <c r="BD390"/>
  <c r="BC390"/>
  <c r="BB390"/>
  <c r="BA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s="1"/>
  <c r="K139"/>
  <c r="M87"/>
  <c r="L87"/>
  <c r="K87"/>
  <c r="J87"/>
  <c r="I87"/>
  <c r="H87"/>
  <c r="G87"/>
  <c r="F87"/>
  <c r="E87"/>
  <c r="D87"/>
  <c r="G2" i="46"/>
  <c r="X7" s="1"/>
  <c r="G19"/>
  <c r="R28" i="31"/>
  <c r="S28" s="1"/>
  <c r="R29"/>
  <c r="S29" s="1"/>
  <c r="R30"/>
  <c r="S30" s="1"/>
  <c r="R31"/>
  <c r="S31" s="1"/>
  <c r="R32"/>
  <c r="S32" s="1"/>
  <c r="R33"/>
  <c r="S33" s="1"/>
  <c r="R34"/>
  <c r="S34" s="1"/>
  <c r="R35"/>
  <c r="S35" s="1"/>
  <c r="R36"/>
  <c r="S36" s="1"/>
  <c r="R37"/>
  <c r="S37" s="1"/>
  <c r="R38"/>
  <c r="S38" s="1"/>
  <c r="R39"/>
  <c r="S39" s="1"/>
  <c r="R40"/>
  <c r="S40" s="1"/>
  <c r="R41"/>
  <c r="S41" s="1"/>
  <c r="R42"/>
  <c r="S42" s="1"/>
  <c r="R43"/>
  <c r="S43" s="1"/>
  <c r="R44"/>
  <c r="S44" s="1"/>
  <c r="R45"/>
  <c r="S45" s="1"/>
  <c r="R46"/>
  <c r="S46" s="1"/>
  <c r="R47"/>
  <c r="S47" s="1"/>
  <c r="R48"/>
  <c r="S48" s="1"/>
  <c r="R49"/>
  <c r="S49" s="1"/>
  <c r="R50"/>
  <c r="S50" s="1"/>
  <c r="R51"/>
  <c r="S51" s="1"/>
  <c r="R52"/>
  <c r="S52" s="1"/>
  <c r="R53"/>
  <c r="S53" s="1"/>
  <c r="R54"/>
  <c r="S54" s="1"/>
  <c r="R55"/>
  <c r="S55" s="1"/>
  <c r="R56"/>
  <c r="S56" s="1"/>
  <c r="R57"/>
  <c r="S57" s="1"/>
  <c r="R58"/>
  <c r="S58" s="1"/>
  <c r="R59"/>
  <c r="S59" s="1"/>
  <c r="R60"/>
  <c r="S60" s="1"/>
  <c r="R61"/>
  <c r="S61" s="1"/>
  <c r="R62"/>
  <c r="S62" s="1"/>
  <c r="R63"/>
  <c r="S63" s="1"/>
  <c r="R64"/>
  <c r="S64" s="1"/>
  <c r="R65"/>
  <c r="S65" s="1"/>
  <c r="R66"/>
  <c r="S66" s="1"/>
  <c r="R67"/>
  <c r="S67" s="1"/>
  <c r="R68"/>
  <c r="S68" s="1"/>
  <c r="R69"/>
  <c r="S69" s="1"/>
  <c r="R70"/>
  <c r="S70" s="1"/>
  <c r="R71"/>
  <c r="S71" s="1"/>
  <c r="R72"/>
  <c r="S72" s="1"/>
  <c r="R73"/>
  <c r="R74"/>
  <c r="S74" s="1"/>
  <c r="R75"/>
  <c r="S75" s="1"/>
  <c r="R76"/>
  <c r="S76" s="1"/>
  <c r="R77"/>
  <c r="S77" s="1"/>
  <c r="R78"/>
  <c r="S78" s="1"/>
  <c r="R79"/>
  <c r="S79" s="1"/>
  <c r="R80"/>
  <c r="S80" s="1"/>
  <c r="R81"/>
  <c r="S81" s="1"/>
  <c r="R82"/>
  <c r="S82" s="1"/>
  <c r="R83"/>
  <c r="S83" s="1"/>
  <c r="R84"/>
  <c r="S84" s="1"/>
  <c r="R85"/>
  <c r="R86"/>
  <c r="S86" s="1"/>
  <c r="R87"/>
  <c r="S87" s="1"/>
  <c r="R88"/>
  <c r="S88" s="1"/>
  <c r="R89"/>
  <c r="S89" s="1"/>
  <c r="R90"/>
  <c r="S90" s="1"/>
  <c r="R91"/>
  <c r="S91" s="1"/>
  <c r="R92"/>
  <c r="S92" s="1"/>
  <c r="R93"/>
  <c r="S93" s="1"/>
  <c r="R94"/>
  <c r="S94" s="1"/>
  <c r="R95"/>
  <c r="S95" s="1"/>
  <c r="R96"/>
  <c r="S96" s="1"/>
  <c r="R97"/>
  <c r="S97" s="1"/>
  <c r="R98"/>
  <c r="S98" s="1"/>
  <c r="R99"/>
  <c r="S99" s="1"/>
  <c r="R100"/>
  <c r="S100" s="1"/>
  <c r="R101"/>
  <c r="S101" s="1"/>
  <c r="R102"/>
  <c r="S102" s="1"/>
  <c r="R103"/>
  <c r="S103" s="1"/>
  <c r="R104"/>
  <c r="S104" s="1"/>
  <c r="R105"/>
  <c r="S105" s="1"/>
  <c r="R106"/>
  <c r="S106" s="1"/>
  <c r="R107"/>
  <c r="S107" s="1"/>
  <c r="R108"/>
  <c r="S108" s="1"/>
  <c r="R109"/>
  <c r="S109" s="1"/>
  <c r="R110"/>
  <c r="S110" s="1"/>
  <c r="R111"/>
  <c r="S111" s="1"/>
  <c r="R112"/>
  <c r="S112" s="1"/>
  <c r="R113"/>
  <c r="S113" s="1"/>
  <c r="R114"/>
  <c r="S114" s="1"/>
  <c r="R115"/>
  <c r="S115" s="1"/>
  <c r="R116"/>
  <c r="S116" s="1"/>
  <c r="R117"/>
  <c r="S117" s="1"/>
  <c r="R118"/>
  <c r="S118" s="1"/>
  <c r="R119"/>
  <c r="S119" s="1"/>
  <c r="R120"/>
  <c r="S120" s="1"/>
  <c r="R121"/>
  <c r="S121" s="1"/>
  <c r="R122"/>
  <c r="S122" s="1"/>
  <c r="R123"/>
  <c r="S123" s="1"/>
  <c r="R124"/>
  <c r="S124" s="1"/>
  <c r="R125"/>
  <c r="S125" s="1"/>
  <c r="R126"/>
  <c r="S126" s="1"/>
  <c r="R127"/>
  <c r="S127" s="1"/>
  <c r="R128"/>
  <c r="S128" s="1"/>
  <c r="R129"/>
  <c r="S129" s="1"/>
  <c r="R130"/>
  <c r="S130" s="1"/>
  <c r="R131"/>
  <c r="S131" s="1"/>
  <c r="R132"/>
  <c r="S132" s="1"/>
  <c r="R133"/>
  <c r="S133" s="1"/>
  <c r="R134"/>
  <c r="S134" s="1"/>
  <c r="R135"/>
  <c r="S135" s="1"/>
  <c r="R136"/>
  <c r="S136" s="1"/>
  <c r="R137"/>
  <c r="S137" s="1"/>
  <c r="R138"/>
  <c r="S138" s="1"/>
  <c r="R139"/>
  <c r="S139" s="1"/>
  <c r="R140"/>
  <c r="S140" s="1"/>
  <c r="R141"/>
  <c r="S141" s="1"/>
  <c r="R142"/>
  <c r="S142" s="1"/>
  <c r="R143"/>
  <c r="S143" s="1"/>
  <c r="R144"/>
  <c r="S144" s="1"/>
  <c r="R145"/>
  <c r="S145" s="1"/>
  <c r="R146"/>
  <c r="S146" s="1"/>
  <c r="R147"/>
  <c r="S147" s="1"/>
  <c r="R148"/>
  <c r="S148" s="1"/>
  <c r="R149"/>
  <c r="S149" s="1"/>
  <c r="R150"/>
  <c r="S150" s="1"/>
  <c r="R151"/>
  <c r="S151" s="1"/>
  <c r="R152"/>
  <c r="S152" s="1"/>
  <c r="R153"/>
  <c r="R154"/>
  <c r="S154" s="1"/>
  <c r="R155"/>
  <c r="S155" s="1"/>
  <c r="R156"/>
  <c r="S156" s="1"/>
  <c r="R157"/>
  <c r="S157" s="1"/>
  <c r="R158"/>
  <c r="S158" s="1"/>
  <c r="R159"/>
  <c r="S159" s="1"/>
  <c r="R160"/>
  <c r="S160" s="1"/>
  <c r="R161"/>
  <c r="S161" s="1"/>
  <c r="R162"/>
  <c r="S162" s="1"/>
  <c r="R163"/>
  <c r="S163" s="1"/>
  <c r="R164"/>
  <c r="S164" s="1"/>
  <c r="R165"/>
  <c r="S165" s="1"/>
  <c r="R166"/>
  <c r="S166" s="1"/>
  <c r="R167"/>
  <c r="S167" s="1"/>
  <c r="R168"/>
  <c r="S168" s="1"/>
  <c r="R169"/>
  <c r="S169" s="1"/>
  <c r="R170"/>
  <c r="S170" s="1"/>
  <c r="R171"/>
  <c r="S171" s="1"/>
  <c r="R172"/>
  <c r="S172" s="1"/>
  <c r="R173"/>
  <c r="S173" s="1"/>
  <c r="R174"/>
  <c r="S174" s="1"/>
  <c r="R175"/>
  <c r="S175" s="1"/>
  <c r="R176"/>
  <c r="S176" s="1"/>
  <c r="R177"/>
  <c r="S177" s="1"/>
  <c r="R178"/>
  <c r="S178" s="1"/>
  <c r="R179"/>
  <c r="S179" s="1"/>
  <c r="R180"/>
  <c r="S180" s="1"/>
  <c r="R181"/>
  <c r="S181" s="1"/>
  <c r="R182"/>
  <c r="S182" s="1"/>
  <c r="R183"/>
  <c r="S183" s="1"/>
  <c r="R184"/>
  <c r="S184" s="1"/>
  <c r="R185"/>
  <c r="S185" s="1"/>
  <c r="R186"/>
  <c r="S186" s="1"/>
  <c r="R187"/>
  <c r="S187" s="1"/>
  <c r="R188"/>
  <c r="S188" s="1"/>
  <c r="R189"/>
  <c r="S189" s="1"/>
  <c r="R190"/>
  <c r="S190" s="1"/>
  <c r="R191"/>
  <c r="S191" s="1"/>
  <c r="R192"/>
  <c r="S192" s="1"/>
  <c r="R193"/>
  <c r="S193" s="1"/>
  <c r="R194"/>
  <c r="S194" s="1"/>
  <c r="R195"/>
  <c r="S195" s="1"/>
  <c r="R196"/>
  <c r="S196" s="1"/>
  <c r="R197"/>
  <c r="S197" s="1"/>
  <c r="R198"/>
  <c r="S198" s="1"/>
  <c r="R199"/>
  <c r="S199" s="1"/>
  <c r="R200"/>
  <c r="S200" s="1"/>
  <c r="R201"/>
  <c r="S201" s="1"/>
  <c r="R202"/>
  <c r="S202" s="1"/>
  <c r="R203"/>
  <c r="S203" s="1"/>
  <c r="R204"/>
  <c r="S204" s="1"/>
  <c r="R205"/>
  <c r="S205" s="1"/>
  <c r="R206"/>
  <c r="S206" s="1"/>
  <c r="R207"/>
  <c r="S207" s="1"/>
  <c r="R208"/>
  <c r="S208" s="1"/>
  <c r="R209"/>
  <c r="S209" s="1"/>
  <c r="R210"/>
  <c r="S210" s="1"/>
  <c r="R211"/>
  <c r="S211" s="1"/>
  <c r="R212"/>
  <c r="S212" s="1"/>
  <c r="R213"/>
  <c r="S213" s="1"/>
  <c r="R214"/>
  <c r="S214" s="1"/>
  <c r="R215"/>
  <c r="S215" s="1"/>
  <c r="R216"/>
  <c r="S216" s="1"/>
  <c r="R217"/>
  <c r="R218"/>
  <c r="S218" s="1"/>
  <c r="R219"/>
  <c r="S219" s="1"/>
  <c r="R220"/>
  <c r="S220" s="1"/>
  <c r="R221"/>
  <c r="S221" s="1"/>
  <c r="R222"/>
  <c r="S222" s="1"/>
  <c r="R223"/>
  <c r="S223" s="1"/>
  <c r="R224"/>
  <c r="S224" s="1"/>
  <c r="R225"/>
  <c r="S225" s="1"/>
  <c r="R226"/>
  <c r="S226" s="1"/>
  <c r="R227"/>
  <c r="S227" s="1"/>
  <c r="R228"/>
  <c r="S228" s="1"/>
  <c r="R229"/>
  <c r="S229" s="1"/>
  <c r="R230"/>
  <c r="S230" s="1"/>
  <c r="R231"/>
  <c r="S231" s="1"/>
  <c r="R232"/>
  <c r="S232" s="1"/>
  <c r="R233"/>
  <c r="S233" s="1"/>
  <c r="R234"/>
  <c r="S234" s="1"/>
  <c r="R235"/>
  <c r="S235" s="1"/>
  <c r="R236"/>
  <c r="S236" s="1"/>
  <c r="R237"/>
  <c r="S237" s="1"/>
  <c r="R238"/>
  <c r="S238" s="1"/>
  <c r="R239"/>
  <c r="S239" s="1"/>
  <c r="R240"/>
  <c r="S240" s="1"/>
  <c r="R241"/>
  <c r="S241" s="1"/>
  <c r="R242"/>
  <c r="S242" s="1"/>
  <c r="R243"/>
  <c r="S243" s="1"/>
  <c r="R244"/>
  <c r="S244" s="1"/>
  <c r="R245"/>
  <c r="S245" s="1"/>
  <c r="R246"/>
  <c r="S246" s="1"/>
  <c r="R247"/>
  <c r="S247" s="1"/>
  <c r="R248"/>
  <c r="S248" s="1"/>
  <c r="R249"/>
  <c r="S249" s="1"/>
  <c r="R250"/>
  <c r="S250" s="1"/>
  <c r="R251"/>
  <c r="R252"/>
  <c r="S252" s="1"/>
  <c r="R253"/>
  <c r="S253" s="1"/>
  <c r="R254"/>
  <c r="S254" s="1"/>
  <c r="R255"/>
  <c r="S255" s="1"/>
  <c r="R256"/>
  <c r="S256" s="1"/>
  <c r="R257"/>
  <c r="S257" s="1"/>
  <c r="R258"/>
  <c r="S258" s="1"/>
  <c r="R259"/>
  <c r="S259" s="1"/>
  <c r="R260"/>
  <c r="S260" s="1"/>
  <c r="R261"/>
  <c r="S261" s="1"/>
  <c r="R262"/>
  <c r="S262" s="1"/>
  <c r="R263"/>
  <c r="S263" s="1"/>
  <c r="R264"/>
  <c r="S264" s="1"/>
  <c r="R265"/>
  <c r="S265" s="1"/>
  <c r="R266"/>
  <c r="S266" s="1"/>
  <c r="R267"/>
  <c r="S267" s="1"/>
  <c r="R268"/>
  <c r="S268" s="1"/>
  <c r="R269"/>
  <c r="S269" s="1"/>
  <c r="R270"/>
  <c r="S270" s="1"/>
  <c r="R271"/>
  <c r="S271" s="1"/>
  <c r="R272"/>
  <c r="S272" s="1"/>
  <c r="R273"/>
  <c r="S273" s="1"/>
  <c r="R274"/>
  <c r="S274" s="1"/>
  <c r="R275"/>
  <c r="S275" s="1"/>
  <c r="R276"/>
  <c r="S276" s="1"/>
  <c r="R277"/>
  <c r="S277" s="1"/>
  <c r="R278"/>
  <c r="S278" s="1"/>
  <c r="R279"/>
  <c r="S279" s="1"/>
  <c r="R280"/>
  <c r="S280" s="1"/>
  <c r="R281"/>
  <c r="S281" s="1"/>
  <c r="R282"/>
  <c r="R283"/>
  <c r="S283" s="1"/>
  <c r="R284"/>
  <c r="S284" s="1"/>
  <c r="R285"/>
  <c r="S285" s="1"/>
  <c r="R286"/>
  <c r="S286" s="1"/>
  <c r="R287"/>
  <c r="S287" s="1"/>
  <c r="R288"/>
  <c r="S288" s="1"/>
  <c r="R289"/>
  <c r="S289" s="1"/>
  <c r="R290"/>
  <c r="S290" s="1"/>
  <c r="R291"/>
  <c r="S291" s="1"/>
  <c r="R292"/>
  <c r="S292" s="1"/>
  <c r="R293"/>
  <c r="S293" s="1"/>
  <c r="R294"/>
  <c r="S294" s="1"/>
  <c r="R295"/>
  <c r="S295" s="1"/>
  <c r="R296"/>
  <c r="S296" s="1"/>
  <c r="R297"/>
  <c r="S297" s="1"/>
  <c r="R298"/>
  <c r="S298" s="1"/>
  <c r="R299"/>
  <c r="S299" s="1"/>
  <c r="R300"/>
  <c r="S300" s="1"/>
  <c r="R301"/>
  <c r="S301" s="1"/>
  <c r="R302"/>
  <c r="S302" s="1"/>
  <c r="R303"/>
  <c r="S303" s="1"/>
  <c r="R304"/>
  <c r="S304" s="1"/>
  <c r="R305"/>
  <c r="S305" s="1"/>
  <c r="R306"/>
  <c r="S306" s="1"/>
  <c r="R307"/>
  <c r="S307" s="1"/>
  <c r="R308"/>
  <c r="S308" s="1"/>
  <c r="R309"/>
  <c r="S309" s="1"/>
  <c r="R310"/>
  <c r="S310" s="1"/>
  <c r="R311"/>
  <c r="S311" s="1"/>
  <c r="R312"/>
  <c r="S312" s="1"/>
  <c r="R313"/>
  <c r="S313" s="1"/>
  <c r="R314"/>
  <c r="S314" s="1"/>
  <c r="R315"/>
  <c r="S315" s="1"/>
  <c r="R316"/>
  <c r="S316" s="1"/>
  <c r="R317"/>
  <c r="S317" s="1"/>
  <c r="R318"/>
  <c r="S318" s="1"/>
  <c r="R319"/>
  <c r="S319" s="1"/>
  <c r="R320"/>
  <c r="S320" s="1"/>
  <c r="R321"/>
  <c r="S321" s="1"/>
  <c r="R322"/>
  <c r="S322" s="1"/>
  <c r="R323"/>
  <c r="S323" s="1"/>
  <c r="R324"/>
  <c r="S324" s="1"/>
  <c r="R325"/>
  <c r="S325" s="1"/>
  <c r="R326"/>
  <c r="S326" s="1"/>
  <c r="R327"/>
  <c r="S327" s="1"/>
  <c r="R328"/>
  <c r="S328" s="1"/>
  <c r="R329"/>
  <c r="S329" s="1"/>
  <c r="R330"/>
  <c r="S330" s="1"/>
  <c r="R331"/>
  <c r="S331" s="1"/>
  <c r="R332"/>
  <c r="S332" s="1"/>
  <c r="R333"/>
  <c r="S333" s="1"/>
  <c r="R334"/>
  <c r="S334" s="1"/>
  <c r="R335"/>
  <c r="S335" s="1"/>
  <c r="R336"/>
  <c r="S336" s="1"/>
  <c r="R337"/>
  <c r="S337" s="1"/>
  <c r="R338"/>
  <c r="S338" s="1"/>
  <c r="R339"/>
  <c r="S339" s="1"/>
  <c r="R340"/>
  <c r="S340" s="1"/>
  <c r="R341"/>
  <c r="S341" s="1"/>
  <c r="R342"/>
  <c r="S342" s="1"/>
  <c r="R343"/>
  <c r="S343" s="1"/>
  <c r="R344"/>
  <c r="R345"/>
  <c r="S345" s="1"/>
  <c r="R346"/>
  <c r="S346" s="1"/>
  <c r="R347"/>
  <c r="S347" s="1"/>
  <c r="R348"/>
  <c r="S348" s="1"/>
  <c r="R349"/>
  <c r="S349" s="1"/>
  <c r="R350"/>
  <c r="S350" s="1"/>
  <c r="R351"/>
  <c r="S351" s="1"/>
  <c r="R352"/>
  <c r="S352" s="1"/>
  <c r="R353"/>
  <c r="S353" s="1"/>
  <c r="R354"/>
  <c r="S354" s="1"/>
  <c r="R355"/>
  <c r="S355" s="1"/>
  <c r="R356"/>
  <c r="S356" s="1"/>
  <c r="R357"/>
  <c r="S357" s="1"/>
  <c r="R358"/>
  <c r="S358" s="1"/>
  <c r="R359"/>
  <c r="S359" s="1"/>
  <c r="R360"/>
  <c r="S360" s="1"/>
  <c r="R361"/>
  <c r="S361" s="1"/>
  <c r="R362"/>
  <c r="S362" s="1"/>
  <c r="R363"/>
  <c r="S363" s="1"/>
  <c r="R364"/>
  <c r="S364" s="1"/>
  <c r="R365"/>
  <c r="S365" s="1"/>
  <c r="R366"/>
  <c r="S366" s="1"/>
  <c r="R367"/>
  <c r="S367" s="1"/>
  <c r="R368"/>
  <c r="S368" s="1"/>
  <c r="R369"/>
  <c r="S369" s="1"/>
  <c r="R370"/>
  <c r="S370" s="1"/>
  <c r="R371"/>
  <c r="S371" s="1"/>
  <c r="R372"/>
  <c r="S372" s="1"/>
  <c r="R373"/>
  <c r="S373" s="1"/>
  <c r="R374"/>
  <c r="S374" s="1"/>
  <c r="R375"/>
  <c r="S375" s="1"/>
  <c r="R376"/>
  <c r="S376" s="1"/>
  <c r="R377"/>
  <c r="S377" s="1"/>
  <c r="R378"/>
  <c r="S378" s="1"/>
  <c r="R379"/>
  <c r="S379" s="1"/>
  <c r="R380"/>
  <c r="S380" s="1"/>
  <c r="R381"/>
  <c r="S381" s="1"/>
  <c r="R382"/>
  <c r="S382" s="1"/>
  <c r="R383"/>
  <c r="S383" s="1"/>
  <c r="R384"/>
  <c r="S384" s="1"/>
  <c r="R385"/>
  <c r="S385" s="1"/>
  <c r="R386"/>
  <c r="S386" s="1"/>
  <c r="R387"/>
  <c r="S387" s="1"/>
  <c r="R388"/>
  <c r="S388" s="1"/>
  <c r="R389"/>
  <c r="S389" s="1"/>
  <c r="R390"/>
  <c r="S390" s="1"/>
  <c r="R391"/>
  <c r="S391" s="1"/>
  <c r="R392"/>
  <c r="S392" s="1"/>
  <c r="R393"/>
  <c r="S393" s="1"/>
  <c r="R394"/>
  <c r="S394" s="1"/>
  <c r="R395"/>
  <c r="S395" s="1"/>
  <c r="R396"/>
  <c r="S396" s="1"/>
  <c r="R397"/>
  <c r="S397" s="1"/>
  <c r="R398"/>
  <c r="S398" s="1"/>
  <c r="R399"/>
  <c r="S399" s="1"/>
  <c r="R400"/>
  <c r="S400" s="1"/>
  <c r="R401"/>
  <c r="S401" s="1"/>
  <c r="R402"/>
  <c r="S402" s="1"/>
  <c r="R403"/>
  <c r="S403" s="1"/>
  <c r="R404"/>
  <c r="S404" s="1"/>
  <c r="R405"/>
  <c r="S405" s="1"/>
  <c r="R406"/>
  <c r="S406" s="1"/>
  <c r="R407"/>
  <c r="S407" s="1"/>
  <c r="R408"/>
  <c r="R409"/>
  <c r="S409" s="1"/>
  <c r="R410"/>
  <c r="S410" s="1"/>
  <c r="R411"/>
  <c r="S411" s="1"/>
  <c r="R412"/>
  <c r="S412" s="1"/>
  <c r="R413"/>
  <c r="S413" s="1"/>
  <c r="R414"/>
  <c r="S414" s="1"/>
  <c r="R415"/>
  <c r="S415" s="1"/>
  <c r="R416"/>
  <c r="S416" s="1"/>
  <c r="R417"/>
  <c r="S417" s="1"/>
  <c r="R418"/>
  <c r="S418" s="1"/>
  <c r="R419"/>
  <c r="S419" s="1"/>
  <c r="R420"/>
  <c r="S420" s="1"/>
  <c r="R421"/>
  <c r="S421" s="1"/>
  <c r="R422"/>
  <c r="S422" s="1"/>
  <c r="R423"/>
  <c r="S423" s="1"/>
  <c r="R424"/>
  <c r="S424" s="1"/>
  <c r="R425"/>
  <c r="S425" s="1"/>
  <c r="R426"/>
  <c r="S426" s="1"/>
  <c r="R427"/>
  <c r="S427" s="1"/>
  <c r="R428"/>
  <c r="S428" s="1"/>
  <c r="R429"/>
  <c r="S429" s="1"/>
  <c r="R430"/>
  <c r="S430" s="1"/>
  <c r="R431"/>
  <c r="S431" s="1"/>
  <c r="R432"/>
  <c r="S432" s="1"/>
  <c r="R433"/>
  <c r="S433" s="1"/>
  <c r="R434"/>
  <c r="S434" s="1"/>
  <c r="R435"/>
  <c r="S435" s="1"/>
  <c r="R436"/>
  <c r="S436" s="1"/>
  <c r="R437"/>
  <c r="S437" s="1"/>
  <c r="R438"/>
  <c r="S438" s="1"/>
  <c r="R439"/>
  <c r="S439" s="1"/>
  <c r="R440"/>
  <c r="S440" s="1"/>
  <c r="R441"/>
  <c r="S441" s="1"/>
  <c r="R442"/>
  <c r="S442" s="1"/>
  <c r="R443"/>
  <c r="S443" s="1"/>
  <c r="R444"/>
  <c r="S444" s="1"/>
  <c r="R445"/>
  <c r="S445" s="1"/>
  <c r="R446"/>
  <c r="S446" s="1"/>
  <c r="R447"/>
  <c r="S447" s="1"/>
  <c r="R448"/>
  <c r="S448" s="1"/>
  <c r="R449"/>
  <c r="S449" s="1"/>
  <c r="R450"/>
  <c r="S450" s="1"/>
  <c r="R451"/>
  <c r="S451" s="1"/>
  <c r="R452"/>
  <c r="S452" s="1"/>
  <c r="R453"/>
  <c r="S453" s="1"/>
  <c r="R454"/>
  <c r="S454" s="1"/>
  <c r="R455"/>
  <c r="R456"/>
  <c r="S456" s="1"/>
  <c r="R457"/>
  <c r="S457" s="1"/>
  <c r="R458"/>
  <c r="S458" s="1"/>
  <c r="R459"/>
  <c r="S459" s="1"/>
  <c r="R460"/>
  <c r="S460" s="1"/>
  <c r="R461"/>
  <c r="S461" s="1"/>
  <c r="R462"/>
  <c r="S462" s="1"/>
  <c r="R463"/>
  <c r="S463" s="1"/>
  <c r="R464"/>
  <c r="S464" s="1"/>
  <c r="R465"/>
  <c r="S465" s="1"/>
  <c r="R466"/>
  <c r="S466" s="1"/>
  <c r="R467"/>
  <c r="S467" s="1"/>
  <c r="R468"/>
  <c r="S468" s="1"/>
  <c r="R469"/>
  <c r="S469" s="1"/>
  <c r="R470"/>
  <c r="S470" s="1"/>
  <c r="R471"/>
  <c r="S471" s="1"/>
  <c r="R472"/>
  <c r="S472" s="1"/>
  <c r="R473"/>
  <c r="S473" s="1"/>
  <c r="R474"/>
  <c r="S474" s="1"/>
  <c r="R475"/>
  <c r="S475" s="1"/>
  <c r="R476"/>
  <c r="S476" s="1"/>
  <c r="R477"/>
  <c r="S477" s="1"/>
  <c r="R478"/>
  <c r="S478" s="1"/>
  <c r="R479"/>
  <c r="S479" s="1"/>
  <c r="R480"/>
  <c r="S480" s="1"/>
  <c r="R481"/>
  <c r="S481" s="1"/>
  <c r="R482"/>
  <c r="S482" s="1"/>
  <c r="R483"/>
  <c r="S483" s="1"/>
  <c r="R484"/>
  <c r="S484" s="1"/>
  <c r="R485"/>
  <c r="S485" s="1"/>
  <c r="R486"/>
  <c r="R487"/>
  <c r="S487" s="1"/>
  <c r="R488"/>
  <c r="S488" s="1"/>
  <c r="R489"/>
  <c r="S489" s="1"/>
  <c r="R490"/>
  <c r="S490" s="1"/>
  <c r="R491"/>
  <c r="S491" s="1"/>
  <c r="R492"/>
  <c r="S492" s="1"/>
  <c r="R493"/>
  <c r="S493" s="1"/>
  <c r="R494"/>
  <c r="S494" s="1"/>
  <c r="R495"/>
  <c r="S495" s="1"/>
  <c r="R496"/>
  <c r="S496" s="1"/>
  <c r="R497"/>
  <c r="S497" s="1"/>
  <c r="R498"/>
  <c r="S498" s="1"/>
  <c r="R499"/>
  <c r="S499" s="1"/>
  <c r="R500"/>
  <c r="S500" s="1"/>
  <c r="R501"/>
  <c r="S501" s="1"/>
  <c r="R502"/>
  <c r="S502" s="1"/>
  <c r="R503"/>
  <c r="R504"/>
  <c r="S504" s="1"/>
  <c r="R505"/>
  <c r="S505" s="1"/>
  <c r="R506"/>
  <c r="S506" s="1"/>
  <c r="R507"/>
  <c r="S507" s="1"/>
  <c r="R508"/>
  <c r="S508" s="1"/>
  <c r="R509"/>
  <c r="S509" s="1"/>
  <c r="R510"/>
  <c r="S510" s="1"/>
  <c r="R511"/>
  <c r="S511" s="1"/>
  <c r="R512"/>
  <c r="S512" s="1"/>
  <c r="R513"/>
  <c r="S513" s="1"/>
  <c r="R514"/>
  <c r="S514" s="1"/>
  <c r="R515"/>
  <c r="S515" s="1"/>
  <c r="R516"/>
  <c r="S516" s="1"/>
  <c r="R517"/>
  <c r="S517" s="1"/>
  <c r="R518"/>
  <c r="S518" s="1"/>
  <c r="R519"/>
  <c r="S519" s="1"/>
  <c r="R520"/>
  <c r="S520" s="1"/>
  <c r="R521"/>
  <c r="S521" s="1"/>
  <c r="R522"/>
  <c r="S522" s="1"/>
  <c r="R523"/>
  <c r="R524"/>
  <c r="S524" s="1"/>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A14" i="55" s="1"/>
  <c r="B65" i="63" s="1"/>
  <c r="I73" i="9"/>
  <c r="F73"/>
  <c r="P73" s="1"/>
  <c r="D107"/>
  <c r="C107" s="1"/>
  <c r="C105" s="1"/>
  <c r="C110" s="1"/>
  <c r="C17"/>
  <c r="D17"/>
  <c r="B30"/>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H10"/>
  <c r="AB10" s="1"/>
  <c r="H11"/>
  <c r="AB11" s="1"/>
  <c r="H36"/>
  <c r="AB36" s="1"/>
  <c r="J10"/>
  <c r="AC10" s="1"/>
  <c r="J11"/>
  <c r="AC11" s="1"/>
  <c r="J36"/>
  <c r="AC36" s="1"/>
  <c r="F35" i="44"/>
  <c r="M21"/>
  <c r="F20"/>
  <c r="C6" i="43"/>
  <c r="K9"/>
  <c r="J9"/>
  <c r="I9"/>
  <c r="H9"/>
  <c r="G9"/>
  <c r="F9"/>
  <c r="E9"/>
  <c r="D9"/>
  <c r="C9"/>
  <c r="BC13" i="3"/>
  <c r="BB13"/>
  <c r="BR13"/>
  <c r="B24" i="1"/>
  <c r="E77" i="9"/>
  <c r="O75" s="1"/>
  <c r="L75"/>
  <c r="F77"/>
  <c r="P75" s="1"/>
  <c r="O74"/>
  <c r="O73"/>
  <c r="E66"/>
  <c r="O72" s="1"/>
  <c r="F74"/>
  <c r="P74" s="1"/>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c r="F60" i="15"/>
  <c r="C30" i="40"/>
  <c r="G13" i="1"/>
  <c r="G12"/>
  <c r="D30" i="9"/>
  <c r="D95"/>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08"/>
  <c r="S344"/>
  <c r="S282"/>
  <c r="S251"/>
  <c r="S217"/>
  <c r="S153"/>
  <c r="S486"/>
  <c r="S455"/>
  <c r="S73"/>
  <c r="S85"/>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s="1"/>
  <c r="G54"/>
  <c r="H54" s="1"/>
  <c r="E54"/>
  <c r="F54" s="1"/>
  <c r="H14" i="3"/>
  <c r="AC14"/>
  <c r="H15"/>
  <c r="AC15"/>
  <c r="H16"/>
  <c r="AC16"/>
  <c r="H17"/>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s="1"/>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s="1"/>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D113"/>
  <c r="E113" s="1"/>
  <c r="F113" s="1"/>
  <c r="G113" s="1"/>
  <c r="H113" s="1"/>
  <c r="I113" s="1"/>
  <c r="J113" s="1"/>
  <c r="K113" s="1"/>
  <c r="L113" s="1"/>
  <c r="M113" s="1"/>
  <c r="F37"/>
  <c r="AA37" s="1"/>
  <c r="D111"/>
  <c r="E111"/>
  <c r="F111" s="1"/>
  <c r="G111" s="1"/>
  <c r="H111" s="1"/>
  <c r="I111" s="1"/>
  <c r="J111" s="1"/>
  <c r="K111" s="1"/>
  <c r="L111" s="1"/>
  <c r="M111" s="1"/>
  <c r="S523" i="31"/>
  <c r="F41" i="21"/>
  <c r="J41"/>
  <c r="AC41"/>
  <c r="H41"/>
  <c r="U41" s="1"/>
  <c r="D83" i="39"/>
  <c r="E83" s="1"/>
  <c r="F83" s="1"/>
  <c r="G83" s="1"/>
  <c r="H83" s="1"/>
  <c r="I83" s="1"/>
  <c r="J83" s="1"/>
  <c r="K83" s="1"/>
  <c r="L83" s="1"/>
  <c r="M83" s="1"/>
  <c r="D78" i="40"/>
  <c r="F13"/>
  <c r="S13" s="1"/>
  <c r="B122"/>
  <c r="F42"/>
  <c r="AA42" s="1"/>
  <c r="B120"/>
  <c r="B118"/>
  <c r="F40" s="1"/>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s="1"/>
  <c r="J17" s="1"/>
  <c r="B83"/>
  <c r="F16" s="1"/>
  <c r="AA16" s="1"/>
  <c r="B81"/>
  <c r="B79"/>
  <c r="F14"/>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E103" s="1"/>
  <c r="D101"/>
  <c r="E101" s="1"/>
  <c r="F101" s="1"/>
  <c r="G101" s="1"/>
  <c r="Q41"/>
  <c r="Z41"/>
  <c r="Q42"/>
  <c r="Z42"/>
  <c r="Q43"/>
  <c r="Q44"/>
  <c r="Z44" s="1"/>
  <c r="Q45"/>
  <c r="Z45" s="1"/>
  <c r="Q46"/>
  <c r="Z46" s="1"/>
  <c r="Q47"/>
  <c r="Z47" s="1"/>
  <c r="Q40"/>
  <c r="Z40" s="1"/>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c r="Q17"/>
  <c r="Z17" s="1"/>
  <c r="Q16"/>
  <c r="Z16" s="1"/>
  <c r="Q15"/>
  <c r="Z15" s="1"/>
  <c r="Q14"/>
  <c r="Z14" s="1"/>
  <c r="Q13"/>
  <c r="Z13" s="1"/>
  <c r="Q12"/>
  <c r="Z12" s="1"/>
  <c r="Q11"/>
  <c r="Z11" s="1"/>
  <c r="U10"/>
  <c r="C9"/>
  <c r="C70" s="1"/>
  <c r="C20" i="36"/>
  <c r="C20" i="35"/>
  <c r="C16" i="36"/>
  <c r="C16" i="35"/>
  <c r="C14" i="36"/>
  <c r="C14" i="35"/>
  <c r="B80" i="37"/>
  <c r="H25" s="1"/>
  <c r="U25" s="1"/>
  <c r="B110"/>
  <c r="J39" s="1"/>
  <c r="AC39" s="1"/>
  <c r="B108"/>
  <c r="C23"/>
  <c r="C19"/>
  <c r="C17"/>
  <c r="C15"/>
  <c r="B112"/>
  <c r="D107"/>
  <c r="E107" s="1"/>
  <c r="D105"/>
  <c r="E105" s="1"/>
  <c r="H36"/>
  <c r="D103"/>
  <c r="J35"/>
  <c r="AC35" s="1"/>
  <c r="F97"/>
  <c r="E97"/>
  <c r="D97"/>
  <c r="C97"/>
  <c r="D96"/>
  <c r="E96"/>
  <c r="D94"/>
  <c r="M90"/>
  <c r="L90"/>
  <c r="K90"/>
  <c r="J90"/>
  <c r="I90"/>
  <c r="H90"/>
  <c r="G90"/>
  <c r="F90"/>
  <c r="E90"/>
  <c r="D90"/>
  <c r="C90"/>
  <c r="D89"/>
  <c r="B86"/>
  <c r="B84"/>
  <c r="H27"/>
  <c r="U27" s="1"/>
  <c r="B82"/>
  <c r="D79"/>
  <c r="E79" s="1"/>
  <c r="D75"/>
  <c r="E75" s="1"/>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s="1"/>
  <c r="H29"/>
  <c r="U29" s="1"/>
  <c r="Q28"/>
  <c r="Z28" s="1"/>
  <c r="Q27"/>
  <c r="Z27" s="1"/>
  <c r="Q26"/>
  <c r="Z26" s="1"/>
  <c r="J26"/>
  <c r="H26"/>
  <c r="AB26" s="1"/>
  <c r="F26"/>
  <c r="AA26" s="1"/>
  <c r="Q25"/>
  <c r="Z25"/>
  <c r="F25"/>
  <c r="AA25" s="1"/>
  <c r="Q23"/>
  <c r="Z23"/>
  <c r="Q19"/>
  <c r="Z19" s="1"/>
  <c r="Q17"/>
  <c r="Z17" s="1"/>
  <c r="Q15"/>
  <c r="Z15" s="1"/>
  <c r="Q14"/>
  <c r="Z14" s="1"/>
  <c r="Q13"/>
  <c r="Z13" s="1"/>
  <c r="Q12"/>
  <c r="Z12" s="1"/>
  <c r="Q11"/>
  <c r="Z11" s="1"/>
  <c r="Q10"/>
  <c r="Z10" s="1"/>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s="1"/>
  <c r="S32" s="1"/>
  <c r="B95"/>
  <c r="H34" s="1"/>
  <c r="D83"/>
  <c r="E83" s="1"/>
  <c r="F83" s="1"/>
  <c r="G83" s="1"/>
  <c r="H83" s="1"/>
  <c r="I83" s="1"/>
  <c r="J83" s="1"/>
  <c r="K83" s="1"/>
  <c r="L83" s="1"/>
  <c r="M83" s="1"/>
  <c r="D78"/>
  <c r="J26"/>
  <c r="W26" s="1"/>
  <c r="B75"/>
  <c r="B73"/>
  <c r="J24" s="1"/>
  <c r="W24" s="1"/>
  <c r="B71"/>
  <c r="H23" s="1"/>
  <c r="AB23" s="1"/>
  <c r="D70"/>
  <c r="H22"/>
  <c r="AB22" s="1"/>
  <c r="D68"/>
  <c r="E68" s="1"/>
  <c r="D64"/>
  <c r="E64" s="1"/>
  <c r="F64" s="1"/>
  <c r="G64" s="1"/>
  <c r="J16"/>
  <c r="D62"/>
  <c r="E62" s="1"/>
  <c r="B59"/>
  <c r="B57"/>
  <c r="J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J23"/>
  <c r="AC23" s="1"/>
  <c r="F23"/>
  <c r="AA23" s="1"/>
  <c r="Q22"/>
  <c r="Z22"/>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s="1"/>
  <c r="AC24" s="1"/>
  <c r="B73"/>
  <c r="B57"/>
  <c r="B61"/>
  <c r="B59"/>
  <c r="H12" s="1"/>
  <c r="B131" i="34"/>
  <c r="B129"/>
  <c r="B127"/>
  <c r="B99"/>
  <c r="B97"/>
  <c r="B95"/>
  <c r="B93"/>
  <c r="B75"/>
  <c r="B73"/>
  <c r="B71"/>
  <c r="B130" i="33"/>
  <c r="B128"/>
  <c r="H45"/>
  <c r="U45" s="1"/>
  <c r="B126"/>
  <c r="B98"/>
  <c r="F31" s="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s="1"/>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s="1"/>
  <c r="Q24"/>
  <c r="Z24" s="1"/>
  <c r="Q23"/>
  <c r="Z23" s="1"/>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s="1"/>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S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J41" s="1"/>
  <c r="AC41" s="1"/>
  <c r="F109"/>
  <c r="E109"/>
  <c r="D109"/>
  <c r="C109"/>
  <c r="D91"/>
  <c r="E91" s="1"/>
  <c r="F91" s="1"/>
  <c r="G91" s="1"/>
  <c r="H91" s="1"/>
  <c r="I91" s="1"/>
  <c r="J91" s="1"/>
  <c r="K91" s="1"/>
  <c r="L91" s="1"/>
  <c r="M91" s="1"/>
  <c r="B88"/>
  <c r="J26"/>
  <c r="AC26" s="1"/>
  <c r="C23"/>
  <c r="E23" s="1"/>
  <c r="G23" s="1"/>
  <c r="C19"/>
  <c r="E19" s="1"/>
  <c r="G19" s="1"/>
  <c r="C17"/>
  <c r="E17" s="1"/>
  <c r="G17" s="1"/>
  <c r="C15"/>
  <c r="E15" s="1"/>
  <c r="G15" s="1"/>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P49"/>
  <c r="P48"/>
  <c r="V47"/>
  <c r="T47"/>
  <c r="R47"/>
  <c r="P47"/>
  <c r="Q46"/>
  <c r="Z46" s="1"/>
  <c r="Q45"/>
  <c r="Z45" s="1"/>
  <c r="Q44"/>
  <c r="Z44" s="1"/>
  <c r="Q43"/>
  <c r="Z43" s="1"/>
  <c r="Q42"/>
  <c r="Z42" s="1"/>
  <c r="Q41"/>
  <c r="Z41" s="1"/>
  <c r="Q40"/>
  <c r="Z40" s="1"/>
  <c r="J40"/>
  <c r="AC40" s="1"/>
  <c r="H40"/>
  <c r="AA40"/>
  <c r="Q39"/>
  <c r="Z39"/>
  <c r="Q38"/>
  <c r="Z38" s="1"/>
  <c r="J38"/>
  <c r="AC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J12"/>
  <c r="W12" s="1"/>
  <c r="H12"/>
  <c r="U12" s="1"/>
  <c r="F12"/>
  <c r="S12" s="1"/>
  <c r="Q11"/>
  <c r="Z11" s="1"/>
  <c r="Q10"/>
  <c r="Z10" s="1"/>
  <c r="Q9"/>
  <c r="Z9" s="1"/>
  <c r="J9"/>
  <c r="AC9" s="1"/>
  <c r="H9"/>
  <c r="AB9" s="1"/>
  <c r="F9"/>
  <c r="AA9" s="1"/>
  <c r="J8"/>
  <c r="W8" s="1"/>
  <c r="H8"/>
  <c r="AB8" s="1"/>
  <c r="F8"/>
  <c r="S8" s="1"/>
  <c r="C7"/>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s="1"/>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s="1"/>
  <c r="BG13"/>
  <c r="BG5" s="1"/>
  <c r="BH13"/>
  <c r="BI13"/>
  <c r="BJ13"/>
  <c r="BK13"/>
  <c r="BM13"/>
  <c r="BN13"/>
  <c r="BO13"/>
  <c r="BP13"/>
  <c r="BS13"/>
  <c r="BT13"/>
  <c r="BB570"/>
  <c r="BC570"/>
  <c r="BD570"/>
  <c r="BE570"/>
  <c r="BA570" s="1"/>
  <c r="AZ570" s="1"/>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F38"/>
  <c r="S38" s="1"/>
  <c r="F36"/>
  <c r="S36" s="1"/>
  <c r="F39"/>
  <c r="AA39" s="1"/>
  <c r="J40"/>
  <c r="W40" s="1"/>
  <c r="H35"/>
  <c r="AB35" s="1"/>
  <c r="J8"/>
  <c r="AC8"/>
  <c r="J9"/>
  <c r="AC9" s="1"/>
  <c r="H8"/>
  <c r="H9"/>
  <c r="AB9" s="1"/>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S40"/>
  <c r="S33"/>
  <c r="S8" i="21"/>
  <c r="W8"/>
  <c r="H39" i="37"/>
  <c r="AB39" s="1"/>
  <c r="AB27" i="35"/>
  <c r="S10" i="40"/>
  <c r="W10"/>
  <c r="S11"/>
  <c r="U11"/>
  <c r="S36"/>
  <c r="U36"/>
  <c r="S36" i="39"/>
  <c r="F11" i="21"/>
  <c r="S11" s="1"/>
  <c r="AC40"/>
  <c r="AA38"/>
  <c r="AB36"/>
  <c r="AC35"/>
  <c r="C29" i="39"/>
  <c r="C23"/>
  <c r="U36"/>
  <c r="H11" i="21"/>
  <c r="U11" s="1"/>
  <c r="J11"/>
  <c r="W11" s="1"/>
  <c r="F100" i="40"/>
  <c r="F86"/>
  <c r="AA12" i="33"/>
  <c r="U9" i="21"/>
  <c r="J27" i="36"/>
  <c r="W27" s="1"/>
  <c r="J34"/>
  <c r="W34" s="1"/>
  <c r="J30" i="35"/>
  <c r="W30" s="1"/>
  <c r="F22"/>
  <c r="AA22" s="1"/>
  <c r="H10"/>
  <c r="U10" s="1"/>
  <c r="AC24" i="36"/>
  <c r="U29"/>
  <c r="E85"/>
  <c r="F85" s="1"/>
  <c r="G85" s="1"/>
  <c r="H85" s="1"/>
  <c r="I85" s="1"/>
  <c r="J85" s="1"/>
  <c r="K85" s="1"/>
  <c r="L85" s="1"/>
  <c r="M85" s="1"/>
  <c r="J29"/>
  <c r="AC29" s="1"/>
  <c r="F12"/>
  <c r="S12" s="1"/>
  <c r="F24"/>
  <c r="AA24" s="1"/>
  <c r="F34"/>
  <c r="S34" s="1"/>
  <c r="S10"/>
  <c r="AB8"/>
  <c r="H16" i="35"/>
  <c r="U16" s="1"/>
  <c r="H33"/>
  <c r="AB33" s="1"/>
  <c r="W8"/>
  <c r="AC8"/>
  <c r="F35" i="37"/>
  <c r="E101"/>
  <c r="F101" s="1"/>
  <c r="G101" s="1"/>
  <c r="H101" s="1"/>
  <c r="I101" s="1"/>
  <c r="J101" s="1"/>
  <c r="K101" s="1"/>
  <c r="L101" s="1"/>
  <c r="M101" s="1"/>
  <c r="J34"/>
  <c r="W34" s="1"/>
  <c r="AA39"/>
  <c r="H43" i="34"/>
  <c r="U42"/>
  <c r="E114"/>
  <c r="H36"/>
  <c r="U36" s="1"/>
  <c r="F37"/>
  <c r="AA37" s="1"/>
  <c r="F33"/>
  <c r="S33" s="1"/>
  <c r="AA28"/>
  <c r="F19"/>
  <c r="AA19" s="1"/>
  <c r="J10"/>
  <c r="AC10" s="1"/>
  <c r="U9"/>
  <c r="W8"/>
  <c r="J28"/>
  <c r="W28" s="1"/>
  <c r="F36" i="33"/>
  <c r="S36" s="1"/>
  <c r="F19"/>
  <c r="S19" s="1"/>
  <c r="J19"/>
  <c r="W19" s="1"/>
  <c r="S10" i="21"/>
  <c r="W40" i="33"/>
  <c r="G86" i="40"/>
  <c r="AB30" i="36"/>
  <c r="AC34"/>
  <c r="S22" i="35"/>
  <c r="H29"/>
  <c r="U34" i="37"/>
  <c r="S34"/>
  <c r="AA34"/>
  <c r="AC43" i="34"/>
  <c r="AB42"/>
  <c r="AB40"/>
  <c r="W36"/>
  <c r="J19"/>
  <c r="AC19" s="1"/>
  <c r="H37" i="33"/>
  <c r="AB37" s="1"/>
  <c r="W43" i="34"/>
  <c r="AC42"/>
  <c r="W42"/>
  <c r="AA42"/>
  <c r="S42"/>
  <c r="AC38"/>
  <c r="W38"/>
  <c r="AA38"/>
  <c r="S38"/>
  <c r="J42" i="21"/>
  <c r="AC42" s="1"/>
  <c r="J44" i="34"/>
  <c r="AC44" s="1"/>
  <c r="F44"/>
  <c r="S44" s="1"/>
  <c r="J10" i="35"/>
  <c r="W10" s="1"/>
  <c r="AL5" i="3"/>
  <c r="BQ13"/>
  <c r="BL572"/>
  <c r="AZ572"/>
  <c r="J14" i="21"/>
  <c r="F14"/>
  <c r="AA14" s="1"/>
  <c r="H14"/>
  <c r="U14" s="1"/>
  <c r="H28"/>
  <c r="AB28" s="1"/>
  <c r="F28"/>
  <c r="J28"/>
  <c r="AC28" s="1"/>
  <c r="H30"/>
  <c r="U30" s="1"/>
  <c r="F30"/>
  <c r="S30" s="1"/>
  <c r="J30"/>
  <c r="J44"/>
  <c r="AC44" s="1"/>
  <c r="H44"/>
  <c r="U44" s="1"/>
  <c r="F44"/>
  <c r="AA44" s="1"/>
  <c r="H46"/>
  <c r="AB46" s="1"/>
  <c r="J46"/>
  <c r="W46" s="1"/>
  <c r="F46"/>
  <c r="AA46" s="1"/>
  <c r="H26" i="33"/>
  <c r="U26" s="1"/>
  <c r="H28"/>
  <c r="AB28" s="1"/>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W35" i="35"/>
  <c r="W46" i="33"/>
  <c r="AB40" i="37"/>
  <c r="J36"/>
  <c r="AC36" s="1"/>
  <c r="G105"/>
  <c r="AB28" i="36"/>
  <c r="AB31" i="21"/>
  <c r="S46"/>
  <c r="U46"/>
  <c r="AC30"/>
  <c r="W30"/>
  <c r="AB30"/>
  <c r="S28"/>
  <c r="AA28"/>
  <c r="AB14"/>
  <c r="W14"/>
  <c r="AC14"/>
  <c r="W42"/>
  <c r="W31" i="34"/>
  <c r="S46" i="33"/>
  <c r="U36" i="37"/>
  <c r="AC13" i="36"/>
  <c r="AB45" i="33"/>
  <c r="AB31"/>
  <c r="S45" i="21"/>
  <c r="U28"/>
  <c r="AB44"/>
  <c r="S19"/>
  <c r="G529" i="3"/>
  <c r="G521"/>
  <c r="G517"/>
  <c r="G513"/>
  <c r="G508"/>
  <c r="G499"/>
  <c r="G493"/>
  <c r="G485"/>
  <c r="G17"/>
  <c r="G565"/>
  <c r="G561"/>
  <c r="G557"/>
  <c r="G549"/>
  <c r="G545"/>
  <c r="G539"/>
  <c r="BL569"/>
  <c r="BL561"/>
  <c r="BL557"/>
  <c r="BL553"/>
  <c r="BL545"/>
  <c r="BL535"/>
  <c r="BL527"/>
  <c r="BL519"/>
  <c r="BL511"/>
  <c r="BL501"/>
  <c r="BL491"/>
  <c r="BL483"/>
  <c r="G16"/>
  <c r="BL563"/>
  <c r="BL559"/>
  <c r="AZ559"/>
  <c r="BL555"/>
  <c r="BL551"/>
  <c r="BL541"/>
  <c r="BL533"/>
  <c r="BL525"/>
  <c r="G518"/>
  <c r="G514"/>
  <c r="G510"/>
  <c r="BL503"/>
  <c r="BL495"/>
  <c r="BL485"/>
  <c r="G18"/>
  <c r="BA569"/>
  <c r="AZ569" s="1"/>
  <c r="BA565"/>
  <c r="BA561"/>
  <c r="AZ561"/>
  <c r="BA559"/>
  <c r="BA557"/>
  <c r="AZ557" s="1"/>
  <c r="BA555"/>
  <c r="AZ555" s="1"/>
  <c r="BA551"/>
  <c r="AZ551" s="1"/>
  <c r="BA545"/>
  <c r="AZ545" s="1"/>
  <c r="BA543"/>
  <c r="BA541"/>
  <c r="AZ541" s="1"/>
  <c r="BA531"/>
  <c r="BA521"/>
  <c r="BA509"/>
  <c r="BA505"/>
  <c r="BA501"/>
  <c r="BA493"/>
  <c r="AZ493"/>
  <c r="BA487"/>
  <c r="BA19"/>
  <c r="BA572"/>
  <c r="BA566"/>
  <c r="BA562"/>
  <c r="BA560"/>
  <c r="BA558"/>
  <c r="BA556"/>
  <c r="AZ556" s="1"/>
  <c r="BA554"/>
  <c r="BA550"/>
  <c r="AZ550" s="1"/>
  <c r="BA546"/>
  <c r="BA544"/>
  <c r="BA540"/>
  <c r="BA536"/>
  <c r="BA532"/>
  <c r="BA528"/>
  <c r="BA524"/>
  <c r="BA520"/>
  <c r="BA516"/>
  <c r="BA512"/>
  <c r="BA508"/>
  <c r="BA502"/>
  <c r="AZ502" s="1"/>
  <c r="BA498"/>
  <c r="BA492"/>
  <c r="BA488"/>
  <c r="BA484"/>
  <c r="BA20"/>
  <c r="G566"/>
  <c r="G562"/>
  <c r="G560"/>
  <c r="G558"/>
  <c r="G556"/>
  <c r="G554"/>
  <c r="G550"/>
  <c r="G546"/>
  <c r="BL543"/>
  <c r="AZ543" s="1"/>
  <c r="BA542"/>
  <c r="AZ542" s="1"/>
  <c r="AC542"/>
  <c r="G542"/>
  <c r="BQ542"/>
  <c r="BL542"/>
  <c r="BQ568"/>
  <c r="BQ566"/>
  <c r="BQ564"/>
  <c r="BL564" s="1"/>
  <c r="BQ562"/>
  <c r="BL562" s="1"/>
  <c r="AZ562" s="1"/>
  <c r="BQ560"/>
  <c r="BL560"/>
  <c r="BQ558"/>
  <c r="BL558"/>
  <c r="BQ556"/>
  <c r="BL556"/>
  <c r="BQ554"/>
  <c r="BQ552"/>
  <c r="BL552"/>
  <c r="BQ550"/>
  <c r="BL550"/>
  <c r="BQ548"/>
  <c r="BQ546"/>
  <c r="BL546" s="1"/>
  <c r="AZ546" s="1"/>
  <c r="BQ544"/>
  <c r="BL544" s="1"/>
  <c r="AZ544" s="1"/>
  <c r="G544"/>
  <c r="G538"/>
  <c r="G534"/>
  <c r="G530"/>
  <c r="G526"/>
  <c r="G522"/>
  <c r="BQ540"/>
  <c r="BL540"/>
  <c r="BQ538"/>
  <c r="BL538"/>
  <c r="BQ536"/>
  <c r="BQ534"/>
  <c r="BL534" s="1"/>
  <c r="AZ534" s="1"/>
  <c r="BQ532"/>
  <c r="BL532" s="1"/>
  <c r="AZ532" s="1"/>
  <c r="BQ530"/>
  <c r="BQ528"/>
  <c r="BQ526"/>
  <c r="BL526" s="1"/>
  <c r="AZ526" s="1"/>
  <c r="BQ524"/>
  <c r="BL524" s="1"/>
  <c r="AZ524" s="1"/>
  <c r="BQ522"/>
  <c r="BQ520"/>
  <c r="BL520"/>
  <c r="AZ520" s="1"/>
  <c r="BQ518"/>
  <c r="BQ516"/>
  <c r="BL516" s="1"/>
  <c r="AZ516" s="1"/>
  <c r="BQ514"/>
  <c r="BL514" s="1"/>
  <c r="AZ514" s="1"/>
  <c r="BQ512"/>
  <c r="BQ510"/>
  <c r="BL510"/>
  <c r="BQ508"/>
  <c r="BL508"/>
  <c r="AC506"/>
  <c r="G506"/>
  <c r="BQ506"/>
  <c r="G502"/>
  <c r="G498"/>
  <c r="BQ504"/>
  <c r="BQ502"/>
  <c r="BL502"/>
  <c r="BQ500"/>
  <c r="BL500"/>
  <c r="BQ498"/>
  <c r="BQ496"/>
  <c r="AC494"/>
  <c r="BQ494"/>
  <c r="BL493"/>
  <c r="G492"/>
  <c r="G488"/>
  <c r="G484"/>
  <c r="G20"/>
  <c r="BQ492"/>
  <c r="BL492" s="1"/>
  <c r="AZ492" s="1"/>
  <c r="BQ490"/>
  <c r="BQ488"/>
  <c r="BL488"/>
  <c r="BQ486"/>
  <c r="BQ484"/>
  <c r="BL484" s="1"/>
  <c r="BQ482"/>
  <c r="BL482" s="1"/>
  <c r="BQ20"/>
  <c r="BL20" s="1"/>
  <c r="AZ20" s="1"/>
  <c r="BQ18"/>
  <c r="AZ501"/>
  <c r="S503" i="31"/>
  <c r="O27"/>
  <c r="O28"/>
  <c r="O26"/>
  <c r="M27"/>
  <c r="M28"/>
  <c r="M26"/>
  <c r="I26"/>
  <c r="I25"/>
  <c r="Q26"/>
  <c r="K26"/>
  <c r="I27"/>
  <c r="Q27"/>
  <c r="K27"/>
  <c r="I28"/>
  <c r="Q28"/>
  <c r="K28"/>
  <c r="AC28" i="34"/>
  <c r="AA12" i="21"/>
  <c r="S12"/>
  <c r="H25"/>
  <c r="U25" s="1"/>
  <c r="F25"/>
  <c r="S25" s="1"/>
  <c r="J25"/>
  <c r="AC25" s="1"/>
  <c r="E125" i="33"/>
  <c r="F125"/>
  <c r="G125" s="1"/>
  <c r="H43"/>
  <c r="U43" s="1"/>
  <c r="H17" i="37"/>
  <c r="U17" s="1"/>
  <c r="F23"/>
  <c r="S23" s="1"/>
  <c r="F79"/>
  <c r="G79" s="1"/>
  <c r="AB27"/>
  <c r="F39" i="33"/>
  <c r="AA39" s="1"/>
  <c r="E123"/>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J43"/>
  <c r="AC43" s="1"/>
  <c r="J23" i="37"/>
  <c r="W23" s="1"/>
  <c r="F17"/>
  <c r="AA17" s="1"/>
  <c r="D3" i="21"/>
  <c r="AC33" i="36"/>
  <c r="AC12" i="35"/>
  <c r="W23"/>
  <c r="AC23" i="37"/>
  <c r="S27"/>
  <c r="U39"/>
  <c r="AC8"/>
  <c r="S25"/>
  <c r="AC36" i="34"/>
  <c r="AB8"/>
  <c r="AA13" i="33"/>
  <c r="AC45"/>
  <c r="U19" i="21"/>
  <c r="AC33"/>
  <c r="AA36"/>
  <c r="F43" i="33"/>
  <c r="AA43" s="1"/>
  <c r="AA23" i="37"/>
  <c r="S10" i="35"/>
  <c r="AB44" i="33"/>
  <c r="G107" i="37"/>
  <c r="H107" s="1"/>
  <c r="I107" s="1"/>
  <c r="J107" s="1"/>
  <c r="K107" s="1"/>
  <c r="L107" s="1"/>
  <c r="M107" s="1"/>
  <c r="AA9" i="21"/>
  <c r="F37"/>
  <c r="S37" s="1"/>
  <c r="J37"/>
  <c r="W37" s="1"/>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AB31" s="1"/>
  <c r="J15"/>
  <c r="W15" s="1"/>
  <c r="U12"/>
  <c r="AB10"/>
  <c r="J11"/>
  <c r="W11" s="1"/>
  <c r="E90" i="40"/>
  <c r="F90" s="1"/>
  <c r="G90" s="1"/>
  <c r="F21"/>
  <c r="S21" s="1"/>
  <c r="W36"/>
  <c r="J21"/>
  <c r="AC21" s="1"/>
  <c r="AZ558" i="3"/>
  <c r="AZ540"/>
  <c r="AZ560"/>
  <c r="G483"/>
  <c r="G515"/>
  <c r="G507"/>
  <c r="G501"/>
  <c r="BA15"/>
  <c r="BL17"/>
  <c r="BL15"/>
  <c r="BA14"/>
  <c r="AZ14" s="1"/>
  <c r="BT5"/>
  <c r="J57" i="39"/>
  <c r="H13" i="40"/>
  <c r="U13" s="1"/>
  <c r="H12" i="48"/>
  <c r="I4" i="4"/>
  <c r="K141" i="21"/>
  <c r="K143"/>
  <c r="K144"/>
  <c r="I59" i="40"/>
  <c r="C59" s="1"/>
  <c r="I60"/>
  <c r="C60" s="1"/>
  <c r="W9" i="33"/>
  <c r="G297" i="3"/>
  <c r="BL298"/>
  <c r="G299"/>
  <c r="BL300"/>
  <c r="BA302"/>
  <c r="AZ302" s="1"/>
  <c r="BA303"/>
  <c r="BL303"/>
  <c r="G304"/>
  <c r="BA305"/>
  <c r="G321"/>
  <c r="BL322"/>
  <c r="AZ322" s="1"/>
  <c r="G323"/>
  <c r="BL324"/>
  <c r="BA326"/>
  <c r="AZ326"/>
  <c r="BA327"/>
  <c r="BL327"/>
  <c r="AZ327" s="1"/>
  <c r="G328"/>
  <c r="BA329"/>
  <c r="G337"/>
  <c r="BL338"/>
  <c r="G339"/>
  <c r="BL340"/>
  <c r="BA342"/>
  <c r="AZ342"/>
  <c r="BA343"/>
  <c r="BL343"/>
  <c r="AZ343" s="1"/>
  <c r="G344"/>
  <c r="BA345"/>
  <c r="G353"/>
  <c r="BL354"/>
  <c r="G355"/>
  <c r="BL356"/>
  <c r="G357"/>
  <c r="BL358"/>
  <c r="G359"/>
  <c r="BA360"/>
  <c r="AZ360"/>
  <c r="BA361"/>
  <c r="BL361"/>
  <c r="G362"/>
  <c r="BA363"/>
  <c r="G371"/>
  <c r="BL372"/>
  <c r="G373"/>
  <c r="BL374"/>
  <c r="BA376"/>
  <c r="AZ376"/>
  <c r="BA377"/>
  <c r="AZ377"/>
  <c r="BL377"/>
  <c r="G378"/>
  <c r="BA379"/>
  <c r="BA114"/>
  <c r="AZ114" s="1"/>
  <c r="BL115"/>
  <c r="AZ115" s="1"/>
  <c r="G116"/>
  <c r="BA118"/>
  <c r="AZ118"/>
  <c r="BL119"/>
  <c r="AZ119"/>
  <c r="G120"/>
  <c r="BA122"/>
  <c r="AZ122" s="1"/>
  <c r="BL123"/>
  <c r="AZ123" s="1"/>
  <c r="G124"/>
  <c r="BA126"/>
  <c r="AZ126"/>
  <c r="BL127"/>
  <c r="G128"/>
  <c r="BA130"/>
  <c r="AZ130"/>
  <c r="BL131"/>
  <c r="AZ131"/>
  <c r="G132"/>
  <c r="BA134"/>
  <c r="AZ134" s="1"/>
  <c r="BL135"/>
  <c r="AZ135" s="1"/>
  <c r="G136"/>
  <c r="BA138"/>
  <c r="AZ138"/>
  <c r="BL139"/>
  <c r="AZ139"/>
  <c r="G140"/>
  <c r="BA142"/>
  <c r="AZ142" s="1"/>
  <c r="BL143"/>
  <c r="AZ143" s="1"/>
  <c r="G144"/>
  <c r="BA146"/>
  <c r="AZ146" s="1"/>
  <c r="BL147"/>
  <c r="AZ147" s="1"/>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s="1"/>
  <c r="G182"/>
  <c r="BA184"/>
  <c r="AZ184"/>
  <c r="BL185"/>
  <c r="G186"/>
  <c r="BA188"/>
  <c r="AZ188"/>
  <c r="BL189"/>
  <c r="AZ189"/>
  <c r="G190"/>
  <c r="BA192"/>
  <c r="AZ192" s="1"/>
  <c r="BL193"/>
  <c r="AZ193" s="1"/>
  <c r="G194"/>
  <c r="BA196"/>
  <c r="AZ196"/>
  <c r="BL197"/>
  <c r="AZ197"/>
  <c r="G198"/>
  <c r="BA200"/>
  <c r="AZ200" s="1"/>
  <c r="BL201"/>
  <c r="AZ201" s="1"/>
  <c r="AZ66"/>
  <c r="AZ70"/>
  <c r="AZ74"/>
  <c r="AZ78"/>
  <c r="AZ82"/>
  <c r="AZ185"/>
  <c r="AZ84"/>
  <c r="AZ86"/>
  <c r="AZ90"/>
  <c r="AZ94"/>
  <c r="AZ98"/>
  <c r="AZ102"/>
  <c r="AZ106"/>
  <c r="AZ110"/>
  <c r="G491"/>
  <c r="BA298"/>
  <c r="AZ298"/>
  <c r="BA299"/>
  <c r="AZ299"/>
  <c r="BL299"/>
  <c r="G300"/>
  <c r="G303"/>
  <c r="BL304"/>
  <c r="BA306"/>
  <c r="AZ306"/>
  <c r="BA307"/>
  <c r="BL307"/>
  <c r="AZ307" s="1"/>
  <c r="G308"/>
  <c r="G319"/>
  <c r="BL320"/>
  <c r="BA322"/>
  <c r="BA323"/>
  <c r="AZ323" s="1"/>
  <c r="BL323"/>
  <c r="G324"/>
  <c r="G327"/>
  <c r="BL328"/>
  <c r="BA330"/>
  <c r="AZ330" s="1"/>
  <c r="BA331"/>
  <c r="AZ331" s="1"/>
  <c r="BL331"/>
  <c r="G332"/>
  <c r="G335"/>
  <c r="BL336"/>
  <c r="BA338"/>
  <c r="AZ338"/>
  <c r="BA339"/>
  <c r="BL339"/>
  <c r="AZ339" s="1"/>
  <c r="G340"/>
  <c r="G343"/>
  <c r="BL344"/>
  <c r="BA346"/>
  <c r="AZ346" s="1"/>
  <c r="BA347"/>
  <c r="BL347"/>
  <c r="G348"/>
  <c r="G351"/>
  <c r="BL352"/>
  <c r="BA354"/>
  <c r="BA355"/>
  <c r="AZ355" s="1"/>
  <c r="BL355"/>
  <c r="G356"/>
  <c r="AZ127"/>
  <c r="BA358"/>
  <c r="AZ358" s="1"/>
  <c r="BA359"/>
  <c r="BL359"/>
  <c r="AZ359" s="1"/>
  <c r="G360"/>
  <c r="G361"/>
  <c r="BL362"/>
  <c r="BA364"/>
  <c r="AZ364"/>
  <c r="BA365"/>
  <c r="AZ365"/>
  <c r="BL365"/>
  <c r="G366"/>
  <c r="G369"/>
  <c r="BL370"/>
  <c r="BA372"/>
  <c r="AZ372" s="1"/>
  <c r="BA373"/>
  <c r="BL373"/>
  <c r="AZ373"/>
  <c r="G374"/>
  <c r="G377"/>
  <c r="BL378"/>
  <c r="BA380"/>
  <c r="AZ380" s="1"/>
  <c r="BA381"/>
  <c r="AZ381" s="1"/>
  <c r="BL381"/>
  <c r="G382"/>
  <c r="G385"/>
  <c r="AZ154"/>
  <c r="AZ158"/>
  <c r="AZ162"/>
  <c r="AZ166"/>
  <c r="AZ170"/>
  <c r="AZ174"/>
  <c r="AZ179"/>
  <c r="AZ183"/>
  <c r="AZ187"/>
  <c r="AZ191"/>
  <c r="AZ195"/>
  <c r="AZ199"/>
  <c r="AZ203"/>
  <c r="G523"/>
  <c r="BL297"/>
  <c r="AZ297"/>
  <c r="G298"/>
  <c r="BA300"/>
  <c r="AZ300" s="1"/>
  <c r="BL301"/>
  <c r="AZ301"/>
  <c r="G302"/>
  <c r="BA304"/>
  <c r="AZ304" s="1"/>
  <c r="BL305"/>
  <c r="AZ305" s="1"/>
  <c r="G306"/>
  <c r="BA308"/>
  <c r="AZ308" s="1"/>
  <c r="BL309"/>
  <c r="G310"/>
  <c r="BA310"/>
  <c r="AZ310" s="1"/>
  <c r="BL311"/>
  <c r="AZ311" s="1"/>
  <c r="G312"/>
  <c r="BA312"/>
  <c r="AZ312" s="1"/>
  <c r="BL313"/>
  <c r="G314"/>
  <c r="BA314"/>
  <c r="AZ314" s="1"/>
  <c r="BL315"/>
  <c r="AZ315" s="1"/>
  <c r="G316"/>
  <c r="BA316"/>
  <c r="AZ316" s="1"/>
  <c r="BL317"/>
  <c r="AZ317" s="1"/>
  <c r="G318"/>
  <c r="BA320"/>
  <c r="AZ320" s="1"/>
  <c r="BL321"/>
  <c r="G322"/>
  <c r="BA324"/>
  <c r="AZ324" s="1"/>
  <c r="BL325"/>
  <c r="AZ325" s="1"/>
  <c r="G326"/>
  <c r="BA328"/>
  <c r="AZ328" s="1"/>
  <c r="BL329"/>
  <c r="AZ329" s="1"/>
  <c r="G330"/>
  <c r="BA332"/>
  <c r="AZ332" s="1"/>
  <c r="BL333"/>
  <c r="G334"/>
  <c r="BA336"/>
  <c r="AZ336" s="1"/>
  <c r="BL337"/>
  <c r="AZ337" s="1"/>
  <c r="G338"/>
  <c r="BA340"/>
  <c r="AZ340" s="1"/>
  <c r="BL341"/>
  <c r="G342"/>
  <c r="BA344"/>
  <c r="AZ344" s="1"/>
  <c r="BL345"/>
  <c r="AZ345" s="1"/>
  <c r="G346"/>
  <c r="BA348"/>
  <c r="AZ348" s="1"/>
  <c r="BL349"/>
  <c r="AZ349" s="1"/>
  <c r="G350"/>
  <c r="BA352"/>
  <c r="AZ352" s="1"/>
  <c r="BL353"/>
  <c r="G354"/>
  <c r="BA356"/>
  <c r="AZ356" s="1"/>
  <c r="BL357"/>
  <c r="AZ357" s="1"/>
  <c r="G358"/>
  <c r="BA362"/>
  <c r="AZ362" s="1"/>
  <c r="BL363"/>
  <c r="G364"/>
  <c r="BA366"/>
  <c r="AZ366" s="1"/>
  <c r="BL367"/>
  <c r="AZ367" s="1"/>
  <c r="AZ205"/>
  <c r="AZ209"/>
  <c r="AZ213"/>
  <c r="AZ217"/>
  <c r="AZ221"/>
  <c r="AZ225"/>
  <c r="AZ229"/>
  <c r="AZ233"/>
  <c r="AZ237"/>
  <c r="AZ241"/>
  <c r="AZ245"/>
  <c r="AZ309"/>
  <c r="AZ321"/>
  <c r="AZ333"/>
  <c r="AZ341"/>
  <c r="AZ353"/>
  <c r="AZ363"/>
  <c r="G368"/>
  <c r="BA370"/>
  <c r="AZ370" s="1"/>
  <c r="BL371"/>
  <c r="AZ371" s="1"/>
  <c r="G372"/>
  <c r="BA374"/>
  <c r="AZ374"/>
  <c r="BL375"/>
  <c r="G376"/>
  <c r="BA378"/>
  <c r="AZ378"/>
  <c r="BL379"/>
  <c r="AZ379"/>
  <c r="G380"/>
  <c r="BA382"/>
  <c r="AZ382" s="1"/>
  <c r="BL383"/>
  <c r="G384"/>
  <c r="AZ249"/>
  <c r="AZ253"/>
  <c r="AZ257"/>
  <c r="AZ261"/>
  <c r="AZ265"/>
  <c r="AZ375"/>
  <c r="AZ383"/>
  <c r="AZ270"/>
  <c r="AZ274"/>
  <c r="AZ278"/>
  <c r="AZ282"/>
  <c r="AZ286"/>
  <c r="AZ290"/>
  <c r="AZ295"/>
  <c r="AZ303"/>
  <c r="AZ313"/>
  <c r="AZ319"/>
  <c r="AZ335"/>
  <c r="AZ347"/>
  <c r="AZ351"/>
  <c r="AZ361"/>
  <c r="AZ369"/>
  <c r="AZ385"/>
  <c r="AZ390"/>
  <c r="AZ394"/>
  <c r="AZ398"/>
  <c r="AZ410"/>
  <c r="AZ414"/>
  <c r="AZ418"/>
  <c r="AZ422"/>
  <c r="AZ426"/>
  <c r="AZ430"/>
  <c r="AZ434"/>
  <c r="AZ438"/>
  <c r="AZ442"/>
  <c r="AZ446"/>
  <c r="AZ450"/>
  <c r="AZ455"/>
  <c r="AZ459"/>
  <c r="AZ463"/>
  <c r="AZ467"/>
  <c r="AZ471"/>
  <c r="AZ475"/>
  <c r="AZ479"/>
  <c r="C17" i="11"/>
  <c r="H7" i="48"/>
  <c r="H113" i="46"/>
  <c r="H17"/>
  <c r="F33"/>
  <c r="F35"/>
  <c r="F37"/>
  <c r="H16" i="48"/>
  <c r="H9"/>
  <c r="H8"/>
  <c r="C12" i="46"/>
  <c r="AB16" i="35"/>
  <c r="AB15" i="37"/>
  <c r="AA43" i="21"/>
  <c r="U43"/>
  <c r="AA13" i="40"/>
  <c r="E78"/>
  <c r="F78" s="1"/>
  <c r="G78" s="1"/>
  <c r="H78" s="1"/>
  <c r="I78" s="1"/>
  <c r="J78" s="1"/>
  <c r="K78" s="1"/>
  <c r="L78" s="1"/>
  <c r="M78" s="1"/>
  <c r="BH5" i="3"/>
  <c r="R16" i="4"/>
  <c r="P16"/>
  <c r="D3" i="35"/>
  <c r="G4" i="4"/>
  <c r="S37" i="34"/>
  <c r="J16" i="35"/>
  <c r="W16" s="1"/>
  <c r="U42" i="21"/>
  <c r="AC26" i="36"/>
  <c r="W25" i="35"/>
  <c r="AZ354" i="3"/>
  <c r="AA36" i="35"/>
  <c r="H11" i="37"/>
  <c r="AB11" s="1"/>
  <c r="W37"/>
  <c r="AA30" i="33"/>
  <c r="AA36" i="37"/>
  <c r="AB17"/>
  <c r="AZ488" i="3"/>
  <c r="AZ508"/>
  <c r="AC29" i="33"/>
  <c r="AA45"/>
  <c r="AC11" i="36"/>
  <c r="AC10"/>
  <c r="AB45" i="34"/>
  <c r="AC14" i="37"/>
  <c r="AB35" i="35"/>
  <c r="S25"/>
  <c r="W44" i="33"/>
  <c r="AC30"/>
  <c r="W30"/>
  <c r="AC29" i="37"/>
  <c r="W32" i="36"/>
  <c r="AC32"/>
  <c r="J33" i="34"/>
  <c r="AC33" s="1"/>
  <c r="AB36"/>
  <c r="J40"/>
  <c r="W40" s="1"/>
  <c r="F16" i="35"/>
  <c r="AA16" s="1"/>
  <c r="S24" i="36"/>
  <c r="J35" i="34"/>
  <c r="W35" s="1"/>
  <c r="F107"/>
  <c r="G107" s="1"/>
  <c r="H107" s="1"/>
  <c r="I107" s="1"/>
  <c r="J107" s="1"/>
  <c r="K107" s="1"/>
  <c r="L107" s="1"/>
  <c r="M107" s="1"/>
  <c r="S30" i="36"/>
  <c r="H16"/>
  <c r="AB16" s="1"/>
  <c r="G103" i="37"/>
  <c r="H103" s="1"/>
  <c r="I103" s="1"/>
  <c r="J103" s="1"/>
  <c r="K103" s="1"/>
  <c r="L103" s="1"/>
  <c r="M103" s="1"/>
  <c r="H35"/>
  <c r="AB35" s="1"/>
  <c r="S26" i="21"/>
  <c r="AB12"/>
  <c r="H32"/>
  <c r="U32" s="1"/>
  <c r="AB26"/>
  <c r="U26"/>
  <c r="AA33"/>
  <c r="S33"/>
  <c r="U39"/>
  <c r="W9"/>
  <c r="J32"/>
  <c r="AC32" s="1"/>
  <c r="G13" i="3"/>
  <c r="AC5"/>
  <c r="F17" i="21"/>
  <c r="S17" s="1"/>
  <c r="H17"/>
  <c r="AB17" s="1"/>
  <c r="J17"/>
  <c r="AC17" s="1"/>
  <c r="H37"/>
  <c r="U37" s="1"/>
  <c r="F40"/>
  <c r="S40" s="1"/>
  <c r="H40"/>
  <c r="AB40" s="1"/>
  <c r="E119"/>
  <c r="F119" s="1"/>
  <c r="G119" s="1"/>
  <c r="H119" s="1"/>
  <c r="I119" s="1"/>
  <c r="J119" s="1"/>
  <c r="K119" s="1"/>
  <c r="L119" s="1"/>
  <c r="M119" s="1"/>
  <c r="AA8" i="33"/>
  <c r="H66"/>
  <c r="F10"/>
  <c r="AA10" s="1"/>
  <c r="F11"/>
  <c r="S11" s="1"/>
  <c r="J15"/>
  <c r="W15" s="1"/>
  <c r="H19"/>
  <c r="AB19" s="1"/>
  <c r="F32"/>
  <c r="AA32" s="1"/>
  <c r="F35"/>
  <c r="AA35" s="1"/>
  <c r="AB39" i="34"/>
  <c r="F11"/>
  <c r="S11" s="1"/>
  <c r="E80"/>
  <c r="F80" s="1"/>
  <c r="G80" s="1"/>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AB19" s="1"/>
  <c r="J19"/>
  <c r="W19" s="1"/>
  <c r="F43"/>
  <c r="AA43" s="1"/>
  <c r="H43"/>
  <c r="U43" s="1"/>
  <c r="J43"/>
  <c r="W43" s="1"/>
  <c r="F99" i="37"/>
  <c r="AC27"/>
  <c r="U25" i="35"/>
  <c r="S45" i="34"/>
  <c r="U31"/>
  <c r="AC40" i="37"/>
  <c r="W40"/>
  <c r="AC45" i="21"/>
  <c r="S14"/>
  <c r="AA44" i="34"/>
  <c r="AB29" i="35"/>
  <c r="U29"/>
  <c r="U43" i="34"/>
  <c r="AB43"/>
  <c r="AC34" i="37"/>
  <c r="S35"/>
  <c r="AA35"/>
  <c r="AB10" i="35"/>
  <c r="AA32" i="21"/>
  <c r="S32"/>
  <c r="U38"/>
  <c r="AB34"/>
  <c r="BL571" i="3"/>
  <c r="BA571"/>
  <c r="AZ571" s="1"/>
  <c r="BL570"/>
  <c r="BL13"/>
  <c r="BE5"/>
  <c r="F42" i="21"/>
  <c r="AA42" s="1"/>
  <c r="AB40" i="33"/>
  <c r="U40"/>
  <c r="AA35" i="34"/>
  <c r="S35"/>
  <c r="E90"/>
  <c r="H27"/>
  <c r="AB27" s="1"/>
  <c r="AB8" i="35"/>
  <c r="U8"/>
  <c r="S9"/>
  <c r="J14"/>
  <c r="AC14" s="1"/>
  <c r="F14"/>
  <c r="H14"/>
  <c r="U14" s="1"/>
  <c r="E80"/>
  <c r="E94"/>
  <c r="F94" s="1"/>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6" i="37"/>
  <c r="W26"/>
  <c r="AB29"/>
  <c r="AA30"/>
  <c r="S30"/>
  <c r="AC30"/>
  <c r="AC31"/>
  <c r="W31"/>
  <c r="AB14"/>
  <c r="F17" i="39"/>
  <c r="AA17" s="1"/>
  <c r="H17"/>
  <c r="U17" s="1"/>
  <c r="J17"/>
  <c r="W17" s="1"/>
  <c r="F21"/>
  <c r="S21" s="1"/>
  <c r="H21"/>
  <c r="J21"/>
  <c r="W21" s="1"/>
  <c r="F33"/>
  <c r="S33" s="1"/>
  <c r="H33"/>
  <c r="U33" s="1"/>
  <c r="J33"/>
  <c r="W33" s="1"/>
  <c r="F44"/>
  <c r="S44" s="1"/>
  <c r="H44"/>
  <c r="U44" s="1"/>
  <c r="J44"/>
  <c r="W44" s="1"/>
  <c r="E128"/>
  <c r="F128" s="1"/>
  <c r="G128" s="1"/>
  <c r="H128" s="1"/>
  <c r="I128" s="1"/>
  <c r="J128" s="1"/>
  <c r="K128" s="1"/>
  <c r="L128" s="1"/>
  <c r="M128" s="1"/>
  <c r="F46"/>
  <c r="S46" s="1"/>
  <c r="H46"/>
  <c r="U46" s="1"/>
  <c r="J46"/>
  <c r="W46" s="1"/>
  <c r="F34"/>
  <c r="AA34" s="1"/>
  <c r="H34"/>
  <c r="AB34" s="1"/>
  <c r="J34"/>
  <c r="AC34" s="1"/>
  <c r="F39"/>
  <c r="H39"/>
  <c r="AB39" s="1"/>
  <c r="J39"/>
  <c r="J29" i="35"/>
  <c r="AC29" s="1"/>
  <c r="F29"/>
  <c r="S29" s="1"/>
  <c r="W30" i="36"/>
  <c r="AC30"/>
  <c r="F37" i="39"/>
  <c r="S37" s="1"/>
  <c r="H37"/>
  <c r="U37" s="1"/>
  <c r="J37"/>
  <c r="W37" s="1"/>
  <c r="BL568" i="3"/>
  <c r="BA568"/>
  <c r="AZ568"/>
  <c r="BL567"/>
  <c r="BA567"/>
  <c r="AZ567" s="1"/>
  <c r="BL566"/>
  <c r="AZ566" s="1"/>
  <c r="BL565"/>
  <c r="AZ565" s="1"/>
  <c r="BA564"/>
  <c r="AZ564" s="1"/>
  <c r="BA563"/>
  <c r="AZ563" s="1"/>
  <c r="BL554"/>
  <c r="AZ554" s="1"/>
  <c r="BA553"/>
  <c r="AZ553" s="1"/>
  <c r="BA552"/>
  <c r="AZ552" s="1"/>
  <c r="BL549"/>
  <c r="BA549"/>
  <c r="BL548"/>
  <c r="BA548"/>
  <c r="BL547"/>
  <c r="BA547"/>
  <c r="BL539"/>
  <c r="BA539"/>
  <c r="AZ539"/>
  <c r="BA538"/>
  <c r="AZ538"/>
  <c r="BL537"/>
  <c r="BA537"/>
  <c r="BL536"/>
  <c r="AZ536"/>
  <c r="BA535"/>
  <c r="AZ535"/>
  <c r="BA534"/>
  <c r="BA533"/>
  <c r="AZ533"/>
  <c r="BL531"/>
  <c r="AZ531"/>
  <c r="BL530"/>
  <c r="BA530"/>
  <c r="BL529"/>
  <c r="BA529"/>
  <c r="BL528"/>
  <c r="AZ528"/>
  <c r="BA527"/>
  <c r="AZ527"/>
  <c r="BA526"/>
  <c r="BA525"/>
  <c r="AZ525"/>
  <c r="BL523"/>
  <c r="BA523"/>
  <c r="AZ523" s="1"/>
  <c r="BL522"/>
  <c r="BA522"/>
  <c r="AZ522"/>
  <c r="BL521"/>
  <c r="AZ521"/>
  <c r="BA519"/>
  <c r="AZ519"/>
  <c r="BL518"/>
  <c r="BA518"/>
  <c r="AZ518" s="1"/>
  <c r="BL517"/>
  <c r="BA517"/>
  <c r="AZ517"/>
  <c r="BL515"/>
  <c r="BA515"/>
  <c r="BA514"/>
  <c r="BL513"/>
  <c r="BA513"/>
  <c r="AZ513" s="1"/>
  <c r="BL512"/>
  <c r="AZ512" s="1"/>
  <c r="BA511"/>
  <c r="AZ511" s="1"/>
  <c r="BA510"/>
  <c r="AZ510" s="1"/>
  <c r="BL509"/>
  <c r="AZ509" s="1"/>
  <c r="BL507"/>
  <c r="BA507"/>
  <c r="AZ507"/>
  <c r="BL506"/>
  <c r="BA506"/>
  <c r="AZ506" s="1"/>
  <c r="BL505"/>
  <c r="AZ505" s="1"/>
  <c r="BL504"/>
  <c r="BA504"/>
  <c r="BA503"/>
  <c r="AZ503" s="1"/>
  <c r="BA500"/>
  <c r="AZ500" s="1"/>
  <c r="BL499"/>
  <c r="BA499"/>
  <c r="AZ499"/>
  <c r="BL498"/>
  <c r="AZ498"/>
  <c r="BL497"/>
  <c r="BA497"/>
  <c r="BL496"/>
  <c r="BA496"/>
  <c r="AZ496" s="1"/>
  <c r="BA495"/>
  <c r="AZ495" s="1"/>
  <c r="BL494"/>
  <c r="BA494"/>
  <c r="AZ494"/>
  <c r="G494"/>
  <c r="BA491"/>
  <c r="AZ491" s="1"/>
  <c r="BL490"/>
  <c r="BA490"/>
  <c r="AZ490"/>
  <c r="BL489"/>
  <c r="BA489"/>
  <c r="AZ489" s="1"/>
  <c r="BL487"/>
  <c r="AZ487" s="1"/>
  <c r="BL486"/>
  <c r="BA486"/>
  <c r="BA485"/>
  <c r="AZ485" s="1"/>
  <c r="BA483"/>
  <c r="AZ483" s="1"/>
  <c r="BA482"/>
  <c r="AZ482" s="1"/>
  <c r="BL481"/>
  <c r="BJ5"/>
  <c r="BA481"/>
  <c r="AZ481" s="1"/>
  <c r="BB5"/>
  <c r="BL19"/>
  <c r="AZ19" s="1"/>
  <c r="BA18"/>
  <c r="F36" i="44"/>
  <c r="M22"/>
  <c r="F114" i="34"/>
  <c r="G114"/>
  <c r="H114" s="1"/>
  <c r="I114" s="1"/>
  <c r="J114" s="1"/>
  <c r="K114" s="1"/>
  <c r="L114" s="1"/>
  <c r="M114" s="1"/>
  <c r="H38"/>
  <c r="U38" s="1"/>
  <c r="H30" i="40"/>
  <c r="AB30" s="1"/>
  <c r="G100"/>
  <c r="J30" s="1"/>
  <c r="AC30" s="1"/>
  <c r="F38"/>
  <c r="AA38" s="1"/>
  <c r="AA36" i="34"/>
  <c r="AC12" i="21"/>
  <c r="W12"/>
  <c r="AB33"/>
  <c r="S35"/>
  <c r="AB10"/>
  <c r="U8"/>
  <c r="AB8"/>
  <c r="S34"/>
  <c r="AC36"/>
  <c r="U8" i="33"/>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7"/>
  <c r="AA27" s="1"/>
  <c r="H27"/>
  <c r="AB27" s="1"/>
  <c r="J27"/>
  <c r="AC27" s="1"/>
  <c r="F15" i="40"/>
  <c r="AA15" s="1"/>
  <c r="J15"/>
  <c r="H15"/>
  <c r="AB15" s="1"/>
  <c r="E92"/>
  <c r="F92" s="1"/>
  <c r="G92" s="1"/>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F30" i="44" s="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W40"/>
  <c r="F34" i="44"/>
  <c r="F66" i="9"/>
  <c r="P72" s="1"/>
  <c r="M20" i="44"/>
  <c r="F71" i="9"/>
  <c r="D86"/>
  <c r="F72"/>
  <c r="F70"/>
  <c r="AC14" i="40"/>
  <c r="S33"/>
  <c r="AC47" i="39"/>
  <c r="S47"/>
  <c r="U37" i="34"/>
  <c r="AB37"/>
  <c r="AC41" i="40"/>
  <c r="W41"/>
  <c r="U41"/>
  <c r="J23"/>
  <c r="AC23" s="1"/>
  <c r="F23"/>
  <c r="S23" s="1"/>
  <c r="AC15"/>
  <c r="W15"/>
  <c r="AB16" i="39"/>
  <c r="W14"/>
  <c r="U23" i="35"/>
  <c r="AB23"/>
  <c r="H20"/>
  <c r="AB20" s="1"/>
  <c r="F20"/>
  <c r="S20" s="1"/>
  <c r="H15" i="34"/>
  <c r="AB15" s="1"/>
  <c r="F78"/>
  <c r="G78"/>
  <c r="J15"/>
  <c r="H41" i="33"/>
  <c r="U41" s="1"/>
  <c r="F121"/>
  <c r="G121"/>
  <c r="H121" s="1"/>
  <c r="I121" s="1"/>
  <c r="J121" s="1"/>
  <c r="K121" s="1"/>
  <c r="L121" s="1"/>
  <c r="M121" s="1"/>
  <c r="F30" i="40"/>
  <c r="AA30" s="1"/>
  <c r="H100"/>
  <c r="I100" s="1"/>
  <c r="J100" s="1"/>
  <c r="K100" s="1"/>
  <c r="L100" s="1"/>
  <c r="M100" s="1"/>
  <c r="AB38" i="34"/>
  <c r="AZ486" i="3"/>
  <c r="AZ497"/>
  <c r="AZ504"/>
  <c r="AZ515"/>
  <c r="AZ529"/>
  <c r="AZ530"/>
  <c r="AZ537"/>
  <c r="AZ547"/>
  <c r="AZ548"/>
  <c r="AZ549"/>
  <c r="AB37" i="39"/>
  <c r="AA29" i="35"/>
  <c r="U39" i="39"/>
  <c r="AB21"/>
  <c r="U21"/>
  <c r="AB17"/>
  <c r="AB33" i="36"/>
  <c r="AA11"/>
  <c r="AA14" i="35"/>
  <c r="S14"/>
  <c r="G99" i="37"/>
  <c r="F33" s="1"/>
  <c r="U46" i="34"/>
  <c r="AC30"/>
  <c r="AA14"/>
  <c r="W12"/>
  <c r="U29" i="33"/>
  <c r="AC13"/>
  <c r="U17" i="34"/>
  <c r="AA11"/>
  <c r="H15" i="33"/>
  <c r="U15" s="1"/>
  <c r="AA11"/>
  <c r="AA40" i="21"/>
  <c r="U17"/>
  <c r="U16" i="40"/>
  <c r="AB34"/>
  <c r="AB42"/>
  <c r="U42"/>
  <c r="AC16"/>
  <c r="W32"/>
  <c r="H25"/>
  <c r="AB25" s="1"/>
  <c r="F94"/>
  <c r="G94" s="1"/>
  <c r="U47" i="39"/>
  <c r="W15"/>
  <c r="J37" i="34"/>
  <c r="AC37" s="1"/>
  <c r="J36" i="33"/>
  <c r="W36" s="1"/>
  <c r="S41" i="40"/>
  <c r="AB23"/>
  <c r="S16" i="39"/>
  <c r="S15" i="34"/>
  <c r="AA15"/>
  <c r="F106" i="33"/>
  <c r="G106" s="1"/>
  <c r="H106" s="1"/>
  <c r="I106" s="1"/>
  <c r="J106" s="1"/>
  <c r="K106" s="1"/>
  <c r="L106" s="1"/>
  <c r="M106" s="1"/>
  <c r="J34"/>
  <c r="AC34" s="1"/>
  <c r="U30" i="40"/>
  <c r="AA37" i="39"/>
  <c r="W29" i="35"/>
  <c r="AC39" i="39"/>
  <c r="W39"/>
  <c r="AA39"/>
  <c r="S39"/>
  <c r="AB46"/>
  <c r="S17"/>
  <c r="U11" i="36"/>
  <c r="F80" i="35"/>
  <c r="G80" s="1"/>
  <c r="H80" s="1"/>
  <c r="I80" s="1"/>
  <c r="J80" s="1"/>
  <c r="K80" s="1"/>
  <c r="L80" s="1"/>
  <c r="M80" s="1"/>
  <c r="W14"/>
  <c r="F90" i="34"/>
  <c r="G90" s="1"/>
  <c r="H90" s="1"/>
  <c r="I90" s="1"/>
  <c r="J90" s="1"/>
  <c r="K90" s="1"/>
  <c r="L90" s="1"/>
  <c r="M90" s="1"/>
  <c r="F27"/>
  <c r="S27" s="1"/>
  <c r="G96" i="37"/>
  <c r="H96"/>
  <c r="I96" s="1"/>
  <c r="J96" s="1"/>
  <c r="K96" s="1"/>
  <c r="L96" s="1"/>
  <c r="M96" s="1"/>
  <c r="F32"/>
  <c r="S32" s="1"/>
  <c r="U11" i="35"/>
  <c r="AB11"/>
  <c r="S46" i="34"/>
  <c r="U32"/>
  <c r="U14"/>
  <c r="AC14"/>
  <c r="U12"/>
  <c r="AB13" i="33"/>
  <c r="F17" i="34"/>
  <c r="AA17" s="1"/>
  <c r="J17"/>
  <c r="AC17" s="1"/>
  <c r="H11"/>
  <c r="AB11" s="1"/>
  <c r="J35" i="33"/>
  <c r="W35" s="1"/>
  <c r="H11"/>
  <c r="U11" s="1"/>
  <c r="H10"/>
  <c r="U10" s="1"/>
  <c r="I66"/>
  <c r="J10"/>
  <c r="AC10" s="1"/>
  <c r="U40" i="21"/>
  <c r="U11" i="37"/>
  <c r="AC16" i="35"/>
  <c r="AC13" i="40"/>
  <c r="J11" i="34"/>
  <c r="W11" s="1"/>
  <c r="S17"/>
  <c r="F25" i="40"/>
  <c r="AA25" s="1"/>
  <c r="J11" i="33"/>
  <c r="W11" s="1"/>
  <c r="H33" i="37"/>
  <c r="AB33" s="1"/>
  <c r="W15" i="34"/>
  <c r="AC15"/>
  <c r="U20" i="35"/>
  <c r="W23" i="40"/>
  <c r="D73" i="9"/>
  <c r="N73" s="1"/>
  <c r="G11" i="1"/>
  <c r="AP11"/>
  <c r="J51" i="15"/>
  <c r="B11" i="1"/>
  <c r="E11" s="1"/>
  <c r="K11"/>
  <c r="M11" s="1"/>
  <c r="B9"/>
  <c r="E9" s="1"/>
  <c r="K9"/>
  <c r="M9" s="1"/>
  <c r="B7"/>
  <c r="E7" s="1"/>
  <c r="K7"/>
  <c r="M7" s="1"/>
  <c r="O7" s="1"/>
  <c r="P7" s="1"/>
  <c r="C20" i="43"/>
  <c r="E2" i="65"/>
  <c r="S43" i="39" l="1"/>
  <c r="AZ484" i="3"/>
  <c r="H5"/>
  <c r="AZ392"/>
  <c r="AZ397"/>
  <c r="AZ408"/>
  <c r="AZ413"/>
  <c r="W34" i="40"/>
  <c r="AB32"/>
  <c r="W35"/>
  <c r="AB14"/>
  <c r="U31" i="37"/>
  <c r="AB13" i="21"/>
  <c r="U30" i="33"/>
  <c r="AB13" i="35"/>
  <c r="AA38" i="37"/>
  <c r="BI5" i="3"/>
  <c r="C58" i="33"/>
  <c r="D58" s="1"/>
  <c r="E58" s="1"/>
  <c r="F58" s="1"/>
  <c r="G58" s="1"/>
  <c r="H58" s="1"/>
  <c r="I58" s="1"/>
  <c r="J58" s="1"/>
  <c r="K58" s="1"/>
  <c r="L58" s="1"/>
  <c r="M58" s="1"/>
  <c r="N58" s="1"/>
  <c r="O58" s="1"/>
  <c r="J7"/>
  <c r="J39"/>
  <c r="AC39" s="1"/>
  <c r="AZ420" i="3"/>
  <c r="H24" i="36"/>
  <c r="J25" i="37"/>
  <c r="G15" i="3"/>
  <c r="D3" i="33"/>
  <c r="C92" i="9"/>
  <c r="J42" i="39"/>
  <c r="AC42" s="1"/>
  <c r="H42"/>
  <c r="AB42" s="1"/>
  <c r="F42"/>
  <c r="C18" i="9"/>
  <c r="F6" i="1"/>
  <c r="A11" i="55"/>
  <c r="B62" i="63" s="1"/>
  <c r="AZ425" i="3"/>
  <c r="AZ429"/>
  <c r="AZ445"/>
  <c r="AZ448"/>
  <c r="AZ468"/>
  <c r="AZ472"/>
  <c r="AZ206"/>
  <c r="AZ210"/>
  <c r="AZ222"/>
  <c r="AZ226"/>
  <c r="AZ242"/>
  <c r="AZ254"/>
  <c r="AZ258"/>
  <c r="AZ272"/>
  <c r="AZ285"/>
  <c r="AZ288"/>
  <c r="AZ368"/>
  <c r="AZ384"/>
  <c r="AZ218"/>
  <c r="AZ230"/>
  <c r="AZ234"/>
  <c r="AZ250"/>
  <c r="AZ266"/>
  <c r="AZ293"/>
  <c r="AZ117"/>
  <c r="AZ133"/>
  <c r="AZ149"/>
  <c r="AZ160"/>
  <c r="AZ163"/>
  <c r="AZ176"/>
  <c r="AZ182"/>
  <c r="AZ190"/>
  <c r="AZ198"/>
  <c r="AZ204"/>
  <c r="AZ26"/>
  <c r="AZ29"/>
  <c r="AZ36"/>
  <c r="AZ44"/>
  <c r="AZ50"/>
  <c r="AZ53"/>
  <c r="AZ60"/>
  <c r="AZ125"/>
  <c r="AZ141"/>
  <c r="G22"/>
  <c r="AZ77"/>
  <c r="AZ92"/>
  <c r="AZ97"/>
  <c r="AZ108"/>
  <c r="AZ22"/>
  <c r="AZ68"/>
  <c r="AZ72"/>
  <c r="I21" i="57"/>
  <c r="D1"/>
  <c r="E10" s="1"/>
  <c r="F29" i="39"/>
  <c r="AA29" s="1"/>
  <c r="AC19" i="33"/>
  <c r="S37"/>
  <c r="H42"/>
  <c r="U42" s="1"/>
  <c r="F42"/>
  <c r="AA42" s="1"/>
  <c r="J42"/>
  <c r="AC42" s="1"/>
  <c r="AB43"/>
  <c r="S42"/>
  <c r="AA41"/>
  <c r="S39"/>
  <c r="H38"/>
  <c r="W38"/>
  <c r="J37"/>
  <c r="W37" s="1"/>
  <c r="AC36"/>
  <c r="W33"/>
  <c r="U33"/>
  <c r="AA34"/>
  <c r="F101"/>
  <c r="G101" s="1"/>
  <c r="H101" s="1"/>
  <c r="I101" s="1"/>
  <c r="J101" s="1"/>
  <c r="K101" s="1"/>
  <c r="L101" s="1"/>
  <c r="M101" s="1"/>
  <c r="H32"/>
  <c r="AB32" s="1"/>
  <c r="J32"/>
  <c r="AC32" s="1"/>
  <c r="U28"/>
  <c r="AC28"/>
  <c r="W27"/>
  <c r="AB27"/>
  <c r="W41"/>
  <c r="S38"/>
  <c r="S32"/>
  <c r="S28"/>
  <c r="AA27"/>
  <c r="AC15"/>
  <c r="AC8"/>
  <c r="E97" i="39"/>
  <c r="F97" s="1"/>
  <c r="G97" s="1"/>
  <c r="F103"/>
  <c r="G103" s="1"/>
  <c r="H29"/>
  <c r="U29" s="1"/>
  <c r="J29"/>
  <c r="AC29" s="1"/>
  <c r="U34"/>
  <c r="U27"/>
  <c r="U19"/>
  <c r="AB44"/>
  <c r="AC43"/>
  <c r="AA33"/>
  <c r="AC33"/>
  <c r="W27"/>
  <c r="AB25"/>
  <c r="AA19"/>
  <c r="F31" i="43"/>
  <c r="F27"/>
  <c r="C27" s="1"/>
  <c r="F32" i="15"/>
  <c r="F59" s="1"/>
  <c r="F29" i="12"/>
  <c r="G14" i="3"/>
  <c r="C30" i="44"/>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AB38"/>
  <c r="U31"/>
  <c r="AB31"/>
  <c r="S25"/>
  <c r="S38"/>
  <c r="D18" i="9"/>
  <c r="M44" s="1"/>
  <c r="M43"/>
  <c r="A30" i="64"/>
  <c r="A30" i="51"/>
  <c r="B22" i="63" s="1"/>
  <c r="M20" i="15"/>
  <c r="D96" i="9"/>
  <c r="F28" i="15"/>
  <c r="C28" s="1"/>
  <c r="M18"/>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F28" i="6" s="1"/>
  <c r="BL16" i="3"/>
  <c r="BL5" s="1"/>
  <c r="BM5"/>
  <c r="F29" i="6" s="1"/>
  <c r="BA13" i="3"/>
  <c r="H48" i="46"/>
  <c r="H52"/>
  <c r="H53"/>
  <c r="B40" i="1"/>
  <c r="G28" i="12"/>
  <c r="G22" i="43"/>
  <c r="G26" i="12"/>
  <c r="D24" i="44"/>
  <c r="D26"/>
  <c r="G27" i="12"/>
  <c r="G23" i="43"/>
  <c r="G21"/>
  <c r="H54" i="46"/>
  <c r="H50"/>
  <c r="H55"/>
  <c r="H51"/>
  <c r="E11"/>
  <c r="E10"/>
  <c r="N8"/>
  <c r="N4"/>
  <c r="N1"/>
  <c r="M9"/>
  <c r="M2"/>
  <c r="N11"/>
  <c r="N9"/>
  <c r="F69" s="1"/>
  <c r="H75" s="1"/>
  <c r="M4"/>
  <c r="M12"/>
  <c r="M8"/>
  <c r="M3"/>
  <c r="M5"/>
  <c r="C6" s="1"/>
  <c r="H6" i="48"/>
  <c r="E9" i="46"/>
  <c r="H15" i="48"/>
  <c r="H5"/>
  <c r="H14"/>
  <c r="F38" i="46"/>
  <c r="F36"/>
  <c r="F34"/>
  <c r="J17"/>
  <c r="C17"/>
  <c r="F39"/>
  <c r="H13" i="48"/>
  <c r="H11"/>
  <c r="E8" i="46"/>
  <c r="I17"/>
  <c r="C16" s="1"/>
  <c r="C5" s="1"/>
  <c r="E17"/>
  <c r="D71"/>
  <c r="D84"/>
  <c r="E80" s="1"/>
  <c r="B78" s="1"/>
  <c r="D69"/>
  <c r="E69" s="1"/>
  <c r="B67" s="1"/>
  <c r="E47"/>
  <c r="E58"/>
  <c r="C52" i="15"/>
  <c r="A4" i="64"/>
  <c r="A4" i="51"/>
  <c r="C51" i="10"/>
  <c r="H58" i="46"/>
  <c r="H61"/>
  <c r="H62"/>
  <c r="H71"/>
  <c r="H76"/>
  <c r="I100"/>
  <c r="B56"/>
  <c r="C24" s="1"/>
  <c r="N100"/>
  <c r="H100"/>
  <c r="F108"/>
  <c r="H80"/>
  <c r="B45"/>
  <c r="E100"/>
  <c r="G100"/>
  <c r="H84"/>
  <c r="H65"/>
  <c r="H66"/>
  <c r="C100"/>
  <c r="J100"/>
  <c r="M100"/>
  <c r="AA12" i="36"/>
  <c r="U12" i="35"/>
  <c r="AB12"/>
  <c r="W11"/>
  <c r="AA11"/>
  <c r="S14" i="37"/>
  <c r="U13"/>
  <c r="S13" i="21"/>
  <c r="C24" i="9"/>
  <c r="C30"/>
  <c r="C25" s="1"/>
  <c r="AP7" i="1"/>
  <c r="G7"/>
  <c r="AP9"/>
  <c r="G9"/>
  <c r="AP8"/>
  <c r="G8"/>
  <c r="I20" i="46"/>
  <c r="C20" s="1"/>
  <c r="AP6" i="1"/>
  <c r="G6"/>
  <c r="B6" i="63"/>
  <c r="L5" i="54"/>
  <c r="B39" i="63" s="1"/>
  <c r="K5" i="54"/>
  <c r="B38" i="63" s="1"/>
  <c r="T41" i="4"/>
  <c r="A17" i="64" s="1"/>
  <c r="B46" i="50"/>
  <c r="B4" i="63" s="1"/>
  <c r="C46" i="36"/>
  <c r="D46" s="1"/>
  <c r="C59" i="34"/>
  <c r="D59" s="1"/>
  <c r="E59" s="1"/>
  <c r="C48" i="35"/>
  <c r="D48" s="1"/>
  <c r="C52" i="37"/>
  <c r="D52" s="1"/>
  <c r="F7" i="33"/>
  <c r="C67" i="40"/>
  <c r="D65"/>
  <c r="P24" i="46"/>
  <c r="B68" i="40" s="1"/>
  <c r="P25" i="46"/>
  <c r="P23"/>
  <c r="P21"/>
  <c r="P22"/>
  <c r="H7" i="33"/>
  <c r="C72" i="39"/>
  <c r="D70"/>
  <c r="O19" i="46"/>
  <c r="K17" i="4"/>
  <c r="A22" i="51" s="1"/>
  <c r="B16" i="63" s="1"/>
  <c r="H77" i="46"/>
  <c r="H69"/>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AC37"/>
  <c r="U14"/>
  <c r="W16"/>
  <c r="S15"/>
  <c r="W25"/>
  <c r="W45"/>
  <c r="S41"/>
  <c r="AA44"/>
  <c r="AA46"/>
  <c r="W34"/>
  <c r="W10"/>
  <c r="W11"/>
  <c r="U42"/>
  <c r="S32" i="40"/>
  <c r="C27" i="39"/>
  <c r="C17" i="40"/>
  <c r="C19"/>
  <c r="C17" i="39"/>
  <c r="C19"/>
  <c r="C21"/>
  <c r="C23" i="40"/>
  <c r="B48" i="46"/>
  <c r="B51"/>
  <c r="B55"/>
  <c r="B59"/>
  <c r="B62"/>
  <c r="B66"/>
  <c r="B53"/>
  <c r="B64"/>
  <c r="M13" i="44"/>
  <c r="E11" i="52"/>
  <c r="E7"/>
  <c r="B7"/>
  <c r="E6"/>
  <c r="B18"/>
  <c r="B10"/>
  <c r="B14"/>
  <c r="B9"/>
  <c r="E21"/>
  <c r="B4"/>
  <c r="B22"/>
  <c r="B8"/>
  <c r="B13"/>
  <c r="E9"/>
  <c r="B5"/>
  <c r="B17"/>
  <c r="E10"/>
  <c r="E8"/>
  <c r="B23"/>
  <c r="B11"/>
  <c r="B16"/>
  <c r="B19"/>
  <c r="E16"/>
  <c r="B6"/>
  <c r="E4"/>
  <c r="E18"/>
  <c r="E5"/>
  <c r="D24" i="15"/>
  <c r="M28"/>
  <c r="F18" i="44"/>
  <c r="L47" i="15"/>
  <c r="J15"/>
  <c r="F43" i="44"/>
  <c r="F38" i="15"/>
  <c r="F15" i="44"/>
  <c r="F40"/>
  <c r="M9" i="15"/>
  <c r="F39" i="44"/>
  <c r="M6" i="15"/>
  <c r="F26"/>
  <c r="F9" i="44"/>
  <c r="F42" i="15"/>
  <c r="F11" i="44"/>
  <c r="F45"/>
  <c r="C35"/>
  <c r="M10"/>
  <c r="M8" i="15"/>
  <c r="F16"/>
  <c r="M31" i="44"/>
  <c r="M29"/>
  <c r="M23" i="15"/>
  <c r="F38" i="44"/>
  <c r="F7" i="15"/>
  <c r="M24" i="44"/>
  <c r="L48" i="15"/>
  <c r="M8" i="44"/>
  <c r="M11"/>
  <c r="J36" i="15"/>
  <c r="M29"/>
  <c r="M30" i="44"/>
  <c r="F28"/>
  <c r="M25"/>
  <c r="M24" i="15"/>
  <c r="F6"/>
  <c r="J17" i="44"/>
  <c r="F40" i="15"/>
  <c r="F37"/>
  <c r="F8" i="44"/>
  <c r="M26"/>
  <c r="F10"/>
  <c r="M28"/>
  <c r="W32" i="33" l="1"/>
  <c r="F23" i="39"/>
  <c r="H74" i="46"/>
  <c r="H73"/>
  <c r="B73" i="39"/>
  <c r="C7" i="46"/>
  <c r="AA42" i="39"/>
  <c r="S42"/>
  <c r="W25" i="37"/>
  <c r="AC25"/>
  <c r="AB24" i="36"/>
  <c r="U24"/>
  <c r="AB29" i="39"/>
  <c r="W42" i="33"/>
  <c r="U32"/>
  <c r="AB38"/>
  <c r="U38"/>
  <c r="AC37"/>
  <c r="AC25"/>
  <c r="H23" i="39"/>
  <c r="J23"/>
  <c r="E86" i="3"/>
  <c r="E297"/>
  <c r="AA11" i="46"/>
  <c r="AA13" s="1"/>
  <c r="AO6" i="3"/>
  <c r="E561"/>
  <c r="E476"/>
  <c r="AF11" i="46"/>
  <c r="AF13" s="1"/>
  <c r="AI11"/>
  <c r="AI13" s="1"/>
  <c r="AJ11"/>
  <c r="AJ13" s="1"/>
  <c r="AB11"/>
  <c r="AB13" s="1"/>
  <c r="AE11"/>
  <c r="AE13" s="1"/>
  <c r="C23"/>
  <c r="AH11"/>
  <c r="AH13" s="1"/>
  <c r="AD11"/>
  <c r="AD13" s="1"/>
  <c r="Z11"/>
  <c r="Z13" s="1"/>
  <c r="Y11"/>
  <c r="Y13" s="1"/>
  <c r="AG11"/>
  <c r="AG13" s="1"/>
  <c r="AC11"/>
  <c r="AC13" s="1"/>
  <c r="E22"/>
  <c r="F101"/>
  <c r="F109" s="1"/>
  <c r="N101"/>
  <c r="N109" s="1"/>
  <c r="K101"/>
  <c r="K109" s="1"/>
  <c r="Z7"/>
  <c r="D101"/>
  <c r="L101"/>
  <c r="I101"/>
  <c r="N104" i="45"/>
  <c r="G22" i="46"/>
  <c r="H101"/>
  <c r="E101"/>
  <c r="M101"/>
  <c r="F22"/>
  <c r="B113"/>
  <c r="I116" s="1"/>
  <c r="J116" s="1"/>
  <c r="K116" s="1"/>
  <c r="L116" s="1"/>
  <c r="M116" s="1"/>
  <c r="J101"/>
  <c r="G101"/>
  <c r="G103" s="1"/>
  <c r="C10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4" i="46"/>
  <c r="J103"/>
  <c r="J106"/>
  <c r="J107"/>
  <c r="J102"/>
  <c r="J105"/>
  <c r="C106"/>
  <c r="C104"/>
  <c r="C103"/>
  <c r="C105"/>
  <c r="C102"/>
  <c r="C107"/>
  <c r="C109"/>
  <c r="J109"/>
  <c r="F102"/>
  <c r="F106"/>
  <c r="F104"/>
  <c r="F107"/>
  <c r="F105"/>
  <c r="F103"/>
  <c r="N102"/>
  <c r="N105"/>
  <c r="N103"/>
  <c r="K106"/>
  <c r="K104"/>
  <c r="K103"/>
  <c r="K107"/>
  <c r="K102"/>
  <c r="K105"/>
  <c r="AB39" i="40"/>
  <c r="U39"/>
  <c r="AC39"/>
  <c r="W39"/>
  <c r="AA39"/>
  <c r="S39"/>
  <c r="U37"/>
  <c r="AB37"/>
  <c r="AA37"/>
  <c r="S37"/>
  <c r="U29"/>
  <c r="AB29"/>
  <c r="AC29"/>
  <c r="W29"/>
  <c r="AA29"/>
  <c r="S29"/>
  <c r="W19"/>
  <c r="AC19"/>
  <c r="AA19"/>
  <c r="S19"/>
  <c r="AB19"/>
  <c r="U19"/>
  <c r="AC27"/>
  <c r="W27"/>
  <c r="W31" i="39"/>
  <c r="AC3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C21" i="46"/>
  <c r="E333" i="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C7" s="1"/>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H6" s="1"/>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C29"/>
  <c r="E29" s="1"/>
  <c r="T9"/>
  <c r="V9" s="1"/>
  <c r="T11"/>
  <c r="V11" s="1"/>
  <c r="T13"/>
  <c r="V13" s="1"/>
  <c r="T15"/>
  <c r="V15" s="1"/>
  <c r="C34"/>
  <c r="E34" s="1"/>
  <c r="C35"/>
  <c r="E35" s="1"/>
  <c r="C38"/>
  <c r="G38" s="1"/>
  <c r="I38" s="1"/>
  <c r="A25" i="51"/>
  <c r="B18" i="63" s="1"/>
  <c r="A3" i="55"/>
  <c r="B56" i="63" s="1"/>
  <c r="E52" i="37"/>
  <c r="F52" s="1"/>
  <c r="G52" s="1"/>
  <c r="H52" s="1"/>
  <c r="I52" s="1"/>
  <c r="J52" s="1"/>
  <c r="K52" s="1"/>
  <c r="L52" s="1"/>
  <c r="M52" s="1"/>
  <c r="N52" s="1"/>
  <c r="O52" s="1"/>
  <c r="J7"/>
  <c r="F59" i="34"/>
  <c r="G59" s="1"/>
  <c r="H59" s="1"/>
  <c r="I59" s="1"/>
  <c r="J59" s="1"/>
  <c r="K59" s="1"/>
  <c r="L59" s="1"/>
  <c r="M59" s="1"/>
  <c r="N59" s="1"/>
  <c r="O59" s="1"/>
  <c r="F7"/>
  <c r="E48" i="35"/>
  <c r="F48" s="1"/>
  <c r="G48" s="1"/>
  <c r="H48" s="1"/>
  <c r="I48" s="1"/>
  <c r="J48" s="1"/>
  <c r="K48" s="1"/>
  <c r="L48" s="1"/>
  <c r="M48" s="1"/>
  <c r="N48" s="1"/>
  <c r="O48" s="1"/>
  <c r="J7"/>
  <c r="AC7" s="1"/>
  <c r="V38" s="1"/>
  <c r="I38" s="1"/>
  <c r="E46" i="36"/>
  <c r="F46" s="1"/>
  <c r="G46" s="1"/>
  <c r="H46" s="1"/>
  <c r="I46" s="1"/>
  <c r="J46" s="1"/>
  <c r="K46" s="1"/>
  <c r="L46" s="1"/>
  <c r="M46" s="1"/>
  <c r="N46" s="1"/>
  <c r="O46" s="1"/>
  <c r="H7"/>
  <c r="AB7" s="1"/>
  <c r="T36" s="1"/>
  <c r="G36" s="1"/>
  <c r="G40" s="1"/>
  <c r="H40" s="1"/>
  <c r="D72" i="39"/>
  <c r="E70"/>
  <c r="W7" i="33"/>
  <c r="AC7"/>
  <c r="U7"/>
  <c r="AB7"/>
  <c r="D67" i="40"/>
  <c r="E65"/>
  <c r="S7" i="33"/>
  <c r="AA7"/>
  <c r="R48" s="1"/>
  <c r="C39" i="46"/>
  <c r="G39" s="1"/>
  <c r="I39" s="1"/>
  <c r="C36"/>
  <c r="E36" s="1"/>
  <c r="C33"/>
  <c r="G33" s="1"/>
  <c r="I33" s="1"/>
  <c r="C37"/>
  <c r="G37" s="1"/>
  <c r="I37" s="1"/>
  <c r="Q16" i="1"/>
  <c r="F18" i="11" s="1"/>
  <c r="C18" s="1"/>
  <c r="C19" s="1"/>
  <c r="AP16" i="1"/>
  <c r="F22" i="11" s="1"/>
  <c r="E4" i="4"/>
  <c r="C4"/>
  <c r="F64" i="15"/>
  <c r="C27"/>
  <c r="L58"/>
  <c r="Q74" s="1"/>
  <c r="L59"/>
  <c r="Q75" s="1"/>
  <c r="Q72"/>
  <c r="F67"/>
  <c r="M7"/>
  <c r="F49"/>
  <c r="K53"/>
  <c r="L56"/>
  <c r="J53"/>
  <c r="F1" s="1"/>
  <c r="J57"/>
  <c r="F65"/>
  <c r="P6" i="1"/>
  <c r="G66" i="36"/>
  <c r="J18"/>
  <c r="AE8" i="1"/>
  <c r="F58" i="15"/>
  <c r="F31"/>
  <c r="F33" i="44"/>
  <c r="M19"/>
  <c r="M17" i="15"/>
  <c r="M22"/>
  <c r="C16"/>
  <c r="C15" i="12"/>
  <c r="F8" i="15"/>
  <c r="F43"/>
  <c r="AE6" i="1"/>
  <c r="F36" i="15"/>
  <c r="F13"/>
  <c r="F9"/>
  <c r="F46" i="44"/>
  <c r="M26" i="15"/>
  <c r="C18" i="44"/>
  <c r="T48" i="33" l="1"/>
  <c r="G48" s="1"/>
  <c r="V48"/>
  <c r="I48" s="1"/>
  <c r="I52" s="1"/>
  <c r="J52" s="1"/>
  <c r="AA23" i="39"/>
  <c r="S23"/>
  <c r="F63" i="15"/>
  <c r="F70"/>
  <c r="C10"/>
  <c r="F50"/>
  <c r="C48" s="1"/>
  <c r="C6"/>
  <c r="C5" s="1"/>
  <c r="J7" i="36"/>
  <c r="W7" s="1"/>
  <c r="F7"/>
  <c r="H7" i="35"/>
  <c r="F7"/>
  <c r="H7" i="34"/>
  <c r="AB7" s="1"/>
  <c r="T49" s="1"/>
  <c r="G49" s="1"/>
  <c r="G53" s="1"/>
  <c r="H53" s="1"/>
  <c r="J7"/>
  <c r="H7" i="37"/>
  <c r="F7"/>
  <c r="AA7" s="1"/>
  <c r="R42" s="1"/>
  <c r="E42" s="1"/>
  <c r="AC23" i="39"/>
  <c r="W23"/>
  <c r="AB23"/>
  <c r="U23"/>
  <c r="G105" i="46"/>
  <c r="G118"/>
  <c r="H118" s="1"/>
  <c r="N104"/>
  <c r="N107"/>
  <c r="N106"/>
  <c r="G109"/>
  <c r="D116"/>
  <c r="E116" s="1"/>
  <c r="F116" s="1"/>
  <c r="G116" s="1"/>
  <c r="H116" s="1"/>
  <c r="B118"/>
  <c r="C118" s="1"/>
  <c r="G106"/>
  <c r="G104"/>
  <c r="B116"/>
  <c r="C116" s="1"/>
  <c r="D117"/>
  <c r="E117" s="1"/>
  <c r="F117" s="1"/>
  <c r="G117" s="1"/>
  <c r="H117" s="1"/>
  <c r="D118"/>
  <c r="E118" s="1"/>
  <c r="F118" s="1"/>
  <c r="M107"/>
  <c r="M105"/>
  <c r="M106"/>
  <c r="M104"/>
  <c r="M102"/>
  <c r="M103"/>
  <c r="M109"/>
  <c r="H104"/>
  <c r="H102"/>
  <c r="H105"/>
  <c r="H107"/>
  <c r="H106"/>
  <c r="H103"/>
  <c r="H109"/>
  <c r="L106"/>
  <c r="L102"/>
  <c r="L105"/>
  <c r="L109"/>
  <c r="L104"/>
  <c r="L103"/>
  <c r="L107"/>
  <c r="D22"/>
  <c r="G107"/>
  <c r="G102"/>
  <c r="B117"/>
  <c r="C117" s="1"/>
  <c r="I117"/>
  <c r="J117" s="1"/>
  <c r="K117" s="1"/>
  <c r="L117" s="1"/>
  <c r="M117" s="1"/>
  <c r="I115"/>
  <c r="J115" s="1"/>
  <c r="K115" s="1"/>
  <c r="L115" s="1"/>
  <c r="M115" s="1"/>
  <c r="I118"/>
  <c r="J118" s="1"/>
  <c r="K118" s="1"/>
  <c r="L118" s="1"/>
  <c r="M118" s="1"/>
  <c r="D115"/>
  <c r="E115" s="1"/>
  <c r="F115" s="1"/>
  <c r="G115" s="1"/>
  <c r="H115" s="1"/>
  <c r="B115"/>
  <c r="C115" s="1"/>
  <c r="E104"/>
  <c r="E103"/>
  <c r="E106"/>
  <c r="E107"/>
  <c r="E105"/>
  <c r="E102"/>
  <c r="E109"/>
  <c r="I105"/>
  <c r="I102"/>
  <c r="I104"/>
  <c r="I109"/>
  <c r="I103"/>
  <c r="I107"/>
  <c r="I106"/>
  <c r="D102"/>
  <c r="D106"/>
  <c r="D105"/>
  <c r="D109"/>
  <c r="D107"/>
  <c r="D103"/>
  <c r="D104"/>
  <c r="AC7" i="36"/>
  <c r="V36" s="1"/>
  <c r="I36" s="1"/>
  <c r="I40" s="1"/>
  <c r="J40" s="1"/>
  <c r="W18"/>
  <c r="AC18"/>
  <c r="U7"/>
  <c r="G41"/>
  <c r="H41" s="1"/>
  <c r="W7" i="35"/>
  <c r="S7" i="37"/>
  <c r="U7" i="34"/>
  <c r="J6" i="15"/>
  <c r="J5" s="1"/>
  <c r="J18" s="1"/>
  <c r="J8" i="44"/>
  <c r="J7" s="1"/>
  <c r="E48" i="33"/>
  <c r="E52" s="1"/>
  <c r="F52" s="1"/>
  <c r="H12" i="40"/>
  <c r="AG6" i="1"/>
  <c r="H12" i="39"/>
  <c r="U12" s="1"/>
  <c r="F12"/>
  <c r="AA12" s="1"/>
  <c r="F31" i="6"/>
  <c r="F12" i="40"/>
  <c r="AA12" s="1"/>
  <c r="J12" i="39"/>
  <c r="AC12" s="1"/>
  <c r="AC6" i="3"/>
  <c r="E6" s="1"/>
  <c r="D12" i="11"/>
  <c r="C12" s="1"/>
  <c r="C27" i="12"/>
  <c r="D26" s="1"/>
  <c r="E59" i="40"/>
  <c r="E29" i="6"/>
  <c r="L20" s="1"/>
  <c r="E58" i="40"/>
  <c r="E63" i="39"/>
  <c r="E16" i="6"/>
  <c r="AZ5" i="3"/>
  <c r="F24" i="43"/>
  <c r="E60" i="40"/>
  <c r="E65" i="39"/>
  <c r="K19" i="6"/>
  <c r="K26"/>
  <c r="M26" s="1"/>
  <c r="I26" s="1"/>
  <c r="S26" s="1"/>
  <c r="K24"/>
  <c r="M24" s="1"/>
  <c r="I24" s="1"/>
  <c r="S24" s="1"/>
  <c r="K22"/>
  <c r="K20"/>
  <c r="K23"/>
  <c r="M23" s="1"/>
  <c r="I23" s="1"/>
  <c r="S23" s="1"/>
  <c r="K25"/>
  <c r="M25" s="1"/>
  <c r="I25" s="1"/>
  <c r="S25" s="1"/>
  <c r="K21"/>
  <c r="K14" i="1"/>
  <c r="L19" i="6"/>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I42" i="35"/>
  <c r="J42" s="1"/>
  <c r="G52" i="33"/>
  <c r="H52" s="1"/>
  <c r="E67" i="40"/>
  <c r="F65"/>
  <c r="E72" i="39"/>
  <c r="F70"/>
  <c r="E39" i="46"/>
  <c r="C34" i="44"/>
  <c r="C40"/>
  <c r="I53" i="34"/>
  <c r="J53" s="1"/>
  <c r="Q61" i="15"/>
  <c r="Q62"/>
  <c r="Q53"/>
  <c r="AB12" i="39"/>
  <c r="AB12" i="40"/>
  <c r="U12"/>
  <c r="S12" i="39"/>
  <c r="C20" i="11"/>
  <c r="C21" s="1"/>
  <c r="C22" s="1"/>
  <c r="C23" s="1"/>
  <c r="B2" s="1"/>
  <c r="S12" i="40"/>
  <c r="W12" i="39"/>
  <c r="AC12" i="40"/>
  <c r="W12"/>
  <c r="E46" i="37"/>
  <c r="F46" s="1"/>
  <c r="D21" i="12"/>
  <c r="M27" i="15"/>
  <c r="F33" i="12"/>
  <c r="F41" i="15"/>
  <c r="G53" i="33" l="1"/>
  <c r="H53" s="1"/>
  <c r="R49"/>
  <c r="C48" s="1"/>
  <c r="R24" i="31" s="1"/>
  <c r="R27" s="1"/>
  <c r="S27" s="1"/>
  <c r="F68" i="15"/>
  <c r="U7" i="37"/>
  <c r="AB7"/>
  <c r="T42" s="1"/>
  <c r="G42" s="1"/>
  <c r="AB7" i="35"/>
  <c r="T38" s="1"/>
  <c r="G38" s="1"/>
  <c r="U7"/>
  <c r="E30" i="6"/>
  <c r="E31" s="1"/>
  <c r="C34" i="12"/>
  <c r="D33" s="1"/>
  <c r="C21"/>
  <c r="S7" i="46"/>
  <c r="T7" s="1"/>
  <c r="V7" s="1"/>
  <c r="S4"/>
  <c r="T4" s="1"/>
  <c r="V4" s="1"/>
  <c r="S6"/>
  <c r="T6" s="1"/>
  <c r="V6" s="1"/>
  <c r="S5"/>
  <c r="T5" s="1"/>
  <c r="V5" s="1"/>
  <c r="S3"/>
  <c r="T3" s="1"/>
  <c r="V3" s="1"/>
  <c r="S2"/>
  <c r="T2" s="1"/>
  <c r="V2" s="1"/>
  <c r="D113"/>
  <c r="J22" s="1"/>
  <c r="E41" i="36"/>
  <c r="F41" s="1"/>
  <c r="I47" i="37"/>
  <c r="J47" s="1"/>
  <c r="G47"/>
  <c r="H47" s="1"/>
  <c r="E53" i="33"/>
  <c r="F53" s="1"/>
  <c r="I53"/>
  <c r="J53" s="1"/>
  <c r="L27" i="6"/>
  <c r="E38" i="35"/>
  <c r="I43" s="1"/>
  <c r="J43" s="1"/>
  <c r="I41" i="36"/>
  <c r="J41" s="1"/>
  <c r="R37"/>
  <c r="C26" i="46"/>
  <c r="B2" s="1"/>
  <c r="B4" s="1"/>
  <c r="C26" i="43"/>
  <c r="D24" s="1"/>
  <c r="C32" i="12"/>
  <c r="D30" s="1"/>
  <c r="M14" i="1"/>
  <c r="K16"/>
  <c r="M20" i="6"/>
  <c r="I20" s="1"/>
  <c r="S20" s="1"/>
  <c r="S7" i="1"/>
  <c r="K27" i="6"/>
  <c r="M19"/>
  <c r="S6" i="1"/>
  <c r="M21" i="6"/>
  <c r="I21" s="1"/>
  <c r="S21" s="1"/>
  <c r="S8" i="1"/>
  <c r="M22" i="6"/>
  <c r="I22" s="1"/>
  <c r="S22" s="1"/>
  <c r="S9" i="1"/>
  <c r="E3" i="6"/>
  <c r="B14" i="66" s="1"/>
  <c r="B1" s="1"/>
  <c r="AY6" i="3"/>
  <c r="R43" i="37"/>
  <c r="C27" i="46"/>
  <c r="R50" i="34"/>
  <c r="C50" s="1"/>
  <c r="B3" s="1"/>
  <c r="B2" s="1"/>
  <c r="E49"/>
  <c r="C39" i="35"/>
  <c r="B3" s="1"/>
  <c r="B2" s="1"/>
  <c r="AC7" i="21"/>
  <c r="V48" s="1"/>
  <c r="I48" s="1"/>
  <c r="W7"/>
  <c r="U7"/>
  <c r="AB7"/>
  <c r="T48" s="1"/>
  <c r="G48" s="1"/>
  <c r="S7"/>
  <c r="AA7"/>
  <c r="R48" s="1"/>
  <c r="F72" i="39"/>
  <c r="G70"/>
  <c r="F67" i="40"/>
  <c r="G65"/>
  <c r="J24" i="15"/>
  <c r="C32"/>
  <c r="C38"/>
  <c r="J20" i="44"/>
  <c r="J26"/>
  <c r="B3" i="11"/>
  <c r="B3" i="46"/>
  <c r="C19" i="44"/>
  <c r="C17" i="15"/>
  <c r="R26" i="31" l="1"/>
  <c r="S26" s="1"/>
  <c r="S24"/>
  <c r="R25"/>
  <c r="S25" s="1"/>
  <c r="C49" i="33"/>
  <c r="B3" s="1"/>
  <c r="B2" s="1"/>
  <c r="G46" i="37"/>
  <c r="H46" s="1"/>
  <c r="E47"/>
  <c r="F47" s="1"/>
  <c r="G42" i="35"/>
  <c r="H42" s="1"/>
  <c r="G43"/>
  <c r="H43" s="1"/>
  <c r="E43"/>
  <c r="F43" s="1"/>
  <c r="E42"/>
  <c r="F42" s="1"/>
  <c r="C37" i="36"/>
  <c r="B3" s="1"/>
  <c r="B2" s="1"/>
  <c r="C36"/>
  <c r="D4" i="46"/>
  <c r="S16" i="1"/>
  <c r="T13" s="1"/>
  <c r="D3" i="6"/>
  <c r="C40" i="39" s="1"/>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C21" i="4"/>
  <c r="O5" i="54" s="1"/>
  <c r="B45" i="63" s="1"/>
  <c r="E6" i="6"/>
  <c r="D10" i="11"/>
  <c r="L38" i="9"/>
  <c r="O14" i="1"/>
  <c r="M16"/>
  <c r="T7"/>
  <c r="C43" i="37"/>
  <c r="B3" s="1"/>
  <c r="B2" s="1"/>
  <c r="C42"/>
  <c r="C49" i="34"/>
  <c r="E54"/>
  <c r="F54" s="1"/>
  <c r="I54"/>
  <c r="J54" s="1"/>
  <c r="E53"/>
  <c r="F53" s="1"/>
  <c r="I52" i="21"/>
  <c r="J52" s="1"/>
  <c r="E48"/>
  <c r="R49"/>
  <c r="G52"/>
  <c r="H52" s="1"/>
  <c r="G53"/>
  <c r="H53" s="1"/>
  <c r="G67" i="40"/>
  <c r="H65"/>
  <c r="G72" i="39"/>
  <c r="H70"/>
  <c r="D16" i="12"/>
  <c r="S22" i="31" l="1"/>
  <c r="R22" s="1"/>
  <c r="B21" s="1"/>
  <c r="C8" i="12" s="1"/>
  <c r="N51" i="33"/>
  <c r="N52" s="1"/>
  <c r="O52" s="1"/>
  <c r="H40" i="39"/>
  <c r="F40"/>
  <c r="J40"/>
  <c r="C14" i="66"/>
  <c r="B2" s="1"/>
  <c r="E63" i="40"/>
  <c r="E68" i="39"/>
  <c r="T10" i="1"/>
  <c r="T9"/>
  <c r="T6"/>
  <c r="T11"/>
  <c r="T8"/>
  <c r="T12"/>
  <c r="O16"/>
  <c r="P14"/>
  <c r="P16" s="1"/>
  <c r="C13" i="43"/>
  <c r="L16" i="1"/>
  <c r="N16"/>
  <c r="C29" i="43" s="1"/>
  <c r="D13" i="11"/>
  <c r="C13" s="1"/>
  <c r="D19" i="12"/>
  <c r="C19" s="1"/>
  <c r="C16"/>
  <c r="I27" i="6"/>
  <c r="S19"/>
  <c r="S27" s="1"/>
  <c r="H19"/>
  <c r="C22" i="4"/>
  <c r="K38" i="9"/>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I53"/>
  <c r="J53" s="1"/>
  <c r="I70" i="39"/>
  <c r="H72"/>
  <c r="I65" i="40"/>
  <c r="H67"/>
  <c r="C13" i="12"/>
  <c r="D22"/>
  <c r="C16" i="44"/>
  <c r="C14" i="15"/>
  <c r="B20" i="31" l="1"/>
  <c r="C10" i="12" s="1"/>
  <c r="O51" i="33"/>
  <c r="N54"/>
  <c r="O54" s="1"/>
  <c r="N55"/>
  <c r="O55" s="1"/>
  <c r="N53"/>
  <c r="O53" s="1"/>
  <c r="AA40" i="39"/>
  <c r="S40"/>
  <c r="AC40"/>
  <c r="W40"/>
  <c r="AB40"/>
  <c r="U40"/>
  <c r="C22" i="12"/>
  <c r="C20" s="1"/>
  <c r="C20" i="44"/>
  <c r="C17"/>
  <c r="C15" i="15"/>
  <c r="C18"/>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7" i="44"/>
  <c r="F35" i="15"/>
  <c r="M23" i="44"/>
  <c r="M21" i="15"/>
  <c r="O56" i="33" l="1"/>
  <c r="N56" s="1"/>
  <c r="C19" i="15"/>
  <c r="C20" s="1"/>
  <c r="C23" s="1"/>
  <c r="C21" i="44"/>
  <c r="C22" s="1"/>
  <c r="C25" s="1"/>
  <c r="J20" i="15"/>
  <c r="C36" i="44"/>
  <c r="C33" s="1"/>
  <c r="C34" i="15"/>
  <c r="F62"/>
  <c r="C61" s="1"/>
  <c r="J22" i="44"/>
  <c r="C18" i="12"/>
  <c r="R16" i="1"/>
  <c r="D31" i="6"/>
  <c r="I6" s="1"/>
  <c r="I7" s="1"/>
  <c r="C13" i="39" s="1"/>
  <c r="R27" i="6"/>
  <c r="C18" i="43"/>
  <c r="K70" i="39"/>
  <c r="J72"/>
  <c r="K65" i="40"/>
  <c r="J67"/>
  <c r="C65" i="15"/>
  <c r="C59"/>
  <c r="F13" i="39" l="1"/>
  <c r="H13"/>
  <c r="J13"/>
  <c r="C28" i="44"/>
  <c r="C31" s="1"/>
  <c r="J21" s="1"/>
  <c r="J19" s="1"/>
  <c r="I5" i="6"/>
  <c r="C26" i="15"/>
  <c r="C29" s="1"/>
  <c r="J59" s="1"/>
  <c r="J60" s="1"/>
  <c r="Q49" s="1"/>
  <c r="C23" i="12"/>
  <c r="C19" i="43"/>
  <c r="C22" s="1"/>
  <c r="C21" s="1"/>
  <c r="K67" i="40"/>
  <c r="L65"/>
  <c r="K72" i="39"/>
  <c r="L70"/>
  <c r="AB13" l="1"/>
  <c r="U13"/>
  <c r="AC13"/>
  <c r="W13"/>
  <c r="S13"/>
  <c r="AA13"/>
  <c r="J16" i="44"/>
  <c r="J15" s="1"/>
  <c r="J25" s="1"/>
  <c r="C15"/>
  <c r="C39" s="1"/>
  <c r="C38"/>
  <c r="J19" i="15"/>
  <c r="J17" s="1"/>
  <c r="C33"/>
  <c r="C31" s="1"/>
  <c r="J14"/>
  <c r="J22" s="1"/>
  <c r="C56"/>
  <c r="C63" s="1"/>
  <c r="Q50"/>
  <c r="C13"/>
  <c r="J35" s="1"/>
  <c r="C36"/>
  <c r="C25" i="43"/>
  <c r="C24" s="1"/>
  <c r="C28" s="1"/>
  <c r="C30" s="1"/>
  <c r="C43" i="44"/>
  <c r="L72" i="39"/>
  <c r="M70"/>
  <c r="M65" i="40"/>
  <c r="L67"/>
  <c r="J24" i="44" l="1"/>
  <c r="J18" s="1"/>
  <c r="J27" s="1"/>
  <c r="J28" s="1"/>
  <c r="J31" s="1"/>
  <c r="C32"/>
  <c r="C42" s="1"/>
  <c r="C44" s="1"/>
  <c r="C45" s="1"/>
  <c r="C55" i="15"/>
  <c r="C64" s="1"/>
  <c r="C60"/>
  <c r="C58" s="1"/>
  <c r="C37"/>
  <c r="C30" s="1"/>
  <c r="C39" s="1"/>
  <c r="C40" s="1"/>
  <c r="J13"/>
  <c r="J23" s="1"/>
  <c r="J16" s="1"/>
  <c r="J25" s="1"/>
  <c r="J26" s="1"/>
  <c r="J29" s="1"/>
  <c r="Q71"/>
  <c r="C32" i="43"/>
  <c r="B2" s="1"/>
  <c r="N70" i="39"/>
  <c r="N72" s="1"/>
  <c r="M72"/>
  <c r="N65" i="40"/>
  <c r="N67" s="1"/>
  <c r="M67"/>
  <c r="C57" i="15" l="1"/>
  <c r="C66" s="1"/>
  <c r="C67" s="1"/>
  <c r="C70" s="1"/>
  <c r="Q70"/>
  <c r="Q69" s="1"/>
  <c r="J39"/>
  <c r="J40" s="1"/>
  <c r="B2" i="44"/>
  <c r="B4" s="1"/>
  <c r="B3" i="43"/>
  <c r="B5"/>
  <c r="B4"/>
  <c r="Q57" i="15"/>
  <c r="C43"/>
  <c r="Q66"/>
  <c r="Q48"/>
  <c r="Q54" s="1"/>
  <c r="J42"/>
  <c r="J43" s="1"/>
  <c r="J9" i="40"/>
  <c r="F9"/>
  <c r="H9"/>
  <c r="J9" i="39"/>
  <c r="H9"/>
  <c r="F9"/>
  <c r="L51" i="15"/>
  <c r="C46" l="1"/>
  <c r="L57"/>
  <c r="L60" s="1"/>
  <c r="Q68"/>
  <c r="B5" i="44"/>
  <c r="B3"/>
  <c r="S9" i="39"/>
  <c r="AA9"/>
  <c r="R49" s="1"/>
  <c r="W9"/>
  <c r="AC9"/>
  <c r="V49" s="1"/>
  <c r="I49" s="1"/>
  <c r="AA9" i="40"/>
  <c r="R44" s="1"/>
  <c r="S9"/>
  <c r="U9" i="39"/>
  <c r="AB9"/>
  <c r="T49" s="1"/>
  <c r="G49" s="1"/>
  <c r="AB9" i="40"/>
  <c r="T44" s="1"/>
  <c r="G44" s="1"/>
  <c r="U9"/>
  <c r="AC9"/>
  <c r="V44" s="1"/>
  <c r="I44" s="1"/>
  <c r="W9"/>
  <c r="Q67" i="15" l="1"/>
  <c r="Q76" s="1"/>
  <c r="L46"/>
  <c r="B2" s="1"/>
  <c r="Q58"/>
  <c r="Q63" s="1"/>
  <c r="I48" i="40"/>
  <c r="J48" s="1"/>
  <c r="G48"/>
  <c r="H48" s="1"/>
  <c r="G49"/>
  <c r="H49" s="1"/>
  <c r="E44"/>
  <c r="R45"/>
  <c r="G53" i="39"/>
  <c r="H53" s="1"/>
  <c r="G54"/>
  <c r="H54" s="1"/>
  <c r="I53"/>
  <c r="J53" s="1"/>
  <c r="E49"/>
  <c r="R50"/>
  <c r="B3" i="15" l="1"/>
  <c r="C6" i="12"/>
  <c r="E54" i="39"/>
  <c r="F54" s="1"/>
  <c r="E53"/>
  <c r="F53" s="1"/>
  <c r="E48" i="40"/>
  <c r="F48" s="1"/>
  <c r="E49"/>
  <c r="F49" s="1"/>
  <c r="C50" i="39"/>
  <c r="C49"/>
  <c r="I54"/>
  <c r="J54" s="1"/>
  <c r="C45" i="40"/>
  <c r="C44"/>
  <c r="I49"/>
  <c r="J49" s="1"/>
  <c r="C24" i="12" l="1"/>
  <c r="C29"/>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8" i="12" l="1"/>
  <c r="C26" s="1"/>
  <c r="C31" s="1"/>
  <c r="C30" s="1"/>
  <c r="C35"/>
  <c r="C33" s="1"/>
  <c r="F68" i="39"/>
  <c r="B2" s="1"/>
  <c r="F63" i="40"/>
  <c r="B2" s="1"/>
  <c r="C19" i="9"/>
  <c r="C36" i="12" l="1"/>
  <c r="B2" s="1"/>
  <c r="L43" i="9"/>
  <c r="B3" i="40"/>
  <c r="B4"/>
  <c r="B5"/>
  <c r="B3" i="39"/>
  <c r="B4"/>
  <c r="B5"/>
  <c r="B5" i="12"/>
  <c r="C20" i="9"/>
  <c r="D19"/>
  <c r="B4" i="12"/>
  <c r="C21" i="9"/>
  <c r="L44" l="1"/>
  <c r="D22"/>
  <c r="G19"/>
  <c r="C32" s="1"/>
  <c r="C45"/>
  <c r="H14" i="66" s="1"/>
  <c r="B7" s="1"/>
  <c r="B3" i="12"/>
  <c r="D21" i="9"/>
  <c r="G21" l="1"/>
  <c r="G22"/>
  <c r="N43"/>
  <c r="D7" i="66"/>
  <c r="C7"/>
  <c r="C42" i="9"/>
  <c r="O38"/>
  <c r="K25" s="1"/>
  <c r="C34"/>
  <c r="C33"/>
  <c r="O43"/>
  <c r="C35"/>
  <c r="F42" s="1"/>
  <c r="D20"/>
  <c r="G20" l="1"/>
  <c r="C44"/>
  <c r="G14" i="66" s="1"/>
  <c r="B6" s="1"/>
  <c r="D14"/>
  <c r="F14" s="1"/>
  <c r="R5" i="54"/>
  <c r="B48" i="63" s="1"/>
  <c r="M38" i="9"/>
  <c r="K27" s="1"/>
  <c r="E42"/>
  <c r="N68"/>
  <c r="D63"/>
  <c r="C111" s="1"/>
  <c r="N38"/>
  <c r="K28" s="1"/>
  <c r="D42"/>
  <c r="K26"/>
  <c r="D45"/>
  <c r="E45"/>
  <c r="O40"/>
  <c r="F45"/>
  <c r="C96" l="1"/>
  <c r="C91" s="1"/>
  <c r="C103"/>
  <c r="D71"/>
  <c r="D66" s="1"/>
  <c r="N72" s="1"/>
  <c r="C90"/>
  <c r="D77"/>
  <c r="N75" s="1"/>
  <c r="D70"/>
  <c r="E14" i="66"/>
  <c r="B5"/>
  <c r="C5" s="1"/>
  <c r="D6"/>
  <c r="C6"/>
  <c r="K31" i="9"/>
  <c r="K32" s="1"/>
  <c r="R7" i="54"/>
  <c r="B52" i="63" s="1"/>
  <c r="Q5" i="54"/>
  <c r="B47" i="63" s="1"/>
  <c r="P5" i="54"/>
  <c r="B46" i="63" s="1"/>
  <c r="N69" i="9"/>
  <c r="O39"/>
  <c r="K29" s="1"/>
  <c r="D44"/>
  <c r="E44"/>
  <c r="F44"/>
  <c r="C82"/>
  <c r="C104"/>
  <c r="C81" l="1"/>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R8" i="54" s="1"/>
  <c r="B54" i="63" s="1"/>
  <c r="O80" i="9"/>
  <c r="I14" i="66"/>
  <c r="B8" s="1"/>
  <c r="C8" s="1"/>
  <c r="E46" i="9"/>
  <c r="D46"/>
  <c r="O81"/>
  <c r="K34"/>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<sst xmlns="http://schemas.openxmlformats.org/spreadsheetml/2006/main" count="7119" uniqueCount="3181">
  <si>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</si>
  <si>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</si>
  <si>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</si>
  <si>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</si>
  <si>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</si>
  <si>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</si>
  <si>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</si>
  <si>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</si>
  <si>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</si>
  <si>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</si>
  <si>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</si>
  <si>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</si>
  <si>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</si>
  <si>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</si>
  <si>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</si>
  <si>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</si>
  <si>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</si>
  <si>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</si>
  <si>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</si>
  <si>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</si>
  <si>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</si>
  <si>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</si>
  <si>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</si>
  <si>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</si>
  <si>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</si>
  <si>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</si>
  <si>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</si>
  <si>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</si>
  <si>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</si>
  <si>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</si>
  <si>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</si>
  <si>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</si>
  <si>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</si>
  <si>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</si>
  <si>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</si>
  <si>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</si>
  <si>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</si>
  <si>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</si>
  <si>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</si>
  <si>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</si>
  <si>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</si>
  <si>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</si>
  <si>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</si>
  <si>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</si>
  <si>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</si>
  <si>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</si>
  <si>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</si>
  <si>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</si>
  <si>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</si>
  <si>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</si>
  <si>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</si>
  <si>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</si>
  <si>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</si>
  <si>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</si>
  <si>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</si>
  <si>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</si>
  <si>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</si>
  <si>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</si>
  <si>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</si>
  <si>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</si>
  <si>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</si>
  <si>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</si>
  <si>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</si>
  <si>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</si>
  <si>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</si>
  <si>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</si>
  <si>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</si>
  <si>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</si>
  <si>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</si>
  <si>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</si>
  <si>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</si>
  <si>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</si>
  <si>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</si>
  <si>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</si>
  <si>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</si>
  <si>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</si>
  <si>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</si>
  <si>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</si>
  <si>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</si>
  <si>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</si>
  <si>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</si>
  <si>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</si>
  <si>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</si>
  <si>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</si>
  <si>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</si>
  <si>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</si>
  <si>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</si>
  <si>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</si>
  <si>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</si>
  <si>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</si>
  <si>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</si>
  <si>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</si>
  <si>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</si>
  <si>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</si>
  <si>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</si>
  <si>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</si>
  <si>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</si>
  <si>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</si>
  <si>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</si>
  <si>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</si>
  <si>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</si>
  <si>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</si>
  <si>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</si>
  <si>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</si>
  <si>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</si>
  <si>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</si>
  <si>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</si>
  <si>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</si>
  <si>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</si>
  <si>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</si>
  <si>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</si>
  <si>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</si>
  <si>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</si>
  <si>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</si>
  <si>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</si>
  <si>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</si>
  <si>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</si>
  <si>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</si>
  <si>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</si>
  <si>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</si>
  <si>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</si>
  <si>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</si>
  <si>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</si>
  <si>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</si>
  <si>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</si>
  <si>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</si>
  <si>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</si>
  <si>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</si>
  <si>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</si>
  <si>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</si>
  <si>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</si>
  <si>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</si>
  <si>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</si>
  <si>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</si>
  <si>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</si>
  <si>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</si>
  <si>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</si>
  <si>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</si>
  <si>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</si>
  <si>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</si>
  <si>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</si>
  <si>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</si>
  <si>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</si>
  <si>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</si>
  <si>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</si>
  <si>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</si>
  <si>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</si>
  <si>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</si>
  <si>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</si>
  <si>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</si>
  <si>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</si>
  <si>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</si>
  <si>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</si>
  <si>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</si>
  <si>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</si>
  <si>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</si>
  <si>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</si>
  <si>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</si>
  <si>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</si>
  <si>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</si>
  <si>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</si>
  <si>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</si>
  <si>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</si>
  <si>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</si>
  <si>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</si>
  <si>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</si>
  <si>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</si>
  <si>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</si>
  <si>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</si>
  <si>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</si>
  <si>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</si>
  <si>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</si>
  <si>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</si>
  <si>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</si>
  <si>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</si>
  <si>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</si>
  <si>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</si>
  <si>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</si>
  <si>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</si>
  <si>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</si>
  <si>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</si>
  <si>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</si>
  <si>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</si>
  <si>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</si>
  <si>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</si>
  <si>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</si>
  <si>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</si>
  <si>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</si>
  <si>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</si>
  <si>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</si>
  <si>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</si>
  <si>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</si>
  <si>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</si>
  <si>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</si>
  <si>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</si>
  <si>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</si>
  <si>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</si>
  <si>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</si>
  <si>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</si>
  <si>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</si>
  <si>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</si>
  <si>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</si>
  <si>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</si>
  <si>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</si>
  <si>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</si>
  <si>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</si>
  <si>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</si>
  <si>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</si>
  <si>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</si>
  <si>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</si>
  <si>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</si>
  <si>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</si>
  <si>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</si>
  <si>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</si>
  <si>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</si>
  <si>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</si>
  <si>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</si>
  <si>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</si>
  <si>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</si>
  <si>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</si>
  <si>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</si>
  <si>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</si>
  <si>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</si>
  <si>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</si>
  <si>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</si>
  <si>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</si>
  <si>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</si>
  <si>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</si>
  <si>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</si>
  <si>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</si>
  <si>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</si>
  <si>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</si>
  <si>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</si>
  <si>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</si>
  <si>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</si>
  <si>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</si>
  <si>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</si>
  <si>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</si>
  <si>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</si>
  <si>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</si>
  <si>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</si>
  <si>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</si>
  <si>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</si>
  <si>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</si>
  <si>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</si>
  <si>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</si>
  <si>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</si>
  <si>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</si>
  <si>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</si>
  <si>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</si>
  <si>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</si>
  <si>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</si>
  <si>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</si>
  <si>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</si>
  <si>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</si>
  <si>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</si>
  <si>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</si>
  <si>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</si>
  <si>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</si>
  <si>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</si>
  <si>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</si>
  <si>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</si>
  <si>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</si>
  <si>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</si>
  <si>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</si>
  <si>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</si>
  <si>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</si>
  <si>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</si>
  <si>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</si>
  <si>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</si>
  <si>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</si>
  <si>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</si>
  <si>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</si>
  <si>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</si>
  <si>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</si>
  <si>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</si>
  <si>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</si>
  <si>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</si>
  <si>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</si>
  <si>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</si>
  <si>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</si>
  <si>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</si>
  <si>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</si>
  <si>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</si>
  <si>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</si>
  <si>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</si>
  <si>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</si>
  <si>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</si>
  <si>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</si>
  <si>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</si>
  <si>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</si>
  <si>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</si>
  <si>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</si>
  <si>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</si>
  <si>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</si>
  <si>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</si>
  <si>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</si>
  <si>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</si>
  <si>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</si>
  <si>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</si>
  <si>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</si>
  <si>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</si>
  <si>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</si>
  <si>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</si>
  <si>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</si>
  <si>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</si>
  <si>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</si>
  <si>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</si>
  <si>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</si>
  <si>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</si>
  <si>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</si>
  <si>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</si>
  <si>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</si>
  <si>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</si>
  <si>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</si>
  <si>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</si>
  <si>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</si>
  <si>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</si>
  <si>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</si>
  <si>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</si>
  <si>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</si>
  <si>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</si>
  <si>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</si>
  <si>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</si>
  <si>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</si>
  <si>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</si>
  <si>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</si>
  <si>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</si>
  <si>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</si>
  <si>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</si>
  <si>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</si>
  <si>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</si>
  <si>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</si>
  <si>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</si>
  <si>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</si>
  <si>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</si>
  <si>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</si>
  <si>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</si>
  <si>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</si>
  <si>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</si>
  <si>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</si>
  <si>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</si>
  <si>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</si>
  <si>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</si>
  <si>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</si>
  <si>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</si>
  <si>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</si>
  <si>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</si>
  <si>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</si>
  <si>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</si>
  <si>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</si>
  <si>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</si>
  <si>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</si>
  <si>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</si>
  <si>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</si>
  <si>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</si>
  <si>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</si>
  <si>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</si>
  <si>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</si>
  <si>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</si>
  <si>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</si>
  <si>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</si>
  <si>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</si>
  <si>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</si>
  <si>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</si>
  <si>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</si>
  <si>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</si>
  <si>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</si>
  <si>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</si>
  <si>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</si>
  <si>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</si>
  <si>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</si>
  <si>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</si>
  <si>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</si>
  <si>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</si>
  <si>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</si>
  <si>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</si>
  <si>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</si>
  <si>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</si>
  <si>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</si>
  <si>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</si>
  <si>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</si>
  <si>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</si>
  <si>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</si>
  <si>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</si>
  <si>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</si>
  <si>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</si>
  <si>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</si>
  <si>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</si>
  <si>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</si>
  <si>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</si>
  <si>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</si>
  <si>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</si>
  <si>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</si>
  <si>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</si>
  <si>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</si>
  <si>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</si>
  <si>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</si>
  <si>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</si>
  <si>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</si>
  <si>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</si>
  <si>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</si>
  <si>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</si>
  <si>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</si>
  <si>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</si>
  <si>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</si>
  <si>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</si>
  <si>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</si>
  <si>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</si>
  <si>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</si>
  <si>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</si>
  <si>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</si>
  <si>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</si>
  <si>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</si>
  <si>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</si>
  <si>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</si>
  <si>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</si>
  <si>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</si>
  <si>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</si>
  <si>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</si>
  <si>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</si>
  <si>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</si>
  <si>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</si>
  <si>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</si>
  <si>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</si>
  <si>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</si>
  <si>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</si>
  <si>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</si>
  <si>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</si>
  <si>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</si>
  <si>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</si>
  <si>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</si>
  <si>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</si>
  <si>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</si>
  <si>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</si>
  <si>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</si>
  <si>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</si>
  <si>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</si>
  <si>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</si>
  <si>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</si>
  <si>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</si>
  <si>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</si>
  <si>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</si>
  <si>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</si>
  <si>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</si>
  <si>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</si>
  <si>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</si>
  <si>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</si>
  <si>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</si>
  <si>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</si>
  <si>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</si>
  <si>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</si>
  <si>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</si>
  <si>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</si>
  <si>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</si>
  <si>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</si>
  <si>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</si>
  <si>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</si>
  <si>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</si>
  <si>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</si>
  <si>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</si>
  <si>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</si>
  <si>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</si>
  <si>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</si>
  <si>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</si>
  <si>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</si>
  <si>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</si>
  <si>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</si>
  <si>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</si>
  <si>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</si>
  <si>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</si>
  <si>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</si>
  <si>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</si>
  <si>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</si>
  <si>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</si>
  <si>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</si>
  <si>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</si>
  <si>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</si>
  <si>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</si>
  <si>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</si>
  <si>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</si>
  <si>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</si>
  <si>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</si>
  <si>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</si>
  <si>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</si>
  <si>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</si>
  <si>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</si>
  <si>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</si>
  <si>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</si>
  <si>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</si>
  <si>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</si>
  <si>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</si>
  <si>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</si>
  <si>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</si>
  <si>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</si>
  <si>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</si>
  <si>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</si>
  <si>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</si>
  <si>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</si>
  <si>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</si>
  <si>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</si>
  <si>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</si>
  <si>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</si>
  <si>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</si>
  <si>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</si>
  <si>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</si>
  <si>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</si>
  <si>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</si>
  <si>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</si>
  <si>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</si>
  <si>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</si>
  <si>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</si>
  <si>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</si>
  <si>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</si>
  <si>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</si>
  <si>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</si>
  <si>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</si>
  <si>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</si>
  <si>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</si>
  <si>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</si>
  <si>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</si>
  <si>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</si>
  <si>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</si>
  <si>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</si>
  <si>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</si>
  <si>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</si>
  <si>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</si>
  <si>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</si>
  <si>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</si>
  <si>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</si>
  <si>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</si>
  <si>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</si>
  <si>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</si>
  <si>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</si>
  <si>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</si>
  <si>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</si>
  <si>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</si>
  <si>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</si>
  <si>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</si>
  <si>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</si>
  <si>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</si>
  <si>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</si>
  <si>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</si>
  <si>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</si>
  <si>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</si>
  <si>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</si>
  <si>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</si>
  <si>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</si>
  <si>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</si>
  <si>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</si>
  <si>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</si>
  <si>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</si>
  <si>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</si>
  <si>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</si>
  <si>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</si>
  <si>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</si>
  <si>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</si>
  <si>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</si>
  <si>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</si>
  <si>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</si>
  <si>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</si>
  <si>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</si>
  <si>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</si>
  <si>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</si>
  <si>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</si>
  <si>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</si>
  <si>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</si>
  <si>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</si>
  <si>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</si>
  <si>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</si>
  <si>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</si>
  <si>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</si>
  <si>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</si>
  <si>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</si>
  <si>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</si>
  <si>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</si>
  <si>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</si>
  <si>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</si>
  <si>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</si>
  <si>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</si>
  <si>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</si>
  <si>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</si>
  <si>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</si>
  <si>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</si>
  <si>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</si>
  <si>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</si>
  <si>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</si>
  <si>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</si>
  <si>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</si>
  <si>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</si>
  <si>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</si>
  <si>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</si>
  <si>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</si>
  <si>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</si>
  <si>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</si>
  <si>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</si>
  <si>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</si>
  <si>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</si>
  <si>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</si>
  <si>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</si>
  <si>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</si>
  <si>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</si>
  <si>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</si>
  <si>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</si>
  <si>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</si>
  <si>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</si>
  <si>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</si>
  <si>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</si>
  <si>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</si>
  <si>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</si>
  <si>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</si>
  <si>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</si>
  <si>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</si>
  <si>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</si>
  <si>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</si>
  <si>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</si>
  <si>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</si>
  <si>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</si>
  <si>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</si>
  <si>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</si>
  <si>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</si>
  <si>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</si>
  <si>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</si>
  <si>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</si>
  <si>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</si>
  <si>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</si>
  <si>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</si>
  <si>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</si>
  <si>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</si>
  <si>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</si>
  <si>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</si>
  <si>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</si>
  <si>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</si>
  <si>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</si>
  <si>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</si>
  <si>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</si>
  <si>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</si>
  <si>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</si>
  <si>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</si>
  <si>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</si>
  <si>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</si>
  <si>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</si>
  <si>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</si>
  <si>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</si>
  <si>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</si>
  <si>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</si>
  <si>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</si>
  <si>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</si>
  <si>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</si>
  <si>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</si>
  <si>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</si>
  <si>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</si>
  <si>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</si>
  <si>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</si>
  <si>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</si>
  <si>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</si>
  <si>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</si>
  <si>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</si>
  <si>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</si>
  <si>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</si>
  <si>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</si>
  <si>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</si>
  <si>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</si>
  <si>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</si>
  <si>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</si>
  <si>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</si>
  <si>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</si>
  <si>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</si>
  <si>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</si>
  <si>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</si>
  <si>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</si>
  <si>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</si>
  <si>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</si>
  <si>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</si>
  <si>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</si>
  <si>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</si>
  <si>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</si>
  <si>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</si>
  <si>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</si>
  <si>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</si>
  <si>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</si>
  <si>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</si>
  <si>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</si>
  <si>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</si>
  <si>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</si>
  <si>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</si>
  <si>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</si>
  <si>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</si>
  <si>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</si>
  <si>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</si>
  <si>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</si>
  <si>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</si>
  <si>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</si>
  <si>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</si>
  <si>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</si>
  <si>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</si>
  <si>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</si>
  <si>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</si>
  <si>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</si>
  <si>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</si>
  <si>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</si>
  <si>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</si>
  <si>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</si>
  <si>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</si>
  <si>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</si>
  <si>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</si>
  <si>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</si>
  <si>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</si>
  <si>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</si>
  <si>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</si>
  <si>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</si>
  <si>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</si>
  <si>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</si>
  <si>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</si>
  <si>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</si>
  <si>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</si>
  <si>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</si>
  <si>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</si>
  <si>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</si>
  <si>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</si>
  <si>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</si>
  <si>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</si>
  <si>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</si>
  <si>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</si>
  <si>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</si>
  <si>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</si>
  <si>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</si>
  <si>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</si>
  <si>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</si>
  <si>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</si>
  <si>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</si>
  <si>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</si>
  <si>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</si>
  <si>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</si>
  <si>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</si>
  <si>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</si>
  <si>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</si>
  <si>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</si>
  <si>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</si>
  <si>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</si>
  <si>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</si>
  <si>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</si>
  <si>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</si>
  <si>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</si>
  <si>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</si>
  <si>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</si>
  <si>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</si>
  <si>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</si>
  <si>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</si>
  <si>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</si>
  <si>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</si>
  <si>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</si>
  <si>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</si>
  <si>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</si>
  <si>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</si>
  <si>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</si>
  <si>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</si>
  <si>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</si>
  <si>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</si>
  <si>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</si>
  <si>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</si>
  <si>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</si>
  <si>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</si>
  <si>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</si>
  <si>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</si>
  <si>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</si>
  <si>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</si>
  <si>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</si>
  <si>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</si>
  <si>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</si>
  <si>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</si>
  <si>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</si>
  <si>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</si>
  <si>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</si>
  <si>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</si>
  <si>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</si>
  <si>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</si>
  <si>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</si>
  <si>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</si>
  <si>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</si>
  <si>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</si>
  <si>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</si>
  <si>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</si>
  <si>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</si>
  <si>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</si>
  <si>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</si>
  <si>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</si>
  <si>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</si>
  <si>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</si>
  <si>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</si>
  <si>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</si>
  <si>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</si>
  <si>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</si>
  <si>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</si>
  <si>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</si>
  <si>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</si>
  <si>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</si>
  <si>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</si>
  <si>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</si>
  <si>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</si>
  <si>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</si>
  <si>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</si>
  <si>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</si>
  <si>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</si>
  <si>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</si>
  <si>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</si>
  <si>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</si>
  <si>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</si>
  <si>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</si>
  <si>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</si>
  <si>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</si>
  <si>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</si>
  <si>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</si>
  <si>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</si>
  <si>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</si>
  <si>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</si>
  <si>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</si>
  <si>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</si>
  <si>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</si>
  <si>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</si>
  <si>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</si>
  <si>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</si>
  <si>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</si>
  <si>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</si>
  <si>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</si>
  <si>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</si>
  <si>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</si>
  <si>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</si>
  <si>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</si>
  <si>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</si>
  <si>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</si>
  <si>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</si>
  <si>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</si>
  <si>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</si>
  <si>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</si>
  <si>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</si>
  <si>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</si>
  <si>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</si>
  <si>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</si>
  <si>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</si>
  <si>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</si>
  <si>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</si>
  <si>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</si>
  <si>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</si>
  <si>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</si>
  <si>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</si>
  <si>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</si>
  <si>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</si>
  <si>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</si>
  <si>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</si>
  <si>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</si>
  <si>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</si>
  <si>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</si>
  <si>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</si>
  <si>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</si>
  <si>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</si>
  <si>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</si>
  <si>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</si>
  <si>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</si>
  <si>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</si>
  <si>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</si>
  <si>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</si>
  <si>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</si>
  <si>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</si>
  <si>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</si>
  <si>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</si>
  <si>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</si>
  <si>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</si>
  <si>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</si>
  <si>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</si>
  <si>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</si>
  <si>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</si>
  <si>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</si>
  <si>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</si>
  <si>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</si>
  <si>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</si>
  <si>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</si>
  <si>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</si>
  <si>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</si>
  <si>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</si>
  <si>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</si>
  <si>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</si>
  <si>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</si>
  <si>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</si>
  <si>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</si>
  <si>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</si>
  <si>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</si>
  <si>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</si>
  <si>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</si>
  <si>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</si>
  <si>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</si>
  <si>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</si>
  <si>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</si>
  <si>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</si>
  <si>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</si>
  <si>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</si>
  <si>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</si>
  <si>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</si>
  <si>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</si>
  <si>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</si>
  <si>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</si>
  <si>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</si>
  <si>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</si>
  <si>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</si>
  <si>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</si>
  <si>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</si>
  <si>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</si>
  <si>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</si>
  <si>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</si>
  <si>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</si>
  <si>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</si>
  <si>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</si>
  <si>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</si>
  <si>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</si>
  <si>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</si>
  <si>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</si>
  <si>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</si>
  <si>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</si>
  <si>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</si>
  <si>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</si>
  <si>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</si>
  <si>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</si>
  <si>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</si>
  <si>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</si>
  <si>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</si>
  <si>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</si>
  <si>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</si>
  <si>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</si>
  <si>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</si>
  <si>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</si>
  <si>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</si>
  <si>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</si>
  <si>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</si>
  <si>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</si>
  <si>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</si>
  <si>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</si>
  <si>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</si>
  <si>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</si>
  <si>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</si>
  <si>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</si>
  <si>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</si>
  <si>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</si>
  <si>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</si>
  <si>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</si>
  <si>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</si>
  <si>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</si>
  <si>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</si>
  <si>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</si>
  <si>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</si>
  <si>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</si>
  <si>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</si>
  <si>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</si>
  <si>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</si>
  <si>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</si>
  <si>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</si>
  <si>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</si>
  <si>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</si>
  <si>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</si>
  <si>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</si>
  <si>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</si>
  <si>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</si>
  <si>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</si>
  <si>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</si>
  <si>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</si>
  <si>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</si>
  <si>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</si>
  <si>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</si>
  <si>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</si>
  <si>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</si>
  <si>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</si>
  <si>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</si>
  <si>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</si>
  <si>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</si>
  <si>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</si>
  <si>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</si>
  <si>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</si>
  <si>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</si>
  <si>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</si>
  <si>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</si>
  <si>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</si>
  <si>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</si>
  <si>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</si>
  <si>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</si>
  <si>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</si>
  <si>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</si>
  <si>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</si>
  <si>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</si>
  <si>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</si>
  <si>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</si>
  <si>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</si>
  <si>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</si>
  <si>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</si>
  <si>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</si>
  <si>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</si>
  <si>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</si>
  <si>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</si>
  <si>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</si>
  <si>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</si>
  <si>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</si>
  <si>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</si>
  <si>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</si>
  <si>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</si>
  <si>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</si>
  <si>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</si>
  <si>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</si>
  <si>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</si>
  <si>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</si>
  <si>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</si>
  <si>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</si>
  <si>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</si>
  <si>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</si>
  <si>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</si>
  <si>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</si>
  <si>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</si>
  <si>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</si>
  <si>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</si>
  <si>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</si>
  <si>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</si>
  <si>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</si>
  <si>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</si>
  <si>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</si>
  <si>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</si>
  <si>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</si>
  <si>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</si>
  <si>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</si>
  <si>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</si>
  <si>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</si>
  <si>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</si>
  <si>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</si>
  <si>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</si>
  <si>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</si>
  <si>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</si>
  <si>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</si>
  <si>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</si>
  <si>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</si>
  <si>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</si>
  <si>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</si>
  <si>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</si>
  <si>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</si>
  <si>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</si>
  <si>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</si>
  <si>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</si>
  <si>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</si>
  <si>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</si>
  <si>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</si>
  <si>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</si>
  <si>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</si>
  <si>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</si>
  <si>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</si>
  <si>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</si>
  <si>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</si>
  <si>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</si>
  <si>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</si>
  <si>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</si>
  <si>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</si>
  <si>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</si>
  <si>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</si>
  <si>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</si>
  <si>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</si>
  <si>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</si>
  <si>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</si>
  <si>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</si>
  <si>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</si>
  <si>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</si>
  <si>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</si>
  <si>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</si>
  <si>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</si>
  <si>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</si>
  <si>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</si>
  <si>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</si>
  <si>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</si>
  <si>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</si>
  <si>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</si>
  <si>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</si>
  <si>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</si>
  <si>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</si>
  <si>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</si>
  <si>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</si>
  <si>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</si>
  <si>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</si>
  <si>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</si>
  <si>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</si>
  <si>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</si>
  <si>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</si>
  <si>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</si>
  <si>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</si>
  <si>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</si>
  <si>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</si>
  <si>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</si>
  <si>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</si>
  <si>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</si>
  <si>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</si>
  <si>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</si>
  <si>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</si>
  <si>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</si>
  <si>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</si>
  <si>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</si>
  <si>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</si>
  <si>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</si>
  <si>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</si>
  <si>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</si>
  <si>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</si>
  <si>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</si>
  <si>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</si>
  <si>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</si>
  <si>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</si>
  <si>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</si>
  <si>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</si>
  <si>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</si>
  <si>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</si>
  <si>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</si>
  <si>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</si>
  <si>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</si>
  <si>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</si>
  <si>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</si>
  <si>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</si>
  <si>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</si>
  <si>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</si>
  <si>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</si>
  <si>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</si>
  <si>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</si>
  <si>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</si>
  <si>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</si>
  <si>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</si>
  <si>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</si>
  <si>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</si>
  <si>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</si>
  <si>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</si>
  <si>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</si>
  <si>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</si>
  <si>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</si>
  <si>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</si>
  <si>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</si>
  <si>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</si>
  <si>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</si>
  <si>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</si>
  <si>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</si>
  <si>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</si>
  <si>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</si>
  <si>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</si>
  <si>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</si>
  <si>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</si>
  <si>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</si>
  <si>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</si>
  <si>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</si>
  <si>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</si>
  <si>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</si>
  <si>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</si>
  <si>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</si>
  <si>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</si>
  <si>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</si>
  <si>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</si>
  <si>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</si>
  <si>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</si>
  <si>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</si>
  <si>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</si>
  <si>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</si>
  <si>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</si>
  <si>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</si>
  <si>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</si>
  <si>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</si>
  <si>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</si>
  <si>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</si>
  <si>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</si>
  <si>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</si>
  <si>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</si>
  <si>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</si>
  <si>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</si>
  <si>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</si>
  <si>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</si>
  <si>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</si>
  <si>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</si>
  <si>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</si>
  <si>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</si>
  <si>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</si>
  <si>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</si>
  <si>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</si>
  <si>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</si>
  <si>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</si>
  <si>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</si>
  <si>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</si>
  <si>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</si>
  <si>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</si>
  <si>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</si>
  <si>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</si>
  <si>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</si>
  <si>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</si>
  <si>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</si>
  <si>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</si>
  <si>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</si>
  <si>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</si>
  <si>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</si>
  <si>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</si>
  <si>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</si>
  <si>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</si>
  <si>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</si>
  <si>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</si>
  <si>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</si>
  <si>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</si>
  <si>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</si>
  <si>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</si>
  <si>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</si>
  <si>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</si>
  <si>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</si>
  <si>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</si>
  <si>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</si>
  <si>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</si>
  <si>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</si>
  <si>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</si>
  <si>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</si>
  <si>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</si>
  <si>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</si>
  <si>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</si>
  <si>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</si>
  <si>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</si>
  <si>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</si>
  <si>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</si>
  <si>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</si>
  <si>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</si>
  <si>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</si>
  <si>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</si>
  <si>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</si>
  <si>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</si>
  <si>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</si>
  <si>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</si>
  <si>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</si>
  <si>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</si>
  <si>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</si>
  <si>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</si>
  <si>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</si>
  <si>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</si>
  <si>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</si>
  <si>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</si>
  <si>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</si>
  <si>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</si>
  <si>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</si>
  <si>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</si>
  <si>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</si>
  <si>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</si>
  <si>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</si>
  <si>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</si>
  <si>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</si>
  <si>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</si>
  <si>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</si>
  <si>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</si>
  <si>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</si>
  <si>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</si>
  <si>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</si>
  <si>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</si>
  <si>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</si>
  <si>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</si>
  <si>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</si>
  <si>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</si>
  <si>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</si>
  <si>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</si>
  <si>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</si>
  <si>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</si>
  <si>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</si>
  <si>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</si>
  <si>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</si>
  <si>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</si>
  <si>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</si>
  <si>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</si>
  <si>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</si>
  <si>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</si>
  <si>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</si>
  <si>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</si>
  <si>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</si>
  <si>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</si>
  <si>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</si>
  <si>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</si>
  <si>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</si>
  <si>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</si>
  <si>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</si>
  <si>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</si>
  <si>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</si>
  <si>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</si>
  <si>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</si>
  <si>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</si>
  <si>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</si>
  <si>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</si>
  <si>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</si>
  <si>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</si>
  <si>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</si>
  <si>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</si>
  <si>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</si>
  <si>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</si>
  <si>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</si>
  <si>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</si>
  <si>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</si>
  <si>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</si>
  <si>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</si>
  <si>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</si>
  <si>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</si>
  <si>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</si>
  <si>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</si>
  <si>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</si>
  <si>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</si>
  <si>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</si>
  <si>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</si>
  <si>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</si>
  <si>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</si>
  <si>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</si>
  <si>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</si>
  <si>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</si>
  <si>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</si>
  <si>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</si>
  <si>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</si>
  <si>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</si>
  <si>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</si>
  <si>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</si>
  <si>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</si>
  <si>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</si>
  <si>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</si>
  <si>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</si>
  <si>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</si>
  <si>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</si>
  <si>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</si>
  <si>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</si>
  <si>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</si>
  <si>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</si>
  <si>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</si>
  <si>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</si>
  <si>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</si>
  <si>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</si>
  <si>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</si>
  <si>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</si>
  <si>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</si>
  <si>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</si>
  <si>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</si>
  <si>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</si>
  <si>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</si>
  <si>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</si>
  <si>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</si>
  <si>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</si>
  <si>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</si>
  <si>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</si>
  <si>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</si>
  <si>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</si>
  <si>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</si>
  <si>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</si>
  <si>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</si>
  <si>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</si>
  <si>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</si>
  <si>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</si>
  <si>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</si>
  <si>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</si>
  <si>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</si>
  <si>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</si>
  <si>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</si>
  <si>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</si>
  <si>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</si>
  <si>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</si>
  <si>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</si>
  <si>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</si>
  <si>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</si>
  <si>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</si>
  <si>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</si>
  <si>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</si>
  <si>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</si>
  <si>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</si>
  <si>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</si>
  <si>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</si>
  <si>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</si>
  <si>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</si>
  <si>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</si>
  <si>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</si>
  <si>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</si>
  <si>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</si>
  <si>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</si>
  <si>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</si>
  <si>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</si>
  <si>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</si>
  <si>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</si>
  <si>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</si>
  <si>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</si>
  <si>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</si>
  <si>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</si>
  <si>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</si>
  <si>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</si>
  <si>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</si>
  <si>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</si>
  <si>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</si>
  <si>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</si>
  <si>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</si>
  <si>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</si>
  <si>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</si>
  <si>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</si>
  <si>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</si>
  <si>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</si>
  <si>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</si>
  <si>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</si>
  <si>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</si>
  <si>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</si>
  <si>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</si>
  <si>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</si>
  <si>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</si>
  <si>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</si>
  <si>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</si>
  <si>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</si>
  <si>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</si>
  <si>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</si>
  <si>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</si>
  <si>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</si>
  <si>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</si>
  <si>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</si>
  <si>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</si>
  <si>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</si>
  <si>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</si>
  <si>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</si>
  <si>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</si>
  <si>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</si>
  <si>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</si>
  <si>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</si>
  <si>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</si>
  <si>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</si>
  <si>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</si>
  <si>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</si>
  <si>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</si>
  <si>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</si>
  <si>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</si>
  <si>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</si>
  <si>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</si>
  <si>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</si>
  <si>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</si>
  <si>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</si>
  <si>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</si>
  <si>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</si>
  <si>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</si>
  <si>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</si>
  <si>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</si>
  <si>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</si>
  <si>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</si>
  <si>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</si>
  <si>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</si>
  <si>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</si>
  <si>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</si>
  <si>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</si>
  <si>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</si>
  <si>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</si>
  <si>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</si>
  <si>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</si>
  <si>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</si>
  <si>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</si>
  <si>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</si>
  <si>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</si>
  <si>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</si>
  <si>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</si>
  <si>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</si>
  <si>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</si>
  <si>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</si>
  <si>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</si>
  <si>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</si>
  <si>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</si>
  <si>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</si>
  <si>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</si>
  <si>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</si>
  <si>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</si>
  <si>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</si>
  <si>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</si>
  <si>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</si>
  <si>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</si>
  <si>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</si>
  <si>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</si>
  <si>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</si>
  <si>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</si>
  <si>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</si>
  <si>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</si>
  <si>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</si>
  <si>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</si>
  <si>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</si>
  <si>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</si>
  <si>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</si>
  <si>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</si>
  <si>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</si>
  <si>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</si>
  <si>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</si>
  <si>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</si>
  <si>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</si>
  <si>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</si>
  <si>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</si>
  <si>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</si>
  <si>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</si>
  <si>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</si>
  <si>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</si>
  <si>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</si>
  <si>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</si>
  <si>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</si>
  <si>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</si>
  <si>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</si>
  <si>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</si>
  <si>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</si>
  <si>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</si>
  <si>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</si>
  <si>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</si>
  <si>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</si>
  <si>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</si>
  <si>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</si>
  <si>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</si>
  <si>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</si>
  <si>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</si>
  <si>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</si>
  <si>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</si>
  <si>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</si>
  <si>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</si>
  <si>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</si>
  <si>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</si>
  <si>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</si>
  <si>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</si>
  <si>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</si>
  <si>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</si>
  <si>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</si>
  <si>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</si>
  <si>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</si>
  <si>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</si>
  <si>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</si>
  <si>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</si>
  <si>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</si>
  <si>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</si>
  <si>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</si>
  <si>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</si>
  <si>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</si>
  <si>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</si>
  <si>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</si>
  <si>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</si>
  <si>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</si>
  <si>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</si>
  <si>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</si>
  <si>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</si>
  <si>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</si>
  <si>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</si>
  <si>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</si>
  <si>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</si>
  <si>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</si>
  <si>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</si>
  <si>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</si>
  <si>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</si>
  <si>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</si>
  <si>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</si>
  <si>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</si>
  <si>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</si>
  <si>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</si>
  <si>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</si>
  <si>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</si>
  <si>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</si>
  <si>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</si>
  <si>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</si>
  <si>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</si>
  <si>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</si>
  <si>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</si>
  <si>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</si>
  <si>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</si>
  <si>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</si>
  <si>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</si>
  <si>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</si>
  <si>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</si>
  <si>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</si>
  <si>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</si>
  <si>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</si>
  <si>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</si>
  <si>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</si>
  <si>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</si>
  <si>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</si>
  <si>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</si>
  <si>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</si>
  <si>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</si>
  <si>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</si>
  <si>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</si>
  <si>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</si>
  <si>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</si>
  <si>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</si>
  <si>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</si>
  <si>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</si>
  <si>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</si>
  <si>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</si>
  <si>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</si>
  <si>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</si>
  <si>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</si>
  <si>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</si>
  <si>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</si>
  <si>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</si>
  <si>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</si>
  <si>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</si>
  <si>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</si>
  <si>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</si>
  <si>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</si>
  <si>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</si>
  <si>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</si>
  <si>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</si>
  <si>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</si>
  <si>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</si>
  <si>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</si>
  <si>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</si>
  <si>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</si>
  <si>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</si>
  <si>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</si>
  <si>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</si>
  <si>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</si>
  <si>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</si>
  <si>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</si>
  <si>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</si>
  <si>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</si>
  <si>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</si>
  <si>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</si>
  <si>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</si>
  <si>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</si>
  <si>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</si>
  <si>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</si>
  <si>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</si>
  <si>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</si>
  <si>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</si>
  <si>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</si>
  <si>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</si>
  <si>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</si>
  <si>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</si>
  <si>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</si>
  <si>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</si>
  <si>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</si>
  <si>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</si>
  <si>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</si>
  <si>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</si>
  <si>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</si>
  <si>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</si>
  <si>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</si>
  <si>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</si>
  <si>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</si>
  <si>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</si>
  <si>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</si>
  <si>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</si>
  <si>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</si>
  <si>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</si>
  <si>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</si>
  <si>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</si>
  <si>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</si>
  <si>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</si>
  <si>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</si>
  <si>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</si>
  <si>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</si>
  <si>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</si>
  <si>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</si>
  <si>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</si>
  <si>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</si>
  <si>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</si>
  <si>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</si>
  <si>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</si>
  <si>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</si>
  <si>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</si>
  <si>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</si>
  <si>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</si>
  <si>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</si>
  <si>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</si>
  <si>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</si>
  <si>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</si>
  <si>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</si>
  <si>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</si>
  <si>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</si>
  <si>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</si>
  <si>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</si>
  <si>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</si>
  <si>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</si>
  <si>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</si>
  <si>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</si>
  <si>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</si>
  <si>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</si>
  <si>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</si>
  <si>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</si>
  <si>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</si>
  <si>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</si>
  <si>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</si>
  <si>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</si>
  <si>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</si>
  <si>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</si>
  <si>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</si>
  <si>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</si>
  <si>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</si>
  <si>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</si>
  <si>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</si>
  <si>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</si>
  <si>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</si>
  <si>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</si>
  <si>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</si>
  <si>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</si>
  <si>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</si>
  <si>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</si>
  <si>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</si>
  <si>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</si>
  <si>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</si>
  <si>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</si>
  <si>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</si>
  <si>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</si>
  <si>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</si>
  <si>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</si>
  <si>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</si>
  <si>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</si>
  <si>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</si>
  <si>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</si>
  <si>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</si>
  <si>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</si>
  <si>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</si>
  <si>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</si>
  <si>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</si>
  <si>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</si>
  <si>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</si>
  <si>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</si>
  <si>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</si>
  <si>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</si>
  <si>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</si>
  <si>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</si>
  <si>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</si>
  <si>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</si>
  <si>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</si>
  <si>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</si>
  <si>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</si>
  <si>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</si>
  <si>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</si>
  <si>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</si>
  <si>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</si>
  <si>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</si>
  <si>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</si>
  <si>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</si>
  <si>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</si>
  <si>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</si>
  <si>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</si>
  <si>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</si>
  <si>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</si>
  <si>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</si>
  <si>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</si>
  <si>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</si>
  <si>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</si>
  <si>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</si>
  <si>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</si>
  <si>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</si>
  <si>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</si>
  <si>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</si>
  <si>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</si>
  <si>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</si>
  <si>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</si>
  <si>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</si>
  <si>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</si>
  <si>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</si>
  <si>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</si>
  <si>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</si>
  <si>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</si>
  <si>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</si>
  <si>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</si>
  <si>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</si>
  <si>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</si>
  <si>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</si>
  <si>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</si>
  <si>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</si>
  <si>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</si>
  <si>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</si>
  <si>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</si>
  <si>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</si>
  <si>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</si>
  <si>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</si>
  <si>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</si>
  <si>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</si>
  <si>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</si>
  <si>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</si>
  <si>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</si>
  <si>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</si>
  <si>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</si>
  <si>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</si>
  <si>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</si>
  <si>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</si>
  <si>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</si>
  <si>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</si>
  <si>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</si>
  <si>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</si>
  <si>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</si>
  <si>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</si>
  <si>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</si>
  <si>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</si>
  <si>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</si>
  <si>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</si>
  <si>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</si>
  <si>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</si>
  <si>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</si>
  <si>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</si>
  <si>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</si>
  <si>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</si>
  <si>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</si>
  <si>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</si>
  <si>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</si>
  <si>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</si>
  <si>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</si>
  <si>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</si>
  <si>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</si>
  <si>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</si>
  <si>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</si>
  <si>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</si>
  <si>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</si>
  <si>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</si>
  <si>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</si>
  <si>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</si>
  <si>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</si>
  <si>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</si>
  <si>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</si>
  <si>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</si>
  <si>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</si>
  <si>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</si>
  <si>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</si>
  <si>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</si>
  <si>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</si>
  <si>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</si>
  <si>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</si>
  <si>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</si>
  <si>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</si>
  <si>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</si>
  <si>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</si>
  <si>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</si>
  <si>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</si>
  <si>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</si>
  <si>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</si>
  <si>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</si>
  <si>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</si>
  <si>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</si>
  <si>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</si>
  <si>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</si>
  <si>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</si>
  <si>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</si>
  <si>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</si>
  <si>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</si>
  <si>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</si>
  <si>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</si>
  <si>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</si>
  <si>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</si>
  <si>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</si>
  <si>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</si>
  <si>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</si>
  <si>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</si>
  <si>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</si>
  <si>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</si>
  <si>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</si>
  <si>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</si>
  <si>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</si>
  <si>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</si>
  <si>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</si>
  <si>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</si>
  <si>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</si>
  <si>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</si>
  <si>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</si>
  <si>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</si>
  <si>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</si>
  <si>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</si>
  <si>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</si>
  <si>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</si>
  <si>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</si>
  <si>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</si>
  <si>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</si>
  <si>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</si>
  <si>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</si>
  <si>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</si>
  <si>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</si>
  <si>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</si>
  <si>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</si>
  <si>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</si>
  <si>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</si>
  <si>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</si>
  <si>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</si>
  <si>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</si>
  <si>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</si>
  <si>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</si>
  <si>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</si>
  <si>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</si>
  <si>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</si>
  <si>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</si>
  <si>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</si>
  <si>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</si>
  <si>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</si>
  <si>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</si>
  <si>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</si>
  <si>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</si>
  <si>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</si>
  <si>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</si>
  <si>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</si>
  <si>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</si>
  <si>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</si>
  <si>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</si>
  <si>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</si>
  <si>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</si>
  <si>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</si>
  <si>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</si>
  <si>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</si>
  <si>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</si>
  <si>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</si>
  <si>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</si>
  <si>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</si>
  <si>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</si>
  <si>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</si>
  <si>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</si>
  <si>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</si>
  <si>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</si>
  <si>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</si>
  <si>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</si>
  <si>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</si>
  <si>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</si>
  <si>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</si>
  <si>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</si>
  <si>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</si>
  <si>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</si>
  <si>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</si>
  <si>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</si>
  <si>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</si>
  <si>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</si>
  <si>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</si>
  <si>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</si>
  <si>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</si>
  <si>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</si>
  <si>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</si>
  <si>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</si>
  <si>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</si>
  <si>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</si>
  <si>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</si>
  <si>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</si>
  <si>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</si>
  <si>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</si>
  <si>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</si>
  <si>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</si>
  <si>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</si>
  <si>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</si>
  <si>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</si>
  <si>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</si>
  <si>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</si>
  <si>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</si>
  <si>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</si>
  <si>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</si>
  <si>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</si>
  <si>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</si>
  <si>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</si>
  <si>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</si>
  <si>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</si>
  <si>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</si>
  <si>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</si>
  <si>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</si>
  <si>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</si>
  <si>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</si>
  <si>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</si>
  <si>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</si>
  <si>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</si>
  <si>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</si>
  <si>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</si>
  <si>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</si>
  <si>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</si>
  <si>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</si>
  <si>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</si>
  <si>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</si>
  <si>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</si>
  <si>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</si>
  <si>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</si>
  <si>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</si>
  <si>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</si>
  <si>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</si>
  <si>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</si>
  <si>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</si>
  <si>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</si>
  <si>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</si>
  <si>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</si>
  <si>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</si>
  <si>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</si>
  <si>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</si>
  <si>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</si>
  <si>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</si>
  <si>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</si>
  <si>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</si>
  <si>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</si>
  <si>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</si>
  <si>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</si>
  <si>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</si>
  <si>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</si>
  <si>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</si>
  <si>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</si>
  <si>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</si>
  <si>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</si>
  <si>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</si>
  <si>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</si>
  <si>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</si>
  <si>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</si>
  <si>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</si>
  <si>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</si>
  <si>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</si>
  <si>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</si>
  <si>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</si>
  <si>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</si>
  <si>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</si>
  <si>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</si>
  <si>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</si>
  <si>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</si>
  <si>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</si>
  <si>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</si>
  <si>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</si>
  <si>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</si>
  <si>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</si>
  <si>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</si>
  <si>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</si>
  <si>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</si>
  <si>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</si>
  <si>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</si>
  <si>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</si>
  <si>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</si>
  <si>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</si>
  <si>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</si>
  <si>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</si>
  <si>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</si>
  <si>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</si>
  <si>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</si>
  <si>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</si>
  <si>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</si>
  <si>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</si>
  <si>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</si>
  <si>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</si>
  <si>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</si>
  <si>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</si>
  <si>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</si>
  <si>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</si>
  <si>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</si>
  <si>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</si>
  <si>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</si>
  <si>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</si>
  <si>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</si>
  <si>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</si>
  <si>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</si>
  <si>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</si>
  <si>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</si>
  <si>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</si>
  <si>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</si>
  <si>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</si>
  <si>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</si>
  <si>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</si>
  <si>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</si>
  <si>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</si>
  <si>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</si>
  <si>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</si>
  <si>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</si>
  <si>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</si>
  <si>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</si>
  <si>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</si>
  <si>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</si>
  <si>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</si>
  <si>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</si>
  <si>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</si>
  <si>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</si>
  <si>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</si>
  <si>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</si>
  <si>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</si>
  <si>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</si>
  <si>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</si>
  <si>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</si>
  <si>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</si>
  <si>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</si>
  <si>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</si>
  <si>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</si>
  <si>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</si>
  <si>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</si>
  <si>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</si>
  <si>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</si>
  <si>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</si>
  <si>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</si>
  <si>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</si>
  <si>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</si>
  <si>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</si>
  <si>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</si>
  <si>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</si>
  <si>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</si>
  <si>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</si>
  <si>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</si>
  <si>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</si>
  <si>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</si>
  <si>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</si>
  <si>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</si>
  <si>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</si>
  <si>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</si>
  <si>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</si>
  <si>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</si>
  <si>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</si>
  <si>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</si>
  <si>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</si>
  <si>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</si>
  <si>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</si>
  <si>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</si>
  <si>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</si>
  <si>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</si>
  <si>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</si>
  <si>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</si>
  <si>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</si>
  <si>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</si>
  <si>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</si>
  <si>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</si>
  <si>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</si>
  <si>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</si>
  <si>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</si>
  <si>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</si>
  <si>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</si>
  <si>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</si>
  <si>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</si>
  <si>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</si>
  <si>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</si>
  <si>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</si>
  <si>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</si>
  <si>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</si>
  <si>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</si>
  <si>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</si>
  <si>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</si>
  <si>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</si>
  <si>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</si>
  <si>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</si>
  <si>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</si>
  <si>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</si>
  <si>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</si>
  <si>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</si>
  <si>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</si>
  <si>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</si>
  <si>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</si>
  <si>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</si>
  <si>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</si>
  <si>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</si>
  <si>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</si>
  <si>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</si>
  <si>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</si>
  <si>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</si>
  <si>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</si>
  <si>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</si>
  <si>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</si>
  <si>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</si>
  <si>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</si>
  <si>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</si>
  <si>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</si>
  <si>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</si>
  <si>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</si>
  <si>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</si>
  <si>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</si>
  <si>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</si>
  <si>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</si>
  <si>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</si>
  <si>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</si>
  <si>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</si>
  <si>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</si>
  <si>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</si>
  <si>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</si>
  <si>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</si>
  <si>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</si>
  <si>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</si>
  <si>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</si>
  <si>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</si>
  <si>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</si>
  <si>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</si>
  <si>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</si>
  <si>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</si>
  <si>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</si>
  <si>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</si>
  <si>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</si>
  <si>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</si>
  <si>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</si>
  <si>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</si>
  <si>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</si>
  <si>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</si>
  <si>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</si>
  <si>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</si>
  <si>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</si>
  <si>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</si>
  <si>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</si>
  <si>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</si>
  <si>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</si>
  <si>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</si>
  <si>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</si>
  <si>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</si>
  <si>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</si>
  <si>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</si>
  <si>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</si>
  <si>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</si>
  <si>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</si>
  <si>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</si>
  <si>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</si>
  <si>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</si>
  <si>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</si>
  <si>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</si>
  <si>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</si>
  <si>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</si>
  <si>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</si>
  <si>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</si>
  <si>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</si>
  <si>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</si>
  <si>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</si>
  <si>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</si>
  <si>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</si>
  <si>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</si>
  <si>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</si>
  <si>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</si>
  <si>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</si>
  <si>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</si>
  <si>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</si>
  <si>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</si>
  <si>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</si>
  <si>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</si>
  <si>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</si>
  <si>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</si>
  <si>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</si>
  <si>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</si>
  <si>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</si>
  <si>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</si>
  <si>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</si>
  <si>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</si>
  <si>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</si>
  <si>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</si>
  <si>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</si>
  <si>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</si>
  <si>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</si>
  <si>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</si>
  <si>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</si>
  <si>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</si>
  <si>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</si>
  <si>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</si>
  <si>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</si>
  <si>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</si>
  <si>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</si>
  <si>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</si>
  <si>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</si>
  <si>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</si>
  <si>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</si>
  <si>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</si>
  <si>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</si>
  <si>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</si>
  <si>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</si>
  <si>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</si>
  <si>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</si>
  <si>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</si>
  <si>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</si>
  <si>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</si>
  <si>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</si>
  <si>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</si>
  <si>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</si>
  <si>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</si>
  <si>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</si>
  <si>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</si>
  <si>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</si>
  <si>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</si>
  <si>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</si>
  <si>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</si>
  <si>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</si>
  <si>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</si>
  <si>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</si>
  <si>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</si>
  <si>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</si>
  <si>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</si>
  <si>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</si>
  <si>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</si>
  <si>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</si>
  <si>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</si>
  <si>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</si>
  <si>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</si>
  <si>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</si>
  <si>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</si>
  <si>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</si>
  <si>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</si>
  <si>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</si>
  <si>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</si>
  <si>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</si>
  <si>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</si>
  <si>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</si>
  <si>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</si>
  <si>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</si>
  <si>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</si>
  <si>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</si>
  <si>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</si>
  <si>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</si>
  <si>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</si>
  <si>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</si>
  <si>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</si>
  <si>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</si>
  <si>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</si>
  <si>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</si>
  <si>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</si>
  <si>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</si>
  <si>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</si>
  <si>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</si>
  <si>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</si>
  <si>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</si>
  <si>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</si>
  <si>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</si>
  <si>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</si>
  <si>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</si>
  <si>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</si>
  <si>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</si>
  <si>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</si>
  <si>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</si>
  <si>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</si>
  <si>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</si>
  <si>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</si>
  <si>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</si>
  <si>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</si>
  <si>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</si>
  <si>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</si>
  <si>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</si>
  <si>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</si>
  <si>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</si>
  <si>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</si>
  <si>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</si>
  <si>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</si>
  <si>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</si>
  <si>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</si>
  <si>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</si>
  <si>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</si>
  <si>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</si>
  <si>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</si>
  <si>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</si>
  <si>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</si>
  <si>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</si>
  <si>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</si>
  <si>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</si>
  <si>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</si>
  <si>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</si>
  <si>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</si>
  <si>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</si>
  <si>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</si>
  <si>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</si>
  <si>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</si>
  <si>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</si>
  <si>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</si>
  <si>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</si>
  <si>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</si>
  <si>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</si>
  <si>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</si>
  <si>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</si>
  <si>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</si>
  <si>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</si>
  <si>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</si>
  <si>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</si>
  <si>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</si>
  <si>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</si>
  <si>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</si>
  <si>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</si>
  <si>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</si>
  <si>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</si>
  <si>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</si>
  <si>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</si>
  <si>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</si>
  <si>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</si>
  <si>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</si>
  <si>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</si>
  <si>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</si>
  <si>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</si>
  <si>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</si>
  <si>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</si>
  <si>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</si>
  <si>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</si>
  <si>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</si>
  <si>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</si>
  <si>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</si>
  <si>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</si>
  <si>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</si>
  <si>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</si>
  <si>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</si>
  <si>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</si>
  <si>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</si>
  <si>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</si>
  <si>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</si>
  <si>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</si>
  <si>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</si>
  <si>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</si>
  <si>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</si>
  <si>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</si>
  <si>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</si>
  <si>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</si>
  <si>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</si>
  <si>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</si>
  <si>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</si>
  <si>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</si>
  <si>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</si>
  <si>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</si>
  <si>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</si>
  <si>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</si>
  <si>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</si>
  <si>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</si>
  <si>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</si>
  <si>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</si>
  <si>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</si>
  <si>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</si>
  <si>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</si>
  <si>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</si>
  <si>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</si>
  <si>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</si>
  <si>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</si>
  <si>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</si>
  <si>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</si>
  <si>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</si>
  <si>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</si>
  <si>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</si>
  <si>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</si>
  <si>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</si>
  <si>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</si>
  <si>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</si>
  <si>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</si>
  <si>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</si>
  <si>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</si>
  <si>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</si>
  <si>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</si>
  <si>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</si>
  <si>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</si>
  <si>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</si>
  <si>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</si>
  <si>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</si>
  <si>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</si>
  <si>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</si>
  <si>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</si>
  <si>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</si>
  <si>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</si>
  <si>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</si>
  <si>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</si>
  <si>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</si>
  <si>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</si>
  <si>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</si>
  <si>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</si>
  <si>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</si>
  <si>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</si>
  <si>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</si>
  <si>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</si>
  <si>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</si>
  <si>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</si>
  <si>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</si>
  <si>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</si>
  <si>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</si>
  <si>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</si>
  <si>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</si>
  <si>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</si>
  <si>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</si>
  <si>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</si>
  <si>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</si>
  <si>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</si>
  <si>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</si>
  <si>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</si>
  <si>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</si>
  <si>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</si>
  <si>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</si>
  <si>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</si>
  <si>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</si>
  <si>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</si>
  <si>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</si>
  <si>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</si>
  <si>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</si>
  <si>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</si>
  <si>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</si>
  <si>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</si>
  <si>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</si>
  <si>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</si>
  <si>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</si>
  <si>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</si>
  <si>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</si>
  <si>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</si>
  <si>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</si>
  <si>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</si>
  <si>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</si>
  <si>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</si>
  <si>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</si>
  <si>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</si>
  <si>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</si>
  <si>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</si>
  <si>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</si>
  <si>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</si>
  <si>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</si>
  <si>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</si>
  <si>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</si>
  <si>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</si>
  <si>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</si>
  <si>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</si>
  <si>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</si>
  <si>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</si>
  <si>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</si>
  <si>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</si>
  <si>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</si>
  <si>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</si>
  <si>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</si>
  <si>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</si>
  <si>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</si>
  <si>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</si>
  <si>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</si>
  <si>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</si>
  <si>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</si>
  <si>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</si>
  <si>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</si>
  <si>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</si>
  <si>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</si>
  <si>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</si>
  <si>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</si>
  <si>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</si>
  <si>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</si>
  <si>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</si>
  <si>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</si>
  <si>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</si>
  <si>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</si>
  <si>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</si>
  <si>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</si>
  <si>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</si>
  <si>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</si>
  <si>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</si>
  <si>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</si>
  <si>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</si>
  <si>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</si>
  <si>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</si>
  <si>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</si>
  <si>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</si>
  <si>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</si>
  <si>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</si>
  <si>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</si>
  <si>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</si>
  <si>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</si>
  <si>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</si>
  <si>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</si>
  <si>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</si>
  <si>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</si>
  <si>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</si>
  <si>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</si>
  <si>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</si>
  <si>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</si>
  <si>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</si>
  <si>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</si>
  <si>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</si>
  <si>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</si>
  <si>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</si>
  <si>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</si>
  <si>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</si>
  <si>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</si>
  <si>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</si>
  <si>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</si>
  <si>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</si>
  <si>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</si>
  <si>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</si>
  <si>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</si>
  <si>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</si>
  <si>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</si>
  <si>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</si>
  <si>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</si>
  <si>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</si>
  <si>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</si>
  <si>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</si>
  <si>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</si>
  <si>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</si>
  <si>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</si>
  <si>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</si>
  <si>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</si>
  <si>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</si>
  <si>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</si>
  <si>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</si>
  <si>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</si>
  <si>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</si>
  <si>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</si>
  <si>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</si>
  <si>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</si>
  <si>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</si>
  <si>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</si>
  <si>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</si>
  <si>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</si>
  <si>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</si>
  <si>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</si>
  <si>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</si>
  <si>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</si>
  <si>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</si>
  <si>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</si>
  <si>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</si>
  <si>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</si>
  <si>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</si>
  <si>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</si>
  <si>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</si>
  <si>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</si>
  <si>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</si>
  <si>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</si>
  <si>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</si>
  <si>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</si>
  <si>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</si>
  <si>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</si>
  <si>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</si>
  <si>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</si>
  <si>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</si>
  <si>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</si>
  <si>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</si>
  <si>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</si>
  <si>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</si>
  <si>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</si>
  <si>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</si>
  <si>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</si>
  <si>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</si>
  <si>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</si>
  <si>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</si>
  <si>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</si>
  <si>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</si>
  <si>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</si>
  <si>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</si>
  <si>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</si>
  <si>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</si>
  <si>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</si>
  <si>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</si>
  <si>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</si>
  <si>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</si>
  <si>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</si>
  <si>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</si>
  <si>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</si>
  <si>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</si>
  <si>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</si>
  <si>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</si>
  <si>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</si>
  <si>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</si>
  <si>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</si>
  <si>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</si>
  <si>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</si>
  <si>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</si>
  <si>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</si>
  <si>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</si>
  <si>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</si>
  <si>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</si>
  <si>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</si>
  <si>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</si>
  <si>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</si>
  <si>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</si>
  <si>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</si>
  <si>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</si>
  <si>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</si>
  <si>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</si>
  <si>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</si>
  <si>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</si>
  <si>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</si>
  <si>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</si>
  <si>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</si>
  <si>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</si>
  <si>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</si>
  <si>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</si>
  <si>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</si>
  <si>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</si>
  <si>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</si>
  <si>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</si>
  <si>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</si>
  <si>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</si>
  <si>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</si>
  <si>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</si>
  <si>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</si>
  <si>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</si>
  <si>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</si>
  <si>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</si>
  <si>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</si>
  <si>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</si>
  <si>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</si>
  <si>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</si>
  <si>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</si>
  <si>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</si>
  <si>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</si>
  <si>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</si>
  <si>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</si>
  <si>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</si>
  <si>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</si>
  <si>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</si>
  <si>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</si>
  <si>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</si>
  <si>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</si>
  <si>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</si>
  <si>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</si>
  <si>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</si>
  <si>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</si>
  <si>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</si>
  <si>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</si>
  <si>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</si>
  <si>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</si>
  <si>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</si>
  <si>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</si>
  <si>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</si>
  <si>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</si>
  <si>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</si>
  <si>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</si>
  <si>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</si>
  <si>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</si>
  <si>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</si>
  <si>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</si>
  <si>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</si>
  <si>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</si>
  <si>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</si>
  <si>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</si>
  <si>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</si>
  <si>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</si>
  <si>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</si>
  <si>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</si>
  <si>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</si>
  <si>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</si>
  <si>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</si>
  <si>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</si>
  <si>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</si>
  <si>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</si>
  <si>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</si>
  <si>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</si>
  <si>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</si>
  <si>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</si>
  <si>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</si>
  <si>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</si>
  <si>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</si>
  <si>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</si>
  <si>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</si>
  <si>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</si>
  <si>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</si>
  <si>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</si>
  <si>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</si>
  <si>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</si>
  <si>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</si>
  <si>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</si>
  <si>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</si>
  <si>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</si>
  <si>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</si>
  <si>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</si>
  <si>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</si>
  <si>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</si>
  <si>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</si>
  <si>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</si>
  <si>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</si>
  <si>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</si>
  <si>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</si>
  <si>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</si>
  <si>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</si>
  <si>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</si>
  <si>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</si>
  <si>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</si>
  <si>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</si>
  <si>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</si>
  <si>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</si>
  <si>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</si>
  <si>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</si>
  <si>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</si>
  <si>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</si>
  <si>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</si>
  <si>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</si>
  <si>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</si>
  <si>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</si>
  <si>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</si>
  <si>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</si>
  <si>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</si>
  <si>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</si>
  <si>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</si>
  <si>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</si>
  <si>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</si>
  <si>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</si>
  <si>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</si>
  <si>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</si>
  <si>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</si>
  <si>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</si>
  <si>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</si>
  <si>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</si>
  <si>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</si>
  <si>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</si>
  <si>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</si>
  <si>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</si>
  <si>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</si>
  <si>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</si>
  <si>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</si>
  <si>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</si>
  <si>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</si>
  <si>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</si>
  <si>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</si>
  <si>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</si>
  <si>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</si>
  <si>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</si>
  <si>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</si>
  <si>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</si>
  <si>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</si>
  <si>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</si>
  <si>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</si>
  <si>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</si>
  <si>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</si>
  <si>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</si>
  <si>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</si>
  <si>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</si>
  <si>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</si>
  <si>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</si>
  <si>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</si>
  <si>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</si>
  <si>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</si>
  <si>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</si>
  <si>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</si>
  <si>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</si>
  <si>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</si>
  <si>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</si>
  <si>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</si>
  <si>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</si>
  <si>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</si>
  <si>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</si>
  <si>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</si>
  <si>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</si>
  <si>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</si>
  <si>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</si>
  <si>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</si>
  <si>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</si>
  <si>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</si>
  <si>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</si>
  <si>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</si>
  <si>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</si>
  <si>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</si>
  <si>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</si>
  <si>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</si>
  <si>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</si>
  <si>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</si>
  <si>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</si>
  <si>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</si>
  <si>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</si>
  <si>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</si>
  <si>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</si>
  <si>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</si>
  <si>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</si>
  <si>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</si>
  <si>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</si>
  <si>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</si>
  <si>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</si>
  <si>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</si>
  <si>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</si>
  <si>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</si>
  <si>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</si>
  <si>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</si>
  <si>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</si>
  <si>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</si>
  <si>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</si>
  <si>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</si>
  <si>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</si>
  <si>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</si>
  <si>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</si>
  <si>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</si>
  <si>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</si>
  <si>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</si>
  <si>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</si>
  <si>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</si>
  <si>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</si>
  <si>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</si>
  <si>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</si>
  <si>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</si>
  <si>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</si>
  <si>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</si>
  <si>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</si>
  <si>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</si>
  <si>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</si>
  <si>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</si>
  <si>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</si>
  <si>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</si>
  <si>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</si>
  <si>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</si>
  <si>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</si>
  <si>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</si>
  <si>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</si>
  <si>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</si>
  <si>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</si>
  <si>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</si>
  <si>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</si>
  <si>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</si>
  <si>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</si>
  <si>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</si>
  <si>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</si>
  <si>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</si>
  <si>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</si>
  <si>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</si>
  <si>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</si>
  <si>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</si>
  <si>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</si>
  <si>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</si>
  <si>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</si>
  <si>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</si>
  <si>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</si>
  <si>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</si>
  <si>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</si>
  <si>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</si>
  <si>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</si>
  <si>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</si>
  <si>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</si>
  <si>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</si>
  <si>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</si>
  <si>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</si>
  <si>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</si>
  <si>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</si>
  <si>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</si>
  <si>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</si>
  <si>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</si>
  <si>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</si>
  <si>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</si>
  <si>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</si>
  <si>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</si>
  <si>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</si>
  <si>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</si>
  <si>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</si>
  <si>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</si>
  <si>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</si>
  <si>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</si>
  <si>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</si>
  <si>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</si>
  <si>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</si>
  <si>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</si>
  <si>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</si>
  <si>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</si>
  <si>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</si>
  <si>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</si>
  <si>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</si>
  <si>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</si>
  <si>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</si>
  <si>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</si>
  <si>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</si>
  <si>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</si>
  <si>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</si>
  <si>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</si>
  <si>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</si>
  <si>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</si>
  <si>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</si>
  <si>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</si>
  <si>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</si>
  <si>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</si>
  <si>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</si>
  <si>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</si>
  <si>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</si>
  <si>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</si>
  <si>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</si>
  <si>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</si>
  <si>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</si>
  <si>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</si>
  <si>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</si>
  <si>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</si>
  <si>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</si>
  <si>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</si>
  <si>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</si>
  <si>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</si>
  <si>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</si>
  <si>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</si>
  <si>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</si>
  <si>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</si>
  <si>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</si>
  <si>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</si>
  <si>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</si>
  <si>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</si>
  <si>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</si>
  <si>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</si>
  <si>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</si>
  <si>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</si>
  <si>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</si>
  <si>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</si>
  <si>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</si>
  <si>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</si>
  <si>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</si>
  <si>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</si>
  <si>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</si>
  <si>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</si>
  <si>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</si>
  <si>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</si>
  <si>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</si>
  <si>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</si>
  <si>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</si>
  <si>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</si>
  <si>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</si>
  <si>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</si>
  <si>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</si>
  <si>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</si>
  <si>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</si>
  <si>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</si>
  <si>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</si>
  <si>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</si>
  <si>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</si>
  <si>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</si>
  <si>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</si>
  <si>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</si>
  <si>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</si>
  <si>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r>
      <t>海甸岛沿江西路南侧</t>
    </r>
    <r>
      <rPr>
        <sz val="12"/>
        <color rgb="FF444444"/>
        <rFont val="Verdana"/>
        <family val="2"/>
      </rPr>
      <t>(海南省海口市美兰区 )</t>
    </r>
  </si>
  <si>
    <t>土地位置：</t>
  </si>
  <si>
    <t>海甸岛沿江西路南侧</t>
  </si>
  <si>
    <t>土地四至：</t>
  </si>
  <si>
    <t>地块编号：</t>
  </si>
  <si>
    <t>用地性质：</t>
  </si>
  <si>
    <t>住宿餐饮用地</t>
  </si>
  <si>
    <t>出让方式：</t>
  </si>
  <si>
    <t>拍卖</t>
  </si>
  <si>
    <t>总用地面积：</t>
  </si>
  <si>
    <t>1331.42㎡</t>
  </si>
  <si>
    <t>代征面积：</t>
  </si>
  <si>
    <t>建设用地面积：</t>
  </si>
  <si>
    <t>规划建筑面积：</t>
  </si>
  <si>
    <t>容积率：</t>
  </si>
  <si>
    <t>≤2.5</t>
  </si>
  <si>
    <t>开发程度：</t>
  </si>
  <si>
    <t>现状土地条件：已具备开发建设条件</t>
  </si>
  <si>
    <t>建筑密度：</t>
  </si>
  <si>
    <t>≤35</t>
  </si>
  <si>
    <t>绿化率：</t>
  </si>
  <si>
    <t>≥35</t>
  </si>
  <si>
    <t>商业比例：</t>
  </si>
  <si>
    <t>限制高度：</t>
  </si>
  <si>
    <t>≤80</t>
  </si>
  <si>
    <t>出让年限：</t>
  </si>
  <si>
    <t>40年</t>
  </si>
  <si>
    <t>保障房类型：</t>
  </si>
  <si>
    <t>成交保障房面积：</t>
  </si>
  <si>
    <t>推出保障房面积：</t>
  </si>
  <si>
    <t>配建保障房情况：</t>
  </si>
  <si>
    <t>公告时间：</t>
  </si>
  <si>
    <t>起始时间：</t>
  </si>
  <si>
    <t>截止时间：</t>
  </si>
  <si>
    <t>成交时间：</t>
  </si>
  <si>
    <t>交易状况：</t>
  </si>
  <si>
    <t>已成交</t>
  </si>
  <si>
    <t>起始价：</t>
  </si>
  <si>
    <t>1198.27万元</t>
  </si>
  <si>
    <t>成交价：</t>
  </si>
  <si>
    <t>1198.41万元</t>
  </si>
  <si>
    <t>溢价率：</t>
  </si>
  <si>
    <t>受让单位：</t>
  </si>
  <si>
    <t>海南天汇房地产开发有限公司</t>
  </si>
  <si>
    <t>推出土地单价：</t>
  </si>
  <si>
    <t>8999.94元/㎡</t>
  </si>
  <si>
    <t>成交土地单价：</t>
  </si>
  <si>
    <t>推出每亩价：</t>
  </si>
  <si>
    <t>600.00万元/亩</t>
  </si>
  <si>
    <t>成交每亩价：</t>
  </si>
  <si>
    <t>600.07万元/亩</t>
  </si>
  <si>
    <t>推出楼面价：</t>
  </si>
  <si>
    <t>3599.98元/㎡    </t>
  </si>
  <si>
    <t>成交楼面价：</t>
  </si>
  <si>
    <t>3600.40元/㎡    </t>
  </si>
  <si>
    <t>保证金：</t>
  </si>
  <si>
    <t>加价幅度：</t>
  </si>
  <si>
    <t>咨询电话：</t>
  </si>
  <si>
    <t>(0898)68531700、65303602</t>
  </si>
  <si>
    <t>公告编号：</t>
  </si>
  <si>
    <t>25[2016]25号</t>
  </si>
  <si>
    <t>出让单位：</t>
  </si>
  <si>
    <t>海南省政府会展楼二楼省公共资源交易中心土地交易大厅</t>
  </si>
  <si>
    <t>土地公告：</t>
  </si>
  <si>
    <t>下载公告</t>
  </si>
  <si>
    <t>备注：</t>
  </si>
  <si>
    <t>海规函[2016]734号文明确1331.42平方米用地属《海口市海甸岛片区控制详细规划》I0401地块范围，用地规划性质为旅馆、酒楼、餐饮等服务设施用地，容积率≤2.5，建筑密度≤35%，绿地率≥35%，建筑限高50米。该地块呈狭长三角型，独立开发建设难于满足相关技术控制要求，规划局以海规函 [2016]276号提出该用地按控规地块控制范围一并整合的意见</t>
  </si>
  <si>
    <r>
      <t>海口市滨海大道南侧长流起步区内</t>
    </r>
    <r>
      <rPr>
        <sz val="12"/>
        <color rgb="FF444444"/>
        <rFont val="Verdana"/>
        <family val="2"/>
      </rPr>
      <t>(海南省海口市龙华区 )</t>
    </r>
  </si>
  <si>
    <t>海口市滨海大道南侧长流起步区内</t>
  </si>
  <si>
    <t>商务金融用地</t>
  </si>
  <si>
    <t>13766.67㎡</t>
  </si>
  <si>
    <t>≤3.232</t>
  </si>
  <si>
    <t>现状土地条件：以宗地外六通、宗地内土地未平整的现状条件拍卖出让</t>
  </si>
  <si>
    <t>≤27</t>
  </si>
  <si>
    <t>≤70</t>
  </si>
  <si>
    <t>10060.68万元</t>
  </si>
  <si>
    <t>10062.06万元</t>
  </si>
  <si>
    <t>海南英大房地产开发有限公司</t>
  </si>
  <si>
    <t>7308.00元/㎡</t>
  </si>
  <si>
    <t>487.20万元/亩</t>
  </si>
  <si>
    <t>487.27万元/亩</t>
  </si>
  <si>
    <t>2261.14元/㎡    </t>
  </si>
  <si>
    <t>2261.45元/㎡    </t>
  </si>
  <si>
    <t>0898-68531700、65303602</t>
  </si>
  <si>
    <t>01[2015]01号</t>
  </si>
  <si>
    <t>海口市国贸二横路国土大厦或海南省政务服务中心二楼省公共资源交易中心22号窗口</t>
  </si>
  <si>
    <r>
      <t>海口市秀英港</t>
    </r>
    <r>
      <rPr>
        <sz val="12"/>
        <color rgb="FF444444"/>
        <rFont val="Verdana"/>
        <family val="2"/>
      </rPr>
      <t>(海南省海口市秀英区 )</t>
    </r>
  </si>
  <si>
    <t>海口市秀英港</t>
  </si>
  <si>
    <t>A0302</t>
  </si>
  <si>
    <t>批发零售和住宿餐饮用地</t>
  </si>
  <si>
    <t>7053.39㎡</t>
  </si>
  <si>
    <t>小于或等于0.5</t>
  </si>
  <si>
    <t>六通一平</t>
  </si>
  <si>
    <t>4255.85万元</t>
  </si>
  <si>
    <t>4256.56万元</t>
  </si>
  <si>
    <t>保利（三亚）房地产开发有限公司</t>
  </si>
  <si>
    <t>6033.77元/㎡</t>
  </si>
  <si>
    <t>402.25万元/亩</t>
  </si>
  <si>
    <t>402.32万元/亩</t>
  </si>
  <si>
    <t>12067.51元/㎡    </t>
  </si>
  <si>
    <t>12069.53元/㎡    </t>
  </si>
  <si>
    <t>4000万元</t>
  </si>
  <si>
    <t>(0898)68531700、68530691</t>
  </si>
  <si>
    <t>23[2014]23号-5</t>
  </si>
  <si>
    <t>国土大厦一楼交易大厅（地址：海口市国贸二横路）</t>
  </si>
  <si>
    <t>正常</t>
  </si>
  <si>
    <t>商业</t>
  </si>
  <si>
    <t>出让</t>
  </si>
  <si>
    <t>否</t>
  </si>
  <si>
    <t>地上</t>
  </si>
  <si>
    <t>地上</t>
    <phoneticPr fontId="3" type="noConversion"/>
  </si>
  <si>
    <t>地下</t>
  </si>
  <si>
    <t>独立商业</t>
  </si>
  <si>
    <t>商业</t>
    <phoneticPr fontId="7" type="noConversion"/>
  </si>
  <si>
    <t>建安</t>
    <phoneticPr fontId="3" type="noConversion"/>
  </si>
  <si>
    <t>地上</t>
    <phoneticPr fontId="3" type="noConversion"/>
  </si>
  <si>
    <t>地下</t>
    <phoneticPr fontId="3" type="noConversion"/>
  </si>
  <si>
    <t>建筑面积</t>
    <phoneticPr fontId="3" type="noConversion"/>
  </si>
  <si>
    <t>估价对象位于美兰区，东距甸昆路约800米，南面邻近琼州海峡。周边2公里范围内有5、20、26路等公交线路，路网密集度一般，交通便捷度一般。</t>
  </si>
  <si>
    <t>估价对象位于美兰区，东距甸昆路约800米，南面邻近琼州海峡。周边2公里范围内有5、20、26路等公交线路，路网密集度一般，交通便捷度一般。</t>
    <phoneticPr fontId="3" type="noConversion"/>
  </si>
  <si>
    <t>估价对象所处区域土地利用类型以住宅用地为主；周边2公里范围内有海南大学、邻近琼州海峡，自然及人文环境好。</t>
    <phoneticPr fontId="3" type="noConversion"/>
  </si>
  <si>
    <t>估价对象所在区域基础设施水平：六通</t>
    <phoneticPr fontId="3" type="noConversion"/>
  </si>
  <si>
    <t>周边2公里范围内有海口实验幼儿园、海口景山学校海淀分校等学校；有中国建设银行、中国工商银行等金融机构；公共配套设施情况较好。</t>
  </si>
  <si>
    <t>周边2公里范围内有海口实验幼儿园、海口景山学校海淀分校等学校；有中国建设银行、中国工商银行等金融机构；公共配套设施情况较好。</t>
    <phoneticPr fontId="3" type="noConversion"/>
  </si>
  <si>
    <r>
      <t>城市次干道</t>
    </r>
    <r>
      <rPr>
        <sz val="11"/>
        <color theme="9" tint="-0.249977111117893"/>
        <rFont val="Arial"/>
        <family val="2"/>
      </rPr>
      <t>-</t>
    </r>
    <r>
      <rPr>
        <sz val="11"/>
        <color theme="9" tint="-0.249977111117893"/>
        <rFont val="宋体"/>
        <family val="3"/>
        <charset val="134"/>
      </rPr>
      <t>海甸五西路</t>
    </r>
    <phoneticPr fontId="3" type="noConversion"/>
  </si>
  <si>
    <t>较好</t>
  </si>
  <si>
    <t>好</t>
  </si>
  <si>
    <t>一般</t>
  </si>
  <si>
    <r>
      <rPr>
        <sz val="11"/>
        <rFont val="宋体"/>
        <family val="3"/>
        <charset val="134"/>
      </rPr>
      <t>项目位于美兰区海甸岛，周边</t>
    </r>
    <r>
      <rPr>
        <sz val="11"/>
        <rFont val="Arial"/>
        <family val="2"/>
      </rPr>
      <t>2</t>
    </r>
    <r>
      <rPr>
        <sz val="11"/>
        <rFont val="宋体"/>
        <family val="3"/>
        <charset val="134"/>
      </rPr>
      <t>公里范围内有恒福居商业广场、</t>
    </r>
    <r>
      <rPr>
        <sz val="11"/>
        <rFont val="Arial"/>
        <family val="2"/>
      </rPr>
      <t xml:space="preserve"> </t>
    </r>
    <r>
      <rPr>
        <sz val="11"/>
        <rFont val="宋体"/>
        <family val="3"/>
        <charset val="134"/>
      </rPr>
      <t>美丽沙花园底商等，项目位于海甸岛繁华区域，人流量大，商服繁华度好。</t>
    </r>
    <phoneticPr fontId="26" type="noConversion"/>
  </si>
  <si>
    <t>六通</t>
  </si>
  <si>
    <t>双面临街</t>
  </si>
  <si>
    <t>多面临街</t>
  </si>
  <si>
    <t>其他：</t>
  </si>
  <si>
    <t>海口市</t>
    <phoneticPr fontId="6" type="noConversion"/>
  </si>
  <si>
    <t>批发零售用地</t>
  </si>
  <si>
    <t>批发零售用地</t>
    <phoneticPr fontId="26" type="noConversion"/>
  </si>
  <si>
    <t>单位面积地价</t>
  </si>
  <si>
    <t>高速路</t>
    <phoneticPr fontId="26" type="noConversion"/>
  </si>
  <si>
    <t>城市快速路</t>
    <phoneticPr fontId="26" type="noConversion"/>
  </si>
  <si>
    <t>城市主干道</t>
    <phoneticPr fontId="26" type="noConversion"/>
  </si>
  <si>
    <t>城市次干道</t>
  </si>
  <si>
    <t>城市次干道</t>
    <phoneticPr fontId="26" type="noConversion"/>
  </si>
  <si>
    <t>城市支路</t>
    <phoneticPr fontId="26" type="noConversion"/>
  </si>
  <si>
    <t>人民大道</t>
    <phoneticPr fontId="26" type="noConversion"/>
  </si>
  <si>
    <t>规则</t>
    <phoneticPr fontId="26" type="noConversion"/>
  </si>
  <si>
    <t>较规则</t>
  </si>
  <si>
    <t>较规则</t>
    <phoneticPr fontId="26" type="noConversion"/>
  </si>
  <si>
    <t>较不规则</t>
    <phoneticPr fontId="26" type="noConversion"/>
  </si>
  <si>
    <r>
      <rPr>
        <sz val="11"/>
        <rFont val="宋体"/>
        <family val="3"/>
        <charset val="134"/>
      </rPr>
      <t>不规则</t>
    </r>
    <r>
      <rPr>
        <sz val="11"/>
        <rFont val="Arial"/>
        <family val="2"/>
      </rPr>
      <t xml:space="preserve"> </t>
    </r>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</si>
  <si>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</si>
  <si>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</si>
  <si>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</si>
  <si>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</si>
  <si>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</si>
  <si>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较差</t>
  </si>
  <si>
    <t>差</t>
  </si>
  <si>
    <t>周边2公里范围内有天利龙腾湾商业中心等，商服繁华度一般。</t>
  </si>
  <si>
    <r>
      <rPr>
        <sz val="11"/>
        <rFont val="宋体"/>
        <family val="3"/>
        <charset val="134"/>
      </rPr>
      <t>周边</t>
    </r>
    <r>
      <rPr>
        <sz val="11"/>
        <rFont val="Arial"/>
        <family val="2"/>
      </rPr>
      <t>2</t>
    </r>
    <r>
      <rPr>
        <sz val="11"/>
        <rFont val="宋体"/>
        <family val="3"/>
        <charset val="134"/>
      </rPr>
      <t>公里范围内有住宅底商及超市</t>
    </r>
    <phoneticPr fontId="26" type="noConversion"/>
  </si>
  <si>
    <r>
      <t>6</t>
    </r>
    <r>
      <rPr>
        <sz val="11"/>
        <rFont val="宋体"/>
        <family val="3"/>
        <charset val="134"/>
      </rPr>
      <t>、</t>
    </r>
    <r>
      <rPr>
        <sz val="11"/>
        <rFont val="Arial"/>
        <family val="2"/>
      </rPr>
      <t>37</t>
    </r>
    <r>
      <rPr>
        <sz val="11"/>
        <rFont val="宋体"/>
        <family val="3"/>
        <charset val="134"/>
      </rPr>
      <t>、</t>
    </r>
    <r>
      <rPr>
        <sz val="11"/>
        <rFont val="Arial"/>
        <family val="2"/>
      </rPr>
      <t>34</t>
    </r>
    <phoneticPr fontId="26" type="noConversion"/>
  </si>
  <si>
    <t>滨海大道</t>
    <phoneticPr fontId="26" type="noConversion"/>
  </si>
  <si>
    <r>
      <rPr>
        <sz val="11"/>
        <rFont val="宋体"/>
        <family val="3"/>
        <charset val="134"/>
      </rPr>
      <t>学校：西安财经学院</t>
    </r>
    <r>
      <rPr>
        <sz val="11"/>
        <rFont val="Arial"/>
        <family val="2"/>
      </rPr>
      <t>(</t>
    </r>
    <r>
      <rPr>
        <sz val="11"/>
        <rFont val="宋体"/>
        <family val="3"/>
        <charset val="134"/>
      </rPr>
      <t>海南校区</t>
    </r>
    <r>
      <rPr>
        <sz val="11"/>
        <rFont val="Arial"/>
        <family val="2"/>
      </rPr>
      <t>)</t>
    </r>
    <phoneticPr fontId="26" type="noConversion"/>
  </si>
  <si>
    <t>医院：秀英海军医院；学校：滨景幼儿园；银行：工商银行</t>
    <phoneticPr fontId="26" type="noConversion"/>
  </si>
  <si>
    <t>周边2公里范围内有五源河学校（正在建设中）；没有金融机构营业网点，有少量ATM；公共配套设施情况一般。</t>
  </si>
  <si>
    <t>周边2公里范围内有28、375、37、40路等公交线路；交通便捷度一般。</t>
  </si>
  <si>
    <t>周边2公里范围内有海南国际会议展览中心、紧邻琼州海峡，自然及人文环境好。</t>
  </si>
  <si>
    <r>
      <rPr>
        <sz val="11"/>
        <rFont val="宋体"/>
        <family val="3"/>
        <charset val="134"/>
      </rPr>
      <t>所处区域土地利用类型以住宅用地为主；周边</t>
    </r>
    <r>
      <rPr>
        <sz val="11"/>
        <rFont val="Arial"/>
        <family val="2"/>
      </rPr>
      <t>2</t>
    </r>
    <r>
      <rPr>
        <sz val="11"/>
        <rFont val="宋体"/>
        <family val="3"/>
        <charset val="134"/>
      </rPr>
      <t>公里范围内有海南大学、邻近琼州海峡，自然及人文环境好。</t>
    </r>
    <phoneticPr fontId="26" type="noConversion"/>
  </si>
  <si>
    <t>钢混</t>
  </si>
  <si>
    <t>商业</t>
    <phoneticPr fontId="26" type="noConversion"/>
  </si>
  <si>
    <t>30-40（含）</t>
  </si>
  <si>
    <t>单面临街</t>
  </si>
  <si>
    <t>不临街</t>
  </si>
  <si>
    <t>商业街</t>
  </si>
  <si>
    <t>商业街</t>
    <phoneticPr fontId="26" type="noConversion"/>
  </si>
  <si>
    <t>住宅配套</t>
  </si>
  <si>
    <t>住宅配套</t>
    <phoneticPr fontId="26" type="noConversion"/>
  </si>
  <si>
    <t>写字楼配套</t>
    <phoneticPr fontId="26" type="noConversion"/>
  </si>
  <si>
    <t>钢混</t>
    <phoneticPr fontId="26" type="noConversion"/>
  </si>
  <si>
    <t>精装</t>
  </si>
  <si>
    <t>精装</t>
    <phoneticPr fontId="26" type="noConversion"/>
  </si>
  <si>
    <t>普装</t>
    <phoneticPr fontId="26" type="noConversion"/>
  </si>
  <si>
    <t>简装</t>
    <phoneticPr fontId="26" type="noConversion"/>
  </si>
  <si>
    <t>毛坯</t>
  </si>
  <si>
    <t>毛坯</t>
    <phoneticPr fontId="26" type="noConversion"/>
  </si>
  <si>
    <t>六通</t>
    <phoneticPr fontId="26" type="noConversion"/>
  </si>
  <si>
    <t>可餐饮</t>
  </si>
  <si>
    <t>可餐饮</t>
    <phoneticPr fontId="26" type="noConversion"/>
  </si>
  <si>
    <t>不可餐饮</t>
  </si>
  <si>
    <t>不可餐饮</t>
    <phoneticPr fontId="26" type="noConversion"/>
  </si>
  <si>
    <t>标准</t>
  </si>
  <si>
    <t>标准</t>
    <phoneticPr fontId="26" type="noConversion"/>
  </si>
  <si>
    <t>超高</t>
    <phoneticPr fontId="26" type="noConversion"/>
  </si>
  <si>
    <t>较不适宜</t>
    <phoneticPr fontId="26" type="noConversion"/>
  </si>
  <si>
    <t>不适宜</t>
    <phoneticPr fontId="26" type="noConversion"/>
  </si>
  <si>
    <t>五通</t>
    <phoneticPr fontId="26" type="noConversion"/>
  </si>
  <si>
    <t>楼层</t>
    <phoneticPr fontId="26" type="noConversion"/>
  </si>
  <si>
    <t>系数</t>
    <phoneticPr fontId="26" type="noConversion"/>
  </si>
  <si>
    <t>建筑面积</t>
    <phoneticPr fontId="26" type="noConversion"/>
  </si>
  <si>
    <t>单价</t>
    <phoneticPr fontId="26" type="noConversion"/>
  </si>
  <si>
    <t>总价</t>
    <phoneticPr fontId="26" type="noConversion"/>
  </si>
  <si>
    <t>押一</t>
  </si>
  <si>
    <t>土地</t>
  </si>
  <si>
    <t>剩余法-待开发</t>
  </si>
  <si>
    <t>比较法-住宅、综合</t>
  </si>
  <si>
    <t>总价</t>
    <phoneticPr fontId="9" type="noConversion"/>
  </si>
  <si>
    <t>售价</t>
  </si>
  <si>
    <t>海大北门</t>
    <phoneticPr fontId="3" type="noConversion"/>
  </si>
  <si>
    <t>典型户型修正</t>
  </si>
  <si>
    <t>江南城</t>
    <phoneticPr fontId="3" type="noConversion"/>
  </si>
  <si>
    <t>滨江海岸</t>
    <phoneticPr fontId="3" type="noConversion"/>
  </si>
  <si>
    <t>海南省海口市海甸岛西北部1902地块1宗批发零售用地</t>
    <phoneticPr fontId="6" type="noConversion"/>
  </si>
  <si>
    <t>企业</t>
  </si>
  <si>
    <t>批发零售用地</t>
    <phoneticPr fontId="6" type="noConversion"/>
  </si>
  <si>
    <t>新世界中国地产（海口）有限公司</t>
    <phoneticPr fontId="6" type="noConversion"/>
  </si>
  <si>
    <t>昌江黎族自治县农村信用合作联社</t>
    <phoneticPr fontId="6" type="noConversion"/>
  </si>
  <si>
    <t>抵押</t>
  </si>
  <si>
    <t>一致</t>
  </si>
  <si>
    <t>符合</t>
  </si>
  <si>
    <t>估价对象位于美兰区海甸岛，周边2公里范围内有恒福居商业广场、 美丽沙花园底商等，由于估价对象位于海甸岛北侧，人流量较大，商服繁华度较好。</t>
    <phoneticPr fontId="3" type="noConversion"/>
  </si>
  <si>
    <t>刘梅</t>
  </si>
  <si>
    <t>吴薇</t>
  </si>
  <si>
    <t>是否为海口的标准</t>
    <phoneticPr fontId="3" type="noConversion"/>
  </si>
  <si>
    <t>六通</t>
    <phoneticPr fontId="26" type="noConversion"/>
  </si>
  <si>
    <t>五通</t>
    <phoneticPr fontId="26" type="noConversion"/>
  </si>
  <si>
    <t>四通</t>
    <phoneticPr fontId="26" type="noConversion"/>
  </si>
  <si>
    <t>三通</t>
    <phoneticPr fontId="26"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</si>
</sst>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8"/>
      <color rgb="FF333333"/>
      <name val="Verdana"/>
      <family val="2"/>
    </font>
    <font>
      <sz val="12"/>
      <color rgb="FF444444"/>
      <name val="Verdana"/>
      <family val="2"/>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249977111117893"/>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6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59" xfId="0" applyFont="1" applyFill="1" applyBorder="1" applyAlignment="1" applyProtection="1">
      <alignment horizontal="right" vertical="center" wrapText="1"/>
      <protection locked="0"/>
    </xf>
    <xf numFmtId="0" fontId="97" fillId="5" borderId="30" xfId="0" applyFont="1" applyFill="1" applyBorder="1" applyAlignment="1" applyProtection="1">
      <alignment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9" fontId="106" fillId="8" borderId="5" xfId="0" applyNumberFormat="1"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0" fontId="274" fillId="0" borderId="0" xfId="0" applyFont="1">
      <alignment vertical="center"/>
    </xf>
    <xf numFmtId="14" fontId="0" fillId="0" borderId="0" xfId="0" applyNumberFormat="1">
      <alignment vertical="center"/>
    </xf>
    <xf numFmtId="10" fontId="0" fillId="0" borderId="0" xfId="0" applyNumberFormat="1">
      <alignment vertical="center"/>
    </xf>
    <xf numFmtId="1" fontId="0" fillId="0" borderId="0" xfId="0" applyNumberFormat="1">
      <alignment vertical="center"/>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4" fillId="5" borderId="0" xfId="0" applyNumberFormat="1" applyFont="1" applyFill="1" applyAlignment="1" applyProtection="1">
      <alignment horizontal="center" vertical="center"/>
      <protection locked="0"/>
    </xf>
    <xf numFmtId="181" fontId="144" fillId="5" borderId="0" xfId="0" applyNumberFormat="1" applyFont="1" applyFill="1" applyAlignment="1" applyProtection="1">
      <alignment horizontal="center" vertical="center"/>
      <protection locked="0"/>
    </xf>
    <xf numFmtId="0" fontId="144" fillId="5" borderId="0" xfId="0" applyFont="1" applyFill="1" applyAlignment="1" applyProtection="1">
      <alignment horizontal="center" vertical="center"/>
      <protection locked="0"/>
    </xf>
    <xf numFmtId="0" fontId="82" fillId="5" borderId="0" xfId="0" applyFont="1" applyFill="1" applyProtection="1">
      <alignment vertical="center"/>
      <protection locked="0"/>
    </xf>
    <xf numFmtId="0" fontId="84" fillId="0" borderId="18"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0" fontId="84" fillId="0" borderId="22" xfId="0" applyNumberFormat="1" applyFont="1" applyFill="1" applyBorder="1" applyAlignment="1" applyProtection="1">
      <alignment horizontal="center" vertical="center" wrapText="1"/>
      <protection locked="0"/>
    </xf>
    <xf numFmtId="0" fontId="167" fillId="0" borderId="2" xfId="0" applyFont="1" applyBorder="1" applyAlignment="1" applyProtection="1">
      <alignment horizontal="center" vertical="center"/>
      <protection locked="0"/>
    </xf>
    <xf numFmtId="0" fontId="159" fillId="16" borderId="11" xfId="0" applyFont="1" applyFill="1" applyBorder="1" applyAlignment="1" applyProtection="1">
      <alignment horizontal="right" vertical="center" wrapText="1"/>
      <protection locked="0"/>
    </xf>
    <xf numFmtId="0" fontId="149" fillId="16" borderId="12" xfId="0" applyFont="1" applyFill="1" applyBorder="1" applyAlignment="1" applyProtection="1">
      <alignment horizontal="center" vertical="center"/>
      <protection locked="0"/>
    </xf>
    <xf numFmtId="0" fontId="149" fillId="16" borderId="0" xfId="0" applyFont="1" applyFill="1" applyAlignment="1" applyProtection="1">
      <alignment horizontal="center" vertical="center"/>
      <protection locked="0"/>
    </xf>
    <xf numFmtId="179" fontId="159" fillId="16" borderId="0" xfId="0" applyNumberFormat="1" applyFont="1" applyFill="1" applyAlignment="1" applyProtection="1">
      <alignment vertical="center"/>
      <protection locked="0"/>
    </xf>
    <xf numFmtId="0" fontId="149" fillId="16" borderId="0" xfId="0" applyFont="1" applyFill="1" applyAlignment="1" applyProtection="1">
      <alignment vertical="center"/>
      <protection locked="0"/>
    </xf>
    <xf numFmtId="0" fontId="152" fillId="16" borderId="0" xfId="0" applyFont="1" applyFill="1" applyAlignment="1" applyProtection="1">
      <alignment horizontal="center" vertical="center"/>
      <protection locked="0"/>
    </xf>
    <xf numFmtId="0" fontId="152" fillId="16" borderId="0" xfId="0" applyFont="1" applyFill="1" applyAlignment="1" applyProtection="1">
      <alignment vertical="center"/>
      <protection locked="0"/>
    </xf>
    <xf numFmtId="0" fontId="152" fillId="16" borderId="0" xfId="0" applyFont="1" applyFill="1" applyAlignment="1" applyProtection="1">
      <alignment vertical="center"/>
    </xf>
    <xf numFmtId="183" fontId="71" fillId="16" borderId="62" xfId="0" applyNumberFormat="1" applyFont="1" applyFill="1" applyBorder="1" applyAlignment="1" applyProtection="1">
      <alignment horizontal="center" vertical="center" wrapText="1"/>
      <protection locked="0"/>
    </xf>
    <xf numFmtId="0" fontId="84" fillId="16" borderId="20" xfId="0" applyNumberFormat="1" applyFont="1" applyFill="1" applyBorder="1" applyAlignment="1" applyProtection="1">
      <alignment horizontal="center" vertical="center" wrapText="1"/>
      <protection locked="0"/>
    </xf>
    <xf numFmtId="0" fontId="84" fillId="16" borderId="8" xfId="0" applyNumberFormat="1" applyFont="1" applyFill="1" applyBorder="1" applyAlignment="1" applyProtection="1">
      <alignment horizontal="center" vertical="center" wrapText="1"/>
      <protection locked="0"/>
    </xf>
    <xf numFmtId="9" fontId="71" fillId="16"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76</xdr:row>
      <xdr:rowOff>0</xdr:rowOff>
    </xdr:from>
    <xdr:to>
      <xdr:col>9</xdr:col>
      <xdr:colOff>675035</xdr:colOff>
      <xdr:row>105</xdr:row>
      <xdr:rowOff>66046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373100"/>
          <a:ext cx="9923810" cy="5038096"/>
        </a:xfrm>
        <a:prstGeom prst="rect">
          <a:avLst/>
        </a:prstGeom>
      </xdr:spPr>
    </xdr:pic>
    <xdr:clientData/>
  </xdr:twoCellAnchor>
  <xdr:twoCellAnchor editAs="oneCell">
    <xdr:from>
      <xdr:col>0</xdr:col>
      <xdr:colOff>28575</xdr:colOff>
      <xdr:row>139</xdr:row>
      <xdr:rowOff>152400</xdr:rowOff>
    </xdr:from>
    <xdr:to>
      <xdr:col>9</xdr:col>
      <xdr:colOff>560753</xdr:colOff>
      <xdr:row>173</xdr:row>
      <xdr:rowOff>27862</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24326850"/>
          <a:ext cx="9780953" cy="5704762"/>
        </a:xfrm>
        <a:prstGeom prst="rect">
          <a:avLst/>
        </a:prstGeom>
      </xdr:spPr>
    </xdr:pic>
    <xdr:clientData/>
  </xdr:twoCellAnchor>
  <xdr:twoCellAnchor editAs="oneCell">
    <xdr:from>
      <xdr:col>0</xdr:col>
      <xdr:colOff>0</xdr:colOff>
      <xdr:row>106</xdr:row>
      <xdr:rowOff>0</xdr:rowOff>
    </xdr:from>
    <xdr:to>
      <xdr:col>9</xdr:col>
      <xdr:colOff>351226</xdr:colOff>
      <xdr:row>139</xdr:row>
      <xdr:rowOff>132627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516600"/>
          <a:ext cx="9600001" cy="5790477"/>
        </a:xfrm>
        <a:prstGeom prst="rect">
          <a:avLst/>
        </a:prstGeom>
      </xdr:spPr>
    </xdr:pic>
    <xdr:clientData/>
  </xdr:twoCellAnchor>
  <xdr:twoCellAnchor editAs="oneCell">
    <xdr:from>
      <xdr:col>0</xdr:col>
      <xdr:colOff>0</xdr:colOff>
      <xdr:row>174</xdr:row>
      <xdr:rowOff>0</xdr:rowOff>
    </xdr:from>
    <xdr:to>
      <xdr:col>9</xdr:col>
      <xdr:colOff>532178</xdr:colOff>
      <xdr:row>208</xdr:row>
      <xdr:rowOff>56415</xdr:rowOff>
    </xdr:to>
    <xdr:pic>
      <xdr:nvPicPr>
        <xdr:cNvPr id="6" name="图片 5"/>
        <xdr:cNvPicPr>
          <a:picLocks noChangeAspect="1"/>
        </xdr:cNvPicPr>
      </xdr:nvPicPr>
      <xdr:blipFill>
        <a:blip xmlns:r="http://schemas.openxmlformats.org/officeDocument/2006/relationships" r:embed="rId4"/>
        <a:stretch>
          <a:fillRect/>
        </a:stretch>
      </xdr:blipFill>
      <xdr:spPr>
        <a:xfrm>
          <a:off x="0" y="30175200"/>
          <a:ext cx="9780953" cy="5885715"/>
        </a:xfrm>
        <a:prstGeom prst="rect">
          <a:avLst/>
        </a:prstGeom>
      </xdr:spPr>
    </xdr:pic>
    <xdr:clientData/>
  </xdr:twoCellAnchor>
  <xdr:twoCellAnchor editAs="oneCell">
    <xdr:from>
      <xdr:col>0</xdr:col>
      <xdr:colOff>0</xdr:colOff>
      <xdr:row>243</xdr:row>
      <xdr:rowOff>0</xdr:rowOff>
    </xdr:from>
    <xdr:to>
      <xdr:col>6</xdr:col>
      <xdr:colOff>8625</xdr:colOff>
      <xdr:row>265</xdr:row>
      <xdr:rowOff>66196</xdr:rowOff>
    </xdr:to>
    <xdr:pic>
      <xdr:nvPicPr>
        <xdr:cNvPr id="5" name="图片 4"/>
        <xdr:cNvPicPr>
          <a:picLocks noChangeAspect="1"/>
        </xdr:cNvPicPr>
      </xdr:nvPicPr>
      <xdr:blipFill>
        <a:blip xmlns:r="http://schemas.openxmlformats.org/officeDocument/2006/relationships" r:embed="rId5"/>
        <a:stretch>
          <a:fillRect/>
        </a:stretch>
      </xdr:blipFill>
      <xdr:spPr>
        <a:xfrm>
          <a:off x="0" y="42005250"/>
          <a:ext cx="7200000" cy="3838096"/>
        </a:xfrm>
        <a:prstGeom prst="rect">
          <a:avLst/>
        </a:prstGeom>
      </xdr:spPr>
    </xdr:pic>
    <xdr:clientData/>
  </xdr:twoCellAnchor>
  <xdr:twoCellAnchor editAs="oneCell">
    <xdr:from>
      <xdr:col>0</xdr:col>
      <xdr:colOff>0</xdr:colOff>
      <xdr:row>266</xdr:row>
      <xdr:rowOff>0</xdr:rowOff>
    </xdr:from>
    <xdr:to>
      <xdr:col>10</xdr:col>
      <xdr:colOff>93997</xdr:colOff>
      <xdr:row>302</xdr:row>
      <xdr:rowOff>161134</xdr:rowOff>
    </xdr:to>
    <xdr:pic>
      <xdr:nvPicPr>
        <xdr:cNvPr id="8" name="图片 7"/>
        <xdr:cNvPicPr>
          <a:picLocks noChangeAspect="1"/>
        </xdr:cNvPicPr>
      </xdr:nvPicPr>
      <xdr:blipFill>
        <a:blip xmlns:r="http://schemas.openxmlformats.org/officeDocument/2006/relationships" r:embed="rId6"/>
        <a:stretch>
          <a:fillRect/>
        </a:stretch>
      </xdr:blipFill>
      <xdr:spPr>
        <a:xfrm>
          <a:off x="0" y="45948600"/>
          <a:ext cx="10028572" cy="6333334"/>
        </a:xfrm>
        <a:prstGeom prst="rect">
          <a:avLst/>
        </a:prstGeom>
      </xdr:spPr>
    </xdr:pic>
    <xdr:clientData/>
  </xdr:twoCellAnchor>
  <xdr:twoCellAnchor editAs="oneCell">
    <xdr:from>
      <xdr:col>0</xdr:col>
      <xdr:colOff>0</xdr:colOff>
      <xdr:row>304</xdr:row>
      <xdr:rowOff>0</xdr:rowOff>
    </xdr:from>
    <xdr:to>
      <xdr:col>11</xdr:col>
      <xdr:colOff>579626</xdr:colOff>
      <xdr:row>336</xdr:row>
      <xdr:rowOff>37410</xdr:rowOff>
    </xdr:to>
    <xdr:pic>
      <xdr:nvPicPr>
        <xdr:cNvPr id="9" name="图片 8"/>
        <xdr:cNvPicPr>
          <a:picLocks noChangeAspect="1"/>
        </xdr:cNvPicPr>
      </xdr:nvPicPr>
      <xdr:blipFill>
        <a:blip xmlns:r="http://schemas.openxmlformats.org/officeDocument/2006/relationships" r:embed="rId7"/>
        <a:stretch>
          <a:fillRect/>
        </a:stretch>
      </xdr:blipFill>
      <xdr:spPr>
        <a:xfrm>
          <a:off x="0" y="52463700"/>
          <a:ext cx="11200001" cy="5523810"/>
        </a:xfrm>
        <a:prstGeom prst="rect">
          <a:avLst/>
        </a:prstGeom>
      </xdr:spPr>
    </xdr:pic>
    <xdr:clientData/>
  </xdr:twoCellAnchor>
  <xdr:twoCellAnchor editAs="oneCell">
    <xdr:from>
      <xdr:col>0</xdr:col>
      <xdr:colOff>0</xdr:colOff>
      <xdr:row>338</xdr:row>
      <xdr:rowOff>0</xdr:rowOff>
    </xdr:from>
    <xdr:to>
      <xdr:col>9</xdr:col>
      <xdr:colOff>655988</xdr:colOff>
      <xdr:row>375</xdr:row>
      <xdr:rowOff>8731</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58293000"/>
          <a:ext cx="9904763" cy="6352381"/>
        </a:xfrm>
        <a:prstGeom prst="rect">
          <a:avLst/>
        </a:prstGeom>
      </xdr:spPr>
    </xdr:pic>
    <xdr:clientData/>
  </xdr:twoCellAnchor>
  <xdr:twoCellAnchor editAs="oneCell">
    <xdr:from>
      <xdr:col>0</xdr:col>
      <xdr:colOff>0</xdr:colOff>
      <xdr:row>378</xdr:row>
      <xdr:rowOff>0</xdr:rowOff>
    </xdr:from>
    <xdr:to>
      <xdr:col>12</xdr:col>
      <xdr:colOff>65254</xdr:colOff>
      <xdr:row>406</xdr:row>
      <xdr:rowOff>151781</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65151000"/>
          <a:ext cx="11371429" cy="4952381"/>
        </a:xfrm>
        <a:prstGeom prst="rect">
          <a:avLst/>
        </a:prstGeom>
      </xdr:spPr>
    </xdr:pic>
    <xdr:clientData/>
  </xdr:twoCellAnchor>
  <xdr:twoCellAnchor editAs="oneCell">
    <xdr:from>
      <xdr:col>0</xdr:col>
      <xdr:colOff>0</xdr:colOff>
      <xdr:row>408</xdr:row>
      <xdr:rowOff>0</xdr:rowOff>
    </xdr:from>
    <xdr:to>
      <xdr:col>12</xdr:col>
      <xdr:colOff>74778</xdr:colOff>
      <xdr:row>438</xdr:row>
      <xdr:rowOff>27929</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70294500"/>
          <a:ext cx="11380953" cy="5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2672</v>
      </c>
      <c r="B1" s="2930" t="s">
        <v>2769</v>
      </c>
    </row>
    <row r="2" spans="1:55" s="2934" customFormat="1" ht="15" thickTop="1">
      <c r="A2" s="2932" t="s">
        <v>2676</v>
      </c>
      <c r="B2" s="2933" t="str">
        <f>'预评函-封皮'!B37</f>
        <v>海口市海南省海口市海甸岛西北部1902地块1宗批发零售用地出让国有建设用地使用权抵押价格预评估</v>
      </c>
      <c r="AX2" s="2935"/>
      <c r="AZ2" s="2935"/>
      <c r="BA2" s="2936"/>
      <c r="BC2" s="2936"/>
    </row>
    <row r="3" spans="1:55" s="2937" customFormat="1">
      <c r="A3" s="2916" t="s">
        <v>2677</v>
      </c>
      <c r="B3" s="2919" t="str">
        <f>'预评函-封皮'!B40</f>
        <v>新世界中国地产（海口）有限公司</v>
      </c>
    </row>
    <row r="4" spans="1:55" s="2918" customFormat="1">
      <c r="A4" s="2916" t="s">
        <v>2678</v>
      </c>
      <c r="B4" s="2917" t="str">
        <f>'预评函-封皮'!B46</f>
        <v>刘梅、吴薇</v>
      </c>
      <c r="N4" s="2918" t="str">
        <f>'预评函-1'!A28</f>
        <v/>
      </c>
    </row>
    <row r="5" spans="1:55" s="2931" customFormat="1" ht="15" thickBot="1">
      <c r="A5" s="2938" t="s">
        <v>2679</v>
      </c>
      <c r="B5" s="2939" t="str">
        <f>'预评函-封皮'!B49</f>
        <v>康正预评字号</v>
      </c>
    </row>
    <row r="6" spans="1:55" s="2940" customFormat="1" ht="15" thickTop="1">
      <c r="A6" s="2932" t="s">
        <v>2721</v>
      </c>
      <c r="B6" s="2933" t="str">
        <f>'预评函-1'!A4</f>
        <v>受贵公司委托，我公司对海口市海南省海口市海甸岛西北部1902地块1宗批发零售用地出让国有建设用地使用权抵押价格进行了预评估。</v>
      </c>
      <c r="AM6" s="2941"/>
    </row>
    <row r="7" spans="1:55" s="2915" customFormat="1">
      <c r="A7" s="2916" t="s">
        <v>2673</v>
      </c>
      <c r="B7" s="2917" t="str">
        <f>'预评函-1'!A6</f>
        <v>估价对象为新世界中国地产（海口）有限公司使用的、位于海口市海南省海口市海甸岛西北部1902地块1宗批发零售用地出让国有建设用地使用权。根据《国有土地使用证》[]，估价对象（分摊）出让国有建设用地使用权面积为70250.03平方米。根据《建设工程规划许可证》[]、《出让合同》[]，估价对象规划建筑面积为129001.58平方米。</v>
      </c>
    </row>
    <row r="8" spans="1:55" s="2915" customFormat="1">
      <c r="A8" s="2916" t="s">
        <v>2674</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2724</v>
      </c>
      <c r="B9" s="2917" t="str">
        <f>'预评函-1'!A9</f>
        <v>委托估价方在向金融机构（昌江黎族自治县农村信用合作联社）办理贷款手续过程中，特委托北京康正宏基房地产评估有限公司对估价对象进行评估。本次评估为确定标的物之抵押贷款额度提供参考依据而评估出让国有建设用地使用权抵押价格。</v>
      </c>
    </row>
    <row r="10" spans="1:55" s="2915" customFormat="1">
      <c r="A10" s="2916" t="s">
        <v>2675</v>
      </c>
      <c r="B10" s="2917" t="str">
        <f>'预评函-1'!A11</f>
        <v>2017年6月26日</v>
      </c>
    </row>
    <row r="11" spans="1:55" s="2915" customFormat="1">
      <c r="A11" s="2916" t="s">
        <v>2681</v>
      </c>
      <c r="B11" s="2917" t="str">
        <f>'预评函-1'!A14</f>
        <v>根据《国有土地使用证》[]，本次评估估价对象证载（地类）用途为批发零售用地。</v>
      </c>
    </row>
    <row r="12" spans="1:55" s="2915" customFormat="1">
      <c r="A12" s="2916" t="s">
        <v>2682</v>
      </c>
      <c r="B12" s="2917" t="str">
        <f>'预评函-1'!A15</f>
        <v>本次评估设定用途即为证载用途批发零售用地。</v>
      </c>
    </row>
    <row r="13" spans="1:55" s="2915" customFormat="1">
      <c r="A13" s="2916" t="s">
        <v>2683</v>
      </c>
      <c r="B13" s="2917" t="str">
        <f>'预评函-1'!A17</f>
        <v>根据委托估价方介绍及评估专业人员现场勘查，本次评估估价对象实际土地开发程度为红线外市政基础设施达“七通”（即、、、、、、）、宗地红线内场地平整。</v>
      </c>
    </row>
    <row r="14" spans="1:55" s="2915" customFormat="1">
      <c r="A14" s="2916" t="s">
        <v>2684</v>
      </c>
      <c r="B14" s="2917" t="str">
        <f>'预评函-1'!A18</f>
        <v>。本次评估设定土地开发程度为红线外市政基础设施达“七通”、宗地红线内场地平整。</v>
      </c>
    </row>
    <row r="15" spans="1:55" s="2915" customFormat="1">
      <c r="A15" s="2916" t="s">
        <v>2680</v>
      </c>
      <c r="B15" s="2917" t="str">
        <f>'预评函-1'!A20</f>
        <v>根据《国有土地使用证》[]，估价对象（分摊）出让国有建设用地使用权面积为70250.03平方米。根据《建设工程规划许可证》[]、《出让合同》[]，估价对象规划建筑面积为129001.58平方米。</v>
      </c>
    </row>
    <row r="16" spans="1:55" s="2915" customFormat="1">
      <c r="A16" s="2916" t="s">
        <v>2685</v>
      </c>
      <c r="B16" s="2917" t="str">
        <f>'预评函-1'!A22</f>
        <v>本次估价对象为出让国有建设用地使用权，《国有土地使用证》[]证载土地终止日期为商业2045年11月14日。截至估价期日，出让国有建设用地使用权剩余土地使用年限为。</v>
      </c>
    </row>
    <row r="17" spans="1:48" s="2915" customFormat="1">
      <c r="A17" s="2916" t="s">
        <v>2686</v>
      </c>
      <c r="B17" s="2917" t="str">
        <f>'预评函-1'!A23</f>
        <v>本次评估设定估价对象剩余土地使用年限为。</v>
      </c>
    </row>
    <row r="18" spans="1:48" s="2915" customFormat="1">
      <c r="A18" s="2916" t="s">
        <v>2687</v>
      </c>
      <c r="B18" s="2917" t="str">
        <f>'预评函-1'!A25</f>
        <v>本次估价的“出让国有建设用地使用权价格”是指在估价对象土地所有权为国家所有，使用权性质为出让，在公开市场条件下、于估价期日2017年6月26日，在规划利用条件下、设定土地开发程度为红线外“七通”、宗地内场地，设定用途为批发零售用地，剩余土地使用年限为的出让国有建设用地使用权价格。</v>
      </c>
    </row>
    <row r="19" spans="1:48" s="2915" customFormat="1">
      <c r="A19" s="2916" t="s">
        <v>2688</v>
      </c>
      <c r="B19" s="2917" t="str">
        <f>'预评函-1'!A26</f>
        <v>本次估价的“抵押价格”是指估价对象在估价期日的“出让国有建设用地使用权价格”扣减估价师于估价期日所知悉的法定优先受偿款后的余额。</v>
      </c>
    </row>
    <row r="20" spans="1:48" s="2915" customFormat="1">
      <c r="A20" s="2916" t="s">
        <v>2689</v>
      </c>
      <c r="B20" s="29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1" customFormat="1" ht="15" thickBot="1">
      <c r="A21" s="2938" t="s">
        <v>2690</v>
      </c>
      <c r="B21" s="2939" t="str">
        <f>'预评函-1'!A28</f>
        <v/>
      </c>
    </row>
    <row r="22" spans="1:48" ht="15" thickTop="1">
      <c r="A22" s="2927" t="s">
        <v>2691</v>
      </c>
      <c r="B22" s="2928"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6" t="s">
        <v>2692</v>
      </c>
      <c r="B23" s="2917" t="str">
        <f>'预评函-2'!K2</f>
        <v>估价期日：2017年6月26日</v>
      </c>
    </row>
    <row r="24" spans="1:48">
      <c r="A24" s="2916" t="s">
        <v>2693</v>
      </c>
      <c r="B24" s="2917" t="str">
        <f>'预评函-2'!R2</f>
        <v>估价期日的国有建设用地使用权性质：出让</v>
      </c>
    </row>
    <row r="25" spans="1:48">
      <c r="A25" s="2916" t="s">
        <v>2749</v>
      </c>
      <c r="B25" s="2917" t="str">
        <f>'预评函-2'!A3</f>
        <v>估价期日土地使用者</v>
      </c>
    </row>
    <row r="26" spans="1:48">
      <c r="A26" s="2916" t="s">
        <v>2725</v>
      </c>
      <c r="B26" s="2917" t="str">
        <f>'预评函-2'!A5</f>
        <v>中信开发</v>
      </c>
    </row>
    <row r="27" spans="1:48">
      <c r="A27" s="2916" t="s">
        <v>2750</v>
      </c>
      <c r="B27" s="2917" t="str">
        <f>'预评函-2'!B3</f>
        <v>宗地编号/不动产单元号</v>
      </c>
    </row>
    <row r="28" spans="1:48">
      <c r="A28" s="2916" t="s">
        <v>2726</v>
      </c>
      <c r="B28" s="2917" t="str">
        <f>'预评函-2'!B5</f>
        <v>11111111111</v>
      </c>
    </row>
    <row r="29" spans="1:48">
      <c r="A29" s="2916" t="s">
        <v>2752</v>
      </c>
      <c r="B29" s="2917">
        <f>'预评函-2'!C5</f>
        <v>22</v>
      </c>
    </row>
    <row r="30" spans="1:48">
      <c r="A30" s="2916" t="s">
        <v>2753</v>
      </c>
      <c r="B30" s="2917" t="str">
        <f>'预评函-2'!D3</f>
        <v>土地使用证编号/不动产权证书编号</v>
      </c>
    </row>
    <row r="31" spans="1:48">
      <c r="A31" s="2916" t="s">
        <v>2727</v>
      </c>
      <c r="B31" s="2917" t="str">
        <f>'预评函-2'!D5</f>
        <v>京国土字第111号</v>
      </c>
    </row>
    <row r="32" spans="1:48">
      <c r="A32" s="2916" t="s">
        <v>2728</v>
      </c>
      <c r="B32" s="2917" t="str">
        <f>'预评函-2'!E5</f>
        <v>批发零售用地</v>
      </c>
      <c r="AV32" s="2921"/>
    </row>
    <row r="33" spans="1:2">
      <c r="A33" s="2916" t="s">
        <v>2729</v>
      </c>
      <c r="B33" s="2917">
        <f>'预评函-2'!F5</f>
        <v>258</v>
      </c>
    </row>
    <row r="34" spans="1:2">
      <c r="A34" s="2916" t="s">
        <v>2730</v>
      </c>
      <c r="B34" s="2917" t="str">
        <f>'预评函-2'!G5</f>
        <v>批发零售用地</v>
      </c>
    </row>
    <row r="35" spans="1:2">
      <c r="A35" s="2916" t="s">
        <v>2731</v>
      </c>
      <c r="B35" s="2917">
        <f>'预评函-2'!H5</f>
        <v>1.5</v>
      </c>
    </row>
    <row r="36" spans="1:2">
      <c r="A36" s="2916" t="s">
        <v>2732</v>
      </c>
      <c r="B36" s="2917">
        <f>'预评函-2'!I5</f>
        <v>1.5</v>
      </c>
    </row>
    <row r="37" spans="1:2">
      <c r="A37" s="2916" t="s">
        <v>2733</v>
      </c>
      <c r="B37" s="2917">
        <f>'预评函-2'!J5</f>
        <v>1.5</v>
      </c>
    </row>
    <row r="38" spans="1:2">
      <c r="A38" s="2916" t="s">
        <v>2734</v>
      </c>
      <c r="B38" s="2917" t="str">
        <f>'预评函-2'!K5</f>
        <v>红线外七通、宗地红线内</v>
      </c>
    </row>
    <row r="39" spans="1:2">
      <c r="A39" s="2916" t="s">
        <v>2735</v>
      </c>
      <c r="B39" s="2917" t="str">
        <f>'预评函-2'!L5</f>
        <v>红线外七通、宗地红线内场地</v>
      </c>
    </row>
    <row r="40" spans="1:2">
      <c r="A40" s="2916" t="s">
        <v>2754</v>
      </c>
      <c r="B40" s="2917" t="str">
        <f>'预评函-2'!M3</f>
        <v>（剩余）土地使用年限/年</v>
      </c>
    </row>
    <row r="41" spans="1:2">
      <c r="A41" s="2916" t="s">
        <v>2736</v>
      </c>
      <c r="B41" s="2917">
        <f>'预评函-2'!M5</f>
        <v>0</v>
      </c>
    </row>
    <row r="42" spans="1:2">
      <c r="A42" s="2916" t="s">
        <v>2755</v>
      </c>
      <c r="B42" s="2917" t="str">
        <f>'预评函-2'!N3</f>
        <v>（分摊）出让国有建设用地使用权面积/㎡</v>
      </c>
    </row>
    <row r="43" spans="1:2">
      <c r="A43" s="2916" t="s">
        <v>2737</v>
      </c>
      <c r="B43" s="2917">
        <f>'预评函-2'!N5</f>
        <v>70250.03</v>
      </c>
    </row>
    <row r="44" spans="1:2">
      <c r="A44" s="2916" t="s">
        <v>2756</v>
      </c>
      <c r="B44" s="2917" t="str">
        <f>'预评函-2'!O3</f>
        <v>规划建筑面积/㎡</v>
      </c>
    </row>
    <row r="45" spans="1:2">
      <c r="A45" s="2916" t="s">
        <v>2738</v>
      </c>
      <c r="B45" s="2917">
        <f>'预评函-2'!O5</f>
        <v>129001.58</v>
      </c>
    </row>
    <row r="46" spans="1:2">
      <c r="A46" s="2916" t="s">
        <v>2739</v>
      </c>
      <c r="B46" s="2917">
        <f ca="1">'预评函-2'!P5</f>
        <v>8024</v>
      </c>
    </row>
    <row r="47" spans="1:2">
      <c r="A47" s="2916" t="s">
        <v>2740</v>
      </c>
      <c r="B47" s="2917">
        <f ca="1">'预评函-2'!Q5</f>
        <v>4370</v>
      </c>
    </row>
    <row r="48" spans="1:2">
      <c r="A48" s="2916" t="s">
        <v>2741</v>
      </c>
      <c r="B48" s="2917">
        <f ca="1">'预评函-2'!R5</f>
        <v>56369</v>
      </c>
    </row>
    <row r="49" spans="1:2">
      <c r="A49" s="2916" t="s">
        <v>2757</v>
      </c>
      <c r="B49" s="2917" t="str">
        <f>'预评函-2'!A6</f>
        <v>抵押价格</v>
      </c>
    </row>
    <row r="50" spans="1:2">
      <c r="A50" s="2916" t="s">
        <v>2742</v>
      </c>
      <c r="B50" s="2917">
        <f ca="1">'预评函-2'!R6</f>
        <v>56369</v>
      </c>
    </row>
    <row r="51" spans="1:2">
      <c r="A51" s="2916" t="s">
        <v>2758</v>
      </c>
      <c r="B51" s="2917" t="str">
        <f>'预评函-2'!A7</f>
        <v>——</v>
      </c>
    </row>
    <row r="52" spans="1:2">
      <c r="A52" s="2916" t="s">
        <v>2743</v>
      </c>
      <c r="B52" s="2917" t="str">
        <f>'预评函-2'!R7</f>
        <v>——</v>
      </c>
    </row>
    <row r="53" spans="1:2">
      <c r="A53" s="2916" t="s">
        <v>2759</v>
      </c>
      <c r="B53" s="2917" t="str">
        <f>'预评函-2'!A8</f>
        <v>——</v>
      </c>
    </row>
    <row r="54" spans="1:2" s="2931" customFormat="1" ht="15" thickBot="1">
      <c r="A54" s="2938" t="s">
        <v>2744</v>
      </c>
      <c r="B54" s="2939" t="str">
        <f>'预评函-2'!R8</f>
        <v>——</v>
      </c>
    </row>
    <row r="55" spans="1:2" ht="15" thickTop="1">
      <c r="A55" s="2927" t="s">
        <v>2694</v>
      </c>
      <c r="B55" s="2928" t="str">
        <f>'预评函-3'!A2</f>
        <v>1.权利限制：根据估价对象《不动产权证书》原件、《国有土地使用权》复印件，截至估价期日，估价对象抵押权未见登记。未设定租赁等其他他项权利。</v>
      </c>
    </row>
    <row r="56" spans="1:2">
      <c r="A56" s="2916" t="s">
        <v>2695</v>
      </c>
      <c r="B56" s="2917" t="str">
        <f>'预评函-3'!A3</f>
        <v>2.基础设施条件：估价对象实际开发程度为红线外七通、宗地红线内；本次评估设定开发程度为红线外七通、宗地红线内场地。</v>
      </c>
    </row>
    <row r="57" spans="1:2">
      <c r="A57" s="2916" t="s">
        <v>2696</v>
      </c>
      <c r="B57" s="2917" t="str">
        <f>'预评函-3'!A4</f>
        <v>3.估价规划限制条件：详见《建设工程规划许可证》[]、《出让合同》[]。</v>
      </c>
    </row>
    <row r="58" spans="1:2" s="2931" customFormat="1" ht="15" thickBot="1">
      <c r="A58" s="2938" t="s">
        <v>2745</v>
      </c>
      <c r="B58" s="2939" t="str">
        <f>'预评函-3'!A5</f>
        <v>4.影响价格的其他限定条件：无。</v>
      </c>
    </row>
    <row r="59" spans="1:2" ht="15" thickTop="1">
      <c r="A59" s="2927" t="s">
        <v>2697</v>
      </c>
      <c r="B59" s="2928" t="str">
        <f>'预评函-3'!A8</f>
        <v>2.本《评估意见函》仅供金融机构进行内部审核使用，不做其他目的之用。</v>
      </c>
    </row>
    <row r="60" spans="1:2">
      <c r="A60" s="2916" t="s">
        <v>2698</v>
      </c>
      <c r="B60" s="2917" t="str">
        <f>'预评函-3'!A9</f>
        <v>3.抵押双方在办理抵押登记手续时，应使用本公司出具的正式《土地估价报告》，特提请报告使用者注意。</v>
      </c>
    </row>
    <row r="61" spans="1:2">
      <c r="A61" s="2916" t="s">
        <v>2700</v>
      </c>
      <c r="B61" s="2917" t="str">
        <f>'预评函-3'!A10</f>
        <v>4.估价师所知悉的法定优先受偿款情况为：</v>
      </c>
    </row>
    <row r="62" spans="1:2">
      <c r="A62" s="2916" t="s">
        <v>2699</v>
      </c>
      <c r="B62" s="29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6" t="s">
        <v>2701</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2702</v>
      </c>
      <c r="B64" s="2922" t="str">
        <f>'预评函-3'!A13</f>
        <v>（3）。</v>
      </c>
    </row>
    <row r="65" spans="1:2">
      <c r="A65" s="2916" t="s">
        <v>2703</v>
      </c>
      <c r="B65" s="2923" t="str">
        <f>'预评函-3'!A14</f>
        <v>综上，本次评估不存在估价师知悉的法定优先受偿款</v>
      </c>
    </row>
    <row r="66" spans="1:2">
      <c r="A66" s="2916" t="s">
        <v>2704</v>
      </c>
      <c r="B66" s="29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2705</v>
      </c>
      <c r="B67" s="29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2708</v>
      </c>
      <c r="B68" s="2942">
        <f>'预评函-3'!D30</f>
        <v>42558</v>
      </c>
    </row>
    <row r="69" spans="1:2" ht="15" thickTop="1">
      <c r="A69" s="2927" t="s">
        <v>2706</v>
      </c>
      <c r="B69" s="2928" t="str">
        <f>'预评函-3'!A20</f>
        <v>刘梅</v>
      </c>
    </row>
    <row r="70" spans="1:2">
      <c r="A70" s="2916" t="s">
        <v>2706</v>
      </c>
      <c r="B70" s="2923">
        <f ca="1">'预评函-3'!B20</f>
        <v>2008110059</v>
      </c>
    </row>
    <row r="71" spans="1:2">
      <c r="A71" s="2916" t="s">
        <v>2707</v>
      </c>
      <c r="B71" s="2917" t="str">
        <f>'预评函-3'!A21</f>
        <v>吴薇</v>
      </c>
    </row>
    <row r="72" spans="1:2" s="2931" customFormat="1" ht="15" thickBot="1">
      <c r="A72" s="2938" t="s">
        <v>2707</v>
      </c>
      <c r="B72" s="2944">
        <f ca="1">'预评函-3'!B21</f>
        <v>2002110125</v>
      </c>
    </row>
    <row r="73" spans="1:2" ht="15" thickTop="1">
      <c r="A73" s="2927" t="s">
        <v>2766</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2767</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2768</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2803</v>
      </c>
      <c r="B76" s="292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E12" sqref="E12"/>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4" t="s">
        <v>1946</v>
      </c>
      <c r="B1" s="3206" t="str">
        <f>IF(B10="北京市","北京市",C10)&amp;F10&amp;B16&amp;"国有建设用地使用权"&amp;B9&amp;"预评估"</f>
        <v>海口市海南省海口市海甸岛西北部1902地块1宗批发零售用地出让国有建设用地使用权抵押价格预评估</v>
      </c>
      <c r="C1" s="3207"/>
      <c r="D1" s="3207"/>
      <c r="E1" s="3207"/>
      <c r="F1" s="3207"/>
      <c r="G1" s="3207"/>
      <c r="H1" s="3207"/>
      <c r="I1" s="3208"/>
      <c r="J1" s="1698"/>
      <c r="K1" s="2489" t="str">
        <f>IF(B10="北京市","北京市",C10)&amp;F10&amp;B16&amp;"国有建设用地使用权"&amp;B9</f>
        <v>海口市海南省海口市海甸岛西北部1902地块1宗批发零售用地出让国有建设用地使用权抵押价格</v>
      </c>
      <c r="L1" s="1727"/>
      <c r="M1" s="1727"/>
      <c r="N1" s="1698"/>
      <c r="O1" s="1699"/>
      <c r="P1" s="1698"/>
      <c r="Q1" s="1698"/>
      <c r="R1" s="1698"/>
      <c r="S1" s="1698"/>
      <c r="T1" s="1698"/>
      <c r="U1" s="1698"/>
    </row>
    <row r="2" spans="1:21">
      <c r="A2" s="1665" t="s">
        <v>1947</v>
      </c>
      <c r="B2" s="1846"/>
      <c r="D2" s="1698"/>
      <c r="E2" s="1698"/>
      <c r="F2" s="1698"/>
      <c r="G2" s="1698"/>
      <c r="H2" s="1665"/>
      <c r="I2" s="1699"/>
      <c r="J2" s="1698"/>
      <c r="K2" s="2489" t="str">
        <f>IF(B10="北京市","北京市",C10)&amp;F10&amp;B16&amp;"国有建设用地使用权"</f>
        <v>海口市海南省海口市海甸岛西北部1902地块1宗批发零售用地出让国有建设用地使用权</v>
      </c>
      <c r="L2" s="1727"/>
      <c r="M2" s="1727"/>
      <c r="N2" s="1698"/>
      <c r="O2" s="1699"/>
      <c r="P2" s="1698"/>
      <c r="Q2" s="1698"/>
      <c r="R2" s="1698"/>
      <c r="S2" s="1698"/>
      <c r="T2" s="1698"/>
      <c r="U2" s="1698"/>
    </row>
    <row r="3" spans="1:21">
      <c r="A3" s="1666" t="s">
        <v>1948</v>
      </c>
      <c r="B3" s="1667"/>
      <c r="C3" s="1668" t="s">
        <v>2004</v>
      </c>
      <c r="D3" s="1667">
        <v>42912</v>
      </c>
      <c r="E3" s="1698"/>
      <c r="F3" s="1698"/>
      <c r="G3" s="1698"/>
      <c r="H3" s="1665"/>
      <c r="I3" s="1699"/>
      <c r="J3" s="1698"/>
      <c r="K3" s="1778"/>
      <c r="L3" s="1727"/>
      <c r="M3" s="1727"/>
      <c r="N3" s="1698"/>
      <c r="O3" s="1699"/>
      <c r="P3" s="1698"/>
      <c r="Q3" s="1698"/>
      <c r="R3" s="1698"/>
      <c r="S3" s="1698"/>
      <c r="T3" s="1698"/>
      <c r="U3" s="1698"/>
    </row>
    <row r="4" spans="1:21" ht="15" thickBot="1">
      <c r="A4" s="1669" t="s">
        <v>1949</v>
      </c>
      <c r="B4" s="1847" t="s">
        <v>3174</v>
      </c>
      <c r="C4" s="1850">
        <f ca="1">SUMIF(土地估价师,B4,估价师及机构信息!E3:E24)</f>
        <v>2008110059</v>
      </c>
      <c r="D4" s="1847" t="s">
        <v>3175</v>
      </c>
      <c r="E4" s="1850">
        <f ca="1">SUMIF(土地估价师,D4,估价师及机构信息!E3:E24)</f>
        <v>2002110125</v>
      </c>
      <c r="F4" s="1847" t="s">
        <v>954</v>
      </c>
      <c r="G4" s="1850">
        <f>SUMIF(土地估价师,F4,估价师及机构信息!E3:E24)</f>
        <v>0</v>
      </c>
      <c r="H4" s="1847" t="s">
        <v>954</v>
      </c>
      <c r="I4" s="1850">
        <f>SUMIF(土地估价师,H4,估价师及机构信息!E3:E24)</f>
        <v>0</v>
      </c>
      <c r="J4" s="1698"/>
      <c r="K4" s="2489" t="str">
        <f>IF(AND(F4="——",H4="——"),B4&amp;"、"&amp;D4,IF(AND(F4&lt;&gt;"——",H4="——"),B4&amp;"、"&amp;D4&amp;"、"&amp;F4,B4&amp;"、"&amp;D4&amp;"、"&amp;F4&amp;"、"&amp;H4))</f>
        <v>刘梅、吴薇</v>
      </c>
      <c r="L4" s="1727"/>
      <c r="M4" s="1727"/>
      <c r="N4" s="1698"/>
      <c r="O4" s="1699"/>
      <c r="P4" s="1698"/>
      <c r="Q4" s="1698"/>
      <c r="R4" s="1698"/>
      <c r="S4" s="1698"/>
      <c r="T4" s="1698"/>
      <c r="U4" s="1698"/>
    </row>
    <row r="5" spans="1:21" ht="15" thickTop="1">
      <c r="A5" s="1670" t="s">
        <v>1950</v>
      </c>
      <c r="B5" s="1793" t="s">
        <v>3168</v>
      </c>
      <c r="C5" s="1671"/>
      <c r="D5" s="1672"/>
      <c r="E5" s="1698"/>
      <c r="F5" s="1698"/>
      <c r="G5" s="1698"/>
      <c r="H5" s="1665"/>
      <c r="I5" s="1699"/>
      <c r="J5" s="1698"/>
      <c r="K5" s="1778"/>
      <c r="L5" s="1727"/>
      <c r="M5" s="1727"/>
      <c r="N5" s="1698"/>
      <c r="O5" s="1699"/>
      <c r="P5" s="1698"/>
      <c r="Q5" s="1698"/>
      <c r="R5" s="1698"/>
      <c r="S5" s="1698"/>
      <c r="T5" s="1698"/>
      <c r="U5" s="1698"/>
    </row>
    <row r="6" spans="1:21" ht="26.25">
      <c r="A6" s="1668" t="s">
        <v>2722</v>
      </c>
      <c r="B6" s="1793" t="s">
        <v>3169</v>
      </c>
      <c r="C6" s="1765"/>
      <c r="D6" s="1673"/>
      <c r="E6" s="1698"/>
      <c r="F6" s="1698"/>
      <c r="G6" s="1698"/>
      <c r="H6" s="1665"/>
      <c r="I6" s="1699"/>
      <c r="J6" s="1698"/>
      <c r="K6" s="3094" t="str">
        <f>IF(COUNTIF(B6,"*上海银行*"),"上海银行","")</f>
        <v/>
      </c>
      <c r="L6" s="1727"/>
      <c r="M6" s="1727"/>
      <c r="N6" s="1698"/>
      <c r="O6" s="1699"/>
      <c r="P6" s="1698"/>
      <c r="Q6" s="1698"/>
      <c r="R6" s="1698"/>
      <c r="S6" s="1698"/>
      <c r="T6" s="1698"/>
      <c r="U6" s="1698"/>
    </row>
    <row r="7" spans="1:21">
      <c r="A7" s="1674" t="s">
        <v>2723</v>
      </c>
      <c r="B7" s="1793" t="s">
        <v>3168</v>
      </c>
      <c r="C7" s="1765"/>
      <c r="D7" s="1673"/>
      <c r="E7" s="1698"/>
      <c r="F7" s="1698"/>
      <c r="G7" s="1698"/>
      <c r="H7" s="1665"/>
      <c r="I7" s="1699"/>
      <c r="J7" s="1698"/>
      <c r="K7" s="1778"/>
      <c r="L7" s="1727"/>
      <c r="M7" s="1727"/>
      <c r="N7" s="1698"/>
      <c r="O7" s="1699"/>
      <c r="P7" s="1698"/>
      <c r="Q7" s="1698"/>
      <c r="R7" s="1698"/>
      <c r="S7" s="1698"/>
      <c r="T7" s="1698"/>
      <c r="U7" s="1698"/>
    </row>
    <row r="8" spans="1:21">
      <c r="A8" s="1674" t="s">
        <v>1951</v>
      </c>
      <c r="B8" s="1675" t="s">
        <v>3170</v>
      </c>
      <c r="C8" s="1676"/>
      <c r="D8" s="3212" t="s">
        <v>1953</v>
      </c>
      <c r="E8" s="1848" t="s">
        <v>2005</v>
      </c>
      <c r="F8" s="1677"/>
      <c r="G8" s="1665"/>
      <c r="H8" s="1665"/>
      <c r="I8" s="1711"/>
      <c r="J8" s="1698"/>
      <c r="K8" s="1778"/>
      <c r="L8" s="1727"/>
      <c r="M8" s="1727"/>
      <c r="N8" s="1698"/>
      <c r="O8" s="1699"/>
      <c r="P8" s="1698"/>
      <c r="Q8" s="1698"/>
      <c r="R8" s="1698"/>
      <c r="S8" s="1698"/>
      <c r="T8" s="1698"/>
      <c r="U8" s="1698"/>
    </row>
    <row r="9" spans="1:21" ht="15" thickBot="1">
      <c r="A9" s="1678" t="s">
        <v>1952</v>
      </c>
      <c r="B9" s="1679" t="s">
        <v>2005</v>
      </c>
      <c r="C9" s="1680"/>
      <c r="D9" s="3213"/>
      <c r="E9" s="1679" t="s">
        <v>954</v>
      </c>
      <c r="F9" s="1751"/>
      <c r="G9" s="1746"/>
      <c r="H9" s="1746"/>
      <c r="I9" s="1747"/>
      <c r="J9" s="1698"/>
      <c r="K9" s="1778"/>
      <c r="L9" s="1727"/>
      <c r="M9" s="1727"/>
      <c r="N9" s="1698"/>
      <c r="O9" s="1699"/>
      <c r="P9" s="1698"/>
      <c r="Q9" s="1698"/>
      <c r="R9" s="1698"/>
      <c r="S9" s="1698"/>
      <c r="T9" s="1698"/>
      <c r="U9" s="1698"/>
    </row>
    <row r="10" spans="1:21" ht="15" thickTop="1">
      <c r="A10" s="1748" t="s">
        <v>2009</v>
      </c>
      <c r="B10" s="1723" t="s">
        <v>3088</v>
      </c>
      <c r="C10" s="1681" t="s">
        <v>3089</v>
      </c>
      <c r="D10" s="1672"/>
      <c r="E10" s="1682" t="s">
        <v>1955</v>
      </c>
      <c r="F10" s="1683" t="s">
        <v>3165</v>
      </c>
      <c r="G10" s="1749"/>
      <c r="H10" s="1750"/>
      <c r="I10" s="1672"/>
      <c r="J10" s="1698"/>
      <c r="K10" s="1778"/>
      <c r="L10" s="1727"/>
      <c r="M10" s="1727"/>
      <c r="N10" s="1698"/>
      <c r="O10" s="1699"/>
      <c r="P10" s="1698"/>
      <c r="Q10" s="1698"/>
      <c r="R10" s="1698"/>
      <c r="S10" s="1698"/>
      <c r="T10" s="1698"/>
      <c r="U10" s="1698"/>
    </row>
    <row r="11" spans="1:21">
      <c r="A11" s="1701" t="s">
        <v>2010</v>
      </c>
      <c r="B11" s="1702" t="s">
        <v>3166</v>
      </c>
      <c r="C11" s="1793" t="s">
        <v>3168</v>
      </c>
      <c r="D11" s="1766"/>
      <c r="E11" s="1665"/>
      <c r="F11" s="1665"/>
      <c r="G11" s="1665"/>
      <c r="H11" s="1665"/>
      <c r="I11" s="1665"/>
      <c r="J11" s="1698"/>
      <c r="K11" s="1778"/>
      <c r="L11" s="1727"/>
      <c r="M11" s="1727"/>
      <c r="N11" s="1698"/>
      <c r="O11" s="1699"/>
      <c r="P11" s="1698"/>
      <c r="Q11" s="1698"/>
      <c r="R11" s="1698"/>
      <c r="S11" s="1698"/>
      <c r="T11" s="1698"/>
      <c r="U11" s="1698"/>
    </row>
    <row r="12" spans="1:21">
      <c r="A12" s="1789" t="s">
        <v>2068</v>
      </c>
      <c r="B12" s="3209" t="s">
        <v>3167</v>
      </c>
      <c r="C12" s="3210"/>
      <c r="D12" s="3211"/>
      <c r="E12" s="1703" t="s">
        <v>2071</v>
      </c>
      <c r="F12" s="3227" t="s">
        <v>2905</v>
      </c>
      <c r="G12" s="3228"/>
      <c r="H12" s="3228"/>
      <c r="I12" s="3229"/>
      <c r="J12" s="1698"/>
      <c r="K12" s="1778"/>
      <c r="L12" s="1727"/>
      <c r="M12" s="1727"/>
      <c r="N12" s="1698"/>
      <c r="O12" s="1699"/>
      <c r="P12" s="1698"/>
      <c r="Q12" s="1698"/>
      <c r="R12" s="1698"/>
      <c r="S12" s="1698"/>
      <c r="T12" s="1698"/>
      <c r="U12" s="1698"/>
    </row>
    <row r="13" spans="1:21">
      <c r="A13" s="1691" t="s">
        <v>2069</v>
      </c>
      <c r="B13" s="3209" t="s">
        <v>3167</v>
      </c>
      <c r="C13" s="3210"/>
      <c r="D13" s="3211"/>
      <c r="E13" s="1703" t="s">
        <v>2071</v>
      </c>
      <c r="F13" s="3227" t="s">
        <v>2906</v>
      </c>
      <c r="G13" s="3228"/>
      <c r="H13" s="3228"/>
      <c r="I13" s="3229"/>
      <c r="J13" s="1698"/>
      <c r="K13" s="1778"/>
      <c r="L13" s="1727"/>
      <c r="M13" s="1727"/>
      <c r="N13" s="1698"/>
      <c r="O13" s="1699"/>
      <c r="P13" s="1698"/>
      <c r="Q13" s="1698"/>
      <c r="R13" s="1698"/>
      <c r="S13" s="1698"/>
      <c r="T13" s="1698"/>
      <c r="U13" s="1698"/>
    </row>
    <row r="14" spans="1:21">
      <c r="A14" s="1666" t="s">
        <v>2072</v>
      </c>
      <c r="B14" s="1703"/>
      <c r="C14" s="1849" t="s">
        <v>3171</v>
      </c>
      <c r="D14" s="1737" t="str">
        <f>IF(C14="不一致","是否符合证载地类范围","")</f>
        <v/>
      </c>
      <c r="E14" s="1703"/>
      <c r="F14" s="1794" t="s">
        <v>3172</v>
      </c>
      <c r="G14" s="1732"/>
      <c r="H14" s="1732"/>
      <c r="I14" s="1841"/>
      <c r="J14" s="1698"/>
      <c r="K14" s="1778"/>
      <c r="L14" s="1727"/>
      <c r="M14" s="1727"/>
      <c r="N14" s="1698"/>
      <c r="O14" s="1699"/>
      <c r="P14" s="1698"/>
      <c r="Q14" s="1698"/>
      <c r="R14" s="1698"/>
      <c r="S14" s="1698"/>
      <c r="T14" s="1698"/>
      <c r="U14" s="1698"/>
    </row>
    <row r="15" spans="1:21" hidden="1">
      <c r="A15" s="2680"/>
      <c r="B15" s="1668"/>
      <c r="C15" s="1668"/>
      <c r="D15" s="1770" t="s">
        <v>1958</v>
      </c>
      <c r="E15" s="1770" t="s">
        <v>1959</v>
      </c>
      <c r="F15" s="1770" t="s">
        <v>1960</v>
      </c>
      <c r="G15" s="1690" t="s">
        <v>1961</v>
      </c>
      <c r="H15" s="1690" t="s">
        <v>1962</v>
      </c>
      <c r="I15" s="1690" t="s">
        <v>1963</v>
      </c>
      <c r="J15" s="1698"/>
      <c r="K15" s="1778"/>
      <c r="L15" s="1727"/>
      <c r="M15" s="1727"/>
      <c r="N15" s="1698"/>
      <c r="O15" s="1699"/>
      <c r="P15" s="1698"/>
      <c r="Q15" s="1698"/>
      <c r="R15" s="1698"/>
      <c r="S15" s="1698"/>
      <c r="T15" s="1698"/>
      <c r="U15" s="1698"/>
    </row>
    <row r="16" spans="1:21" ht="42.75">
      <c r="A16" s="1684" t="s">
        <v>1956</v>
      </c>
      <c r="B16" s="1685" t="s">
        <v>3063</v>
      </c>
      <c r="C16" s="1703" t="s">
        <v>1957</v>
      </c>
      <c r="D16" s="2681" t="s">
        <v>1958</v>
      </c>
      <c r="E16" s="1726" t="s">
        <v>3062</v>
      </c>
      <c r="F16" s="1726"/>
      <c r="G16" s="1726"/>
      <c r="H16" s="1726"/>
      <c r="I16" s="1690" t="s">
        <v>1963</v>
      </c>
      <c r="J16" s="1698"/>
      <c r="K16" s="2490" t="str">
        <f>IF(D17="","",D16&amp;TEXT(D17,"yyyy年m月d日;;"))</f>
        <v/>
      </c>
      <c r="L16" s="1703" t="str">
        <f>IF(OR(K16="",M16=""),"","、")</f>
        <v/>
      </c>
      <c r="M16" s="2490" t="str">
        <f>IF(E17="","",E16&amp;TEXT(E17,"yyyy年m月d日;;"))</f>
        <v>商业2045年11月14日</v>
      </c>
      <c r="N16" s="1703" t="str">
        <f>IF(OR(M16="",O16=""),"","、")</f>
        <v/>
      </c>
      <c r="O16" s="2490" t="str">
        <f>IF(F17="","",F16&amp;TEXT(F17,"yyyy年m月d日;;"))</f>
        <v/>
      </c>
      <c r="P16" s="1703" t="str">
        <f>IF(OR(O16="",Q16=""),"","、")</f>
        <v/>
      </c>
      <c r="Q16" s="2490" t="str">
        <f>IF(G17="","",G16&amp;TEXT(G17,"yyyy年m月d日;;"))</f>
        <v/>
      </c>
      <c r="R16" s="1703" t="str">
        <f>IF(OR(Q16="",S16=""),"","、")</f>
        <v/>
      </c>
      <c r="S16" s="2490" t="str">
        <f>IF(H17="","",H16&amp;TEXT(H17,"yyyy年m月d日;;"))</f>
        <v/>
      </c>
      <c r="T16" s="1703" t="str">
        <f>IF(OR(S16="",U16=""),"","、")</f>
        <v/>
      </c>
      <c r="U16" s="2490" t="str">
        <f>IF(I17="","",I16&amp;TEXT(I17,"yyyy年m月d日;;"))</f>
        <v/>
      </c>
    </row>
    <row r="17" spans="1:21">
      <c r="A17" s="1767"/>
      <c r="B17" s="1686"/>
      <c r="C17" s="1687" t="s">
        <v>1964</v>
      </c>
      <c r="D17" s="1704"/>
      <c r="E17" s="1704">
        <v>53280</v>
      </c>
      <c r="F17" s="1704"/>
      <c r="G17" s="1704"/>
      <c r="H17" s="1704"/>
      <c r="I17" s="1704"/>
      <c r="J17" s="1698"/>
      <c r="K17" s="2489" t="str">
        <f>CONCATENATE(K16,L16,M16,N16,O16,P16,Q16,R16,S16,T16,,U16)</f>
        <v>商业2045年11月14日</v>
      </c>
      <c r="L17" s="1727"/>
      <c r="M17" s="1727"/>
      <c r="N17" s="1698"/>
      <c r="O17" s="1699"/>
      <c r="P17" s="1698"/>
      <c r="Q17" s="1698"/>
      <c r="R17" s="1698"/>
      <c r="S17" s="1698"/>
      <c r="T17" s="1698"/>
      <c r="U17" s="1698"/>
    </row>
    <row r="18" spans="1:21">
      <c r="A18" s="1767"/>
      <c r="B18" s="1686"/>
      <c r="C18" s="1687" t="s">
        <v>1965</v>
      </c>
      <c r="D18" s="1688">
        <v>70</v>
      </c>
      <c r="E18" s="1688">
        <v>40</v>
      </c>
      <c r="F18" s="1688"/>
      <c r="G18" s="1688"/>
      <c r="H18" s="1688"/>
      <c r="I18" s="1688">
        <v>50</v>
      </c>
      <c r="J18" s="1698"/>
      <c r="K18" s="1778"/>
      <c r="L18" s="1727"/>
      <c r="M18" s="1727"/>
      <c r="N18" s="1698"/>
      <c r="O18" s="1699"/>
      <c r="P18" s="1698"/>
      <c r="Q18" s="1698"/>
      <c r="R18" s="1698"/>
      <c r="S18" s="1698"/>
      <c r="T18" s="1698"/>
      <c r="U18" s="1698"/>
    </row>
    <row r="19" spans="1:21">
      <c r="A19" s="1767"/>
      <c r="B19" s="1686"/>
      <c r="C19" s="1665" t="s">
        <v>1966</v>
      </c>
      <c r="D19" s="1762" t="str">
        <f>IF(B16="出让",IF(D17="","",ROUNDDOWN(MIN((D17-$D$3)/365,D18),2)),D18)</f>
        <v/>
      </c>
      <c r="E19" s="1689">
        <f>IF(B16="出让",IF(E17="","",ROUNDDOWN(MIN((E17-$D$3)/365,E18),2)),E18)</f>
        <v>28.4</v>
      </c>
      <c r="F19" s="1689" t="str">
        <f>IF(B16="出让",IF(F17="","",ROUNDDOWN(MIN((F17-$D$3)/365,F18),2)),F18)</f>
        <v/>
      </c>
      <c r="G19" s="1689" t="str">
        <f>IF(B16="出让",IF(G17="","",ROUNDDOWN(MIN((G17-$D$3)/365,G18),2)),G18)</f>
        <v/>
      </c>
      <c r="H19" s="1689" t="str">
        <f>IF(B16="出让",IF(H17="","",ROUNDDOWN(MIN((H17-$D$3)/365,H18),2)),H18)</f>
        <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2070</v>
      </c>
      <c r="D20" s="3224"/>
      <c r="E20" s="3225"/>
      <c r="F20" s="3225"/>
      <c r="G20" s="3225"/>
      <c r="H20" s="3225"/>
      <c r="I20" s="3226"/>
      <c r="J20" s="1698"/>
      <c r="K20" s="1778"/>
      <c r="L20" s="1727"/>
      <c r="M20" s="1727"/>
      <c r="N20" s="1698"/>
      <c r="O20" s="1699"/>
      <c r="P20" s="1698"/>
      <c r="Q20" s="1698"/>
      <c r="R20" s="1698"/>
      <c r="S20" s="1698"/>
      <c r="T20" s="1698"/>
      <c r="U20" s="1698"/>
    </row>
    <row r="21" spans="1:21">
      <c r="A21" s="1767" t="s">
        <v>1967</v>
      </c>
      <c r="B21" s="1768" t="s">
        <v>1968</v>
      </c>
      <c r="C21" s="1763">
        <f>'数据-汇总表'!E3</f>
        <v>129001.58</v>
      </c>
      <c r="D21" s="1764" t="s">
        <v>1969</v>
      </c>
      <c r="E21" s="3214" t="s">
        <v>2008</v>
      </c>
      <c r="F21" s="3215"/>
      <c r="G21" s="3215"/>
      <c r="H21" s="3215"/>
      <c r="I21" s="3216"/>
      <c r="J21" s="1698"/>
      <c r="K21" s="1778"/>
      <c r="L21" s="1727"/>
      <c r="M21" s="1727"/>
      <c r="N21" s="1698"/>
      <c r="O21" s="1699"/>
      <c r="P21" s="1698"/>
      <c r="Q21" s="1698"/>
      <c r="R21" s="1698"/>
      <c r="S21" s="1698"/>
      <c r="T21" s="1698"/>
      <c r="U21" s="1698"/>
    </row>
    <row r="22" spans="1:21">
      <c r="A22" s="2672" t="s">
        <v>954</v>
      </c>
      <c r="B22" s="1666" t="s">
        <v>1970</v>
      </c>
      <c r="C22" s="1690">
        <f>'数据-汇总表'!D3</f>
        <v>70250.03</v>
      </c>
      <c r="D22" s="1691" t="s">
        <v>1969</v>
      </c>
      <c r="E22" s="3214" t="s">
        <v>2907</v>
      </c>
      <c r="F22" s="3215"/>
      <c r="G22" s="3215"/>
      <c r="H22" s="3215"/>
      <c r="I22" s="3216"/>
      <c r="J22" s="1698"/>
      <c r="K22" s="1778"/>
      <c r="L22" s="1727"/>
      <c r="M22" s="1727"/>
      <c r="N22" s="1698"/>
      <c r="O22" s="1699"/>
      <c r="P22" s="1698"/>
      <c r="Q22" s="1698"/>
      <c r="R22" s="1698"/>
      <c r="S22" s="1698"/>
      <c r="T22" s="1698"/>
      <c r="U22" s="1698"/>
    </row>
    <row r="23" spans="1:21" ht="43.5" thickBot="1">
      <c r="A23" s="1769" t="s">
        <v>1971</v>
      </c>
      <c r="B23" s="1705" t="s">
        <v>1972</v>
      </c>
      <c r="C23" s="1706"/>
      <c r="D23" s="1707" t="s">
        <v>1973</v>
      </c>
      <c r="E23" s="1708"/>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1974</v>
      </c>
      <c r="B24" s="3217" t="s">
        <v>1975</v>
      </c>
      <c r="C24" s="3218"/>
      <c r="D24" s="3219" t="s">
        <v>1976</v>
      </c>
      <c r="E24" s="3220"/>
      <c r="F24" s="1712" t="s">
        <v>1977</v>
      </c>
      <c r="G24" s="1698"/>
      <c r="H24" s="1698"/>
      <c r="I24" s="1711"/>
      <c r="J24" s="1698"/>
      <c r="K24" s="3205" t="s">
        <v>1978</v>
      </c>
      <c r="L24" s="249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7"/>
      <c r="N24" s="1698"/>
      <c r="O24" s="1699"/>
      <c r="P24" s="1698"/>
      <c r="Q24" s="1698"/>
      <c r="R24" s="1698"/>
      <c r="S24" s="1698"/>
      <c r="T24" s="1698"/>
      <c r="U24" s="1698"/>
    </row>
    <row r="25" spans="1:21" ht="28.5">
      <c r="A25" s="1755"/>
      <c r="B25" s="1752" t="s">
        <v>2336</v>
      </c>
      <c r="C25" s="1713" t="s">
        <v>1979</v>
      </c>
      <c r="D25" s="1714"/>
      <c r="E25" s="1715" t="s">
        <v>954</v>
      </c>
      <c r="F25" s="1716"/>
      <c r="G25" s="1698"/>
      <c r="H25" s="1698"/>
      <c r="I25" s="1711"/>
      <c r="J25" s="1698"/>
      <c r="K25" s="3205"/>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1980</v>
      </c>
      <c r="C26" s="1713" t="s">
        <v>2337</v>
      </c>
      <c r="D26" s="1665"/>
      <c r="E26" s="1665"/>
      <c r="F26" s="1692"/>
      <c r="G26" s="1698"/>
      <c r="H26" s="1698"/>
      <c r="I26" s="1711"/>
      <c r="J26" s="1698"/>
      <c r="K26" s="3205"/>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1981</v>
      </c>
      <c r="B27" s="1757" t="s">
        <v>1982</v>
      </c>
      <c r="C27" s="1717"/>
      <c r="D27" s="2686" t="s">
        <v>1982</v>
      </c>
      <c r="E27" s="1718"/>
      <c r="F27" s="1692"/>
      <c r="G27" s="1698"/>
      <c r="H27" s="1698"/>
      <c r="I27" s="1711"/>
      <c r="J27" s="1698"/>
      <c r="K27" s="1778"/>
      <c r="L27" s="1727"/>
      <c r="M27" s="1727"/>
      <c r="N27" s="1698"/>
      <c r="O27" s="1699"/>
      <c r="P27" s="1698"/>
      <c r="Q27" s="1698"/>
      <c r="R27" s="1698"/>
      <c r="S27" s="1698"/>
      <c r="T27" s="1698"/>
      <c r="U27" s="1698"/>
    </row>
    <row r="28" spans="1:21">
      <c r="A28" s="1760"/>
      <c r="B28" s="1757" t="s">
        <v>1983</v>
      </c>
      <c r="C28" s="1719"/>
      <c r="D28" s="2687" t="s">
        <v>1983</v>
      </c>
      <c r="E28" s="1720"/>
      <c r="F28" s="1692"/>
      <c r="G28" s="1698"/>
      <c r="H28" s="1698"/>
      <c r="I28" s="1711"/>
      <c r="J28" s="1698"/>
      <c r="K28" s="1778"/>
      <c r="L28" s="1727"/>
      <c r="M28" s="1727"/>
      <c r="N28" s="1698"/>
      <c r="O28" s="1699"/>
      <c r="P28" s="1698"/>
      <c r="Q28" s="1698"/>
      <c r="R28" s="1698"/>
      <c r="S28" s="1698"/>
      <c r="T28" s="1698"/>
      <c r="U28" s="1698"/>
    </row>
    <row r="29" spans="1:21">
      <c r="A29" s="1760"/>
      <c r="B29" s="1757" t="s">
        <v>1984</v>
      </c>
      <c r="C29" s="1719"/>
      <c r="D29" s="2687" t="s">
        <v>1984</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1985</v>
      </c>
      <c r="C30" s="1721"/>
      <c r="D30" s="2688" t="s">
        <v>1985</v>
      </c>
      <c r="E30" s="1722"/>
      <c r="F30" s="1693"/>
      <c r="G30" s="1746"/>
      <c r="H30" s="1746"/>
      <c r="I30" s="1747"/>
      <c r="J30" s="1698"/>
      <c r="K30" s="1778"/>
      <c r="L30" s="1727"/>
      <c r="M30" s="1727"/>
      <c r="N30" s="1698"/>
      <c r="O30" s="1699"/>
      <c r="P30" s="1698"/>
      <c r="Q30" s="1698"/>
      <c r="R30" s="1698"/>
      <c r="S30" s="1698"/>
      <c r="T30" s="1698"/>
      <c r="U30" s="1698"/>
    </row>
    <row r="31" spans="1:21" ht="15" thickTop="1">
      <c r="A31" s="3232" t="s">
        <v>2011</v>
      </c>
      <c r="B31" s="1768" t="s">
        <v>2012</v>
      </c>
      <c r="C31" s="3230"/>
      <c r="D31" s="3231"/>
      <c r="E31" s="1698"/>
      <c r="F31" s="1698"/>
      <c r="G31" s="1698"/>
      <c r="H31" s="1698"/>
      <c r="I31" s="1711"/>
      <c r="J31" s="1698"/>
      <c r="K31" s="2492"/>
      <c r="L31" s="1698"/>
      <c r="M31" s="1698"/>
      <c r="N31" s="1698"/>
      <c r="O31" s="1698"/>
      <c r="P31" s="1698"/>
      <c r="Q31" s="1698"/>
      <c r="R31" s="1698"/>
      <c r="S31" s="1698"/>
      <c r="T31" s="1698"/>
      <c r="U31" s="1698"/>
    </row>
    <row r="32" spans="1:21">
      <c r="A32" s="3232"/>
      <c r="B32" s="1666" t="s">
        <v>2013</v>
      </c>
      <c r="C32" s="1723"/>
      <c r="D32" s="1724"/>
      <c r="E32" s="1698"/>
      <c r="F32" s="1698"/>
      <c r="G32" s="1698"/>
      <c r="H32" s="1698"/>
      <c r="I32" s="1711"/>
      <c r="J32" s="1698"/>
      <c r="K32" s="2492"/>
      <c r="L32" s="1698"/>
      <c r="M32" s="1698"/>
      <c r="N32" s="1698"/>
      <c r="O32" s="1698"/>
      <c r="P32" s="1698"/>
      <c r="Q32" s="1698"/>
      <c r="R32" s="1698"/>
      <c r="S32" s="1698"/>
      <c r="T32" s="1698"/>
      <c r="U32" s="1698"/>
    </row>
    <row r="33" spans="1:21">
      <c r="A33" s="3232"/>
      <c r="B33" s="1666" t="s">
        <v>2014</v>
      </c>
      <c r="C33" s="1725"/>
      <c r="D33" s="1842"/>
      <c r="E33" s="1698"/>
      <c r="F33" s="1698"/>
      <c r="G33" s="1698"/>
      <c r="H33" s="1698"/>
      <c r="I33" s="1711"/>
      <c r="J33" s="1698"/>
      <c r="K33" s="2492"/>
      <c r="L33" s="1698"/>
      <c r="M33" s="1698"/>
      <c r="N33" s="1698"/>
      <c r="O33" s="1698"/>
      <c r="P33" s="1698"/>
      <c r="Q33" s="1698"/>
      <c r="R33" s="1698"/>
      <c r="S33" s="1698"/>
      <c r="T33" s="1698"/>
      <c r="U33" s="1698"/>
    </row>
    <row r="34" spans="1:21">
      <c r="A34" s="3233"/>
      <c r="B34" s="1666" t="s">
        <v>2015</v>
      </c>
      <c r="C34" s="3234"/>
      <c r="D34" s="3235"/>
      <c r="E34" s="1698"/>
      <c r="F34" s="1698"/>
      <c r="G34" s="1698"/>
      <c r="H34" s="1698"/>
      <c r="I34" s="1711"/>
      <c r="J34" s="1698"/>
      <c r="K34" s="2492"/>
      <c r="L34" s="1698"/>
      <c r="M34" s="1698"/>
      <c r="N34" s="1698"/>
      <c r="O34" s="1698"/>
      <c r="P34" s="1698"/>
      <c r="Q34" s="1698"/>
      <c r="R34" s="1698"/>
      <c r="S34" s="1698"/>
      <c r="T34" s="1698"/>
      <c r="U34" s="1698"/>
    </row>
    <row r="35" spans="1:21">
      <c r="A35" s="3236" t="s">
        <v>849</v>
      </c>
      <c r="B35" s="1726"/>
      <c r="C35" s="1780" t="str">
        <f>IF(B35="场地平整","——","具体情况：")</f>
        <v>具体情况：</v>
      </c>
      <c r="D35" s="3238"/>
      <c r="E35" s="3239"/>
      <c r="F35" s="3239"/>
      <c r="G35" s="3239"/>
      <c r="H35" s="3239"/>
      <c r="I35" s="3240"/>
      <c r="J35" s="1698"/>
      <c r="K35" s="1779"/>
      <c r="L35" s="1727"/>
      <c r="M35" s="1727"/>
      <c r="N35" s="1698"/>
      <c r="O35" s="1699"/>
      <c r="P35" s="1698"/>
      <c r="Q35" s="1698"/>
      <c r="R35" s="1698"/>
      <c r="S35" s="1698"/>
      <c r="T35" s="1698"/>
      <c r="U35" s="1698"/>
    </row>
    <row r="36" spans="1:21">
      <c r="A36" s="3232"/>
      <c r="B36" s="3241" t="s">
        <v>2064</v>
      </c>
      <c r="C36" s="3242"/>
      <c r="D36" s="1796"/>
      <c r="E36" s="3243"/>
      <c r="F36" s="3243"/>
      <c r="G36" s="1691" t="str">
        <f>IF(B35="场地未平整","估价结果处理","")</f>
        <v/>
      </c>
      <c r="H36" s="3244"/>
      <c r="I36" s="3244"/>
      <c r="J36" s="1698"/>
      <c r="K36" s="1779"/>
      <c r="L36" s="1727"/>
      <c r="M36" s="1727"/>
      <c r="N36" s="1698"/>
      <c r="O36" s="1699"/>
      <c r="P36" s="1698"/>
      <c r="Q36" s="1698"/>
      <c r="R36" s="1698"/>
      <c r="S36" s="1698"/>
      <c r="T36" s="1698"/>
      <c r="U36" s="1698"/>
    </row>
    <row r="37" spans="1:21" ht="28.5">
      <c r="A37" s="3232"/>
      <c r="B37" s="3221" t="s">
        <v>850</v>
      </c>
      <c r="C37" s="1728" t="s">
        <v>851</v>
      </c>
      <c r="D37" s="1729"/>
      <c r="E37" s="1730"/>
      <c r="F37" s="1698"/>
      <c r="G37" s="1698"/>
      <c r="H37" s="1698"/>
      <c r="I37" s="1711"/>
      <c r="J37" s="1698"/>
      <c r="K37" s="1779"/>
      <c r="L37" s="1698"/>
      <c r="M37" s="1698"/>
      <c r="N37" s="1698"/>
      <c r="O37" s="1698"/>
      <c r="P37" s="1698"/>
      <c r="Q37" s="1698"/>
      <c r="R37" s="1698"/>
      <c r="S37" s="1698"/>
      <c r="T37" s="1698"/>
      <c r="U37" s="1698"/>
    </row>
    <row r="38" spans="1:21">
      <c r="A38" s="3232"/>
      <c r="B38" s="3222"/>
      <c r="C38" s="1674" t="s">
        <v>852</v>
      </c>
      <c r="D38" s="1795">
        <f>ROUNDDOWN(MIN(('数据-取费表'!$B$2-D37)/365,D34),1)</f>
        <v>117.5</v>
      </c>
      <c r="E38" s="1731" t="s">
        <v>853</v>
      </c>
      <c r="F38" s="1698"/>
      <c r="G38" s="1698"/>
      <c r="H38" s="1698"/>
      <c r="I38" s="1711"/>
      <c r="J38" s="1698"/>
      <c r="K38" s="1779"/>
      <c r="L38" s="1698"/>
      <c r="M38" s="1698"/>
      <c r="N38" s="1698"/>
      <c r="O38" s="1698"/>
      <c r="P38" s="1698"/>
      <c r="Q38" s="1698"/>
      <c r="R38" s="1698"/>
      <c r="S38" s="1698"/>
      <c r="T38" s="1698"/>
      <c r="U38" s="1698"/>
    </row>
    <row r="39" spans="1:21">
      <c r="A39" s="3233"/>
      <c r="B39" s="3223"/>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1986</v>
      </c>
      <c r="B40" s="1694"/>
      <c r="C40" s="1694"/>
      <c r="D40" s="1694"/>
      <c r="E40" s="1694"/>
      <c r="F40" s="1694"/>
      <c r="G40" s="1694"/>
      <c r="H40" s="1694"/>
      <c r="I40" s="1711"/>
      <c r="J40" s="1698"/>
      <c r="K40" s="1734">
        <f>COUNTIF(B40:H40,"——")</f>
        <v>0</v>
      </c>
      <c r="L40" s="1703" t="s">
        <v>1987</v>
      </c>
      <c r="M40" s="1700" t="s">
        <v>1988</v>
      </c>
      <c r="N40" s="1700" t="s">
        <v>1989</v>
      </c>
      <c r="O40" s="1700" t="s">
        <v>1990</v>
      </c>
      <c r="P40" s="1700" t="s">
        <v>1991</v>
      </c>
      <c r="Q40" s="1700" t="s">
        <v>1992</v>
      </c>
      <c r="R40" s="1700" t="s">
        <v>1993</v>
      </c>
      <c r="S40" s="3204" t="s">
        <v>1994</v>
      </c>
      <c r="T40" s="1735" t="str">
        <f>NUMBERSTRING(7-K40,1)&amp;"通"</f>
        <v>七通</v>
      </c>
      <c r="U40" s="1698"/>
    </row>
    <row r="41" spans="1:21">
      <c r="A41" s="1668"/>
      <c r="B41" s="3237" t="s">
        <v>1724</v>
      </c>
      <c r="C41" s="3237"/>
      <c r="D41" s="3237"/>
      <c r="E41" s="3237"/>
      <c r="F41" s="1736" t="str">
        <f>C10</f>
        <v>海口市</v>
      </c>
      <c r="G41" s="1698"/>
      <c r="H41" s="1698"/>
      <c r="I41" s="1711"/>
      <c r="J41" s="1698"/>
      <c r="K41" s="1703"/>
      <c r="L41" s="1700">
        <f>B40</f>
        <v>0</v>
      </c>
      <c r="M41" s="1737" t="str">
        <f>B40&amp;"、"&amp;C40</f>
        <v>、</v>
      </c>
      <c r="N41" s="1738" t="str">
        <f>B40&amp;"、"&amp;C40&amp;"、"&amp;D40</f>
        <v>、、</v>
      </c>
      <c r="O41" s="1738" t="str">
        <f>B40&amp;"、"&amp;C40&amp;"、"&amp;D40&amp;"、"&amp;E40</f>
        <v>、、、</v>
      </c>
      <c r="P41" s="1738" t="str">
        <f>B40&amp;"、"&amp;C40&amp;"、"&amp;D40&amp;"、"&amp;E40&amp;"、"&amp;F40</f>
        <v>、、、、</v>
      </c>
      <c r="Q41" s="1738" t="str">
        <f>B40&amp;"、"&amp;C40&amp;"、"&amp;D40&amp;"、"&amp;E40&amp;"、"&amp;F40&amp;"、"&amp;G40</f>
        <v>、、、、、</v>
      </c>
      <c r="R41" s="1738" t="str">
        <f>B40&amp;"、"&amp;C40&amp;"、"&amp;D40&amp;"、"&amp;E40&amp;"、"&amp;F40&amp;"、"&amp;G40&amp;"、"&amp;H40</f>
        <v>、、、、、、</v>
      </c>
      <c r="S41" s="3204"/>
      <c r="T41" s="1737" t="str">
        <f>IF(T40="一通",L41,IF(T40="二通",M41,IF(T40="三通",N41,IF(T40="四通",O41,IF(T40="五通",P41,IF(T40="六通",Q41,R41))))))</f>
        <v>、、、、、、</v>
      </c>
      <c r="U41" s="1698"/>
    </row>
    <row r="42" spans="1:21">
      <c r="A42" s="1739"/>
      <c r="B42" s="1770" t="s">
        <v>1901</v>
      </c>
      <c r="C42" s="1770" t="s">
        <v>1902</v>
      </c>
      <c r="D42" s="1770" t="s">
        <v>1903</v>
      </c>
      <c r="E42" s="1703" t="s">
        <v>1904</v>
      </c>
      <c r="F42" s="1740"/>
      <c r="G42" s="1698"/>
      <c r="H42" s="1698"/>
      <c r="I42" s="1711"/>
      <c r="J42" s="1698"/>
      <c r="K42" s="1778"/>
      <c r="L42" s="1727"/>
      <c r="M42" s="1727"/>
      <c r="N42" s="1698"/>
      <c r="O42" s="1699"/>
      <c r="P42" s="1698"/>
      <c r="Q42" s="1698"/>
      <c r="R42" s="1698"/>
      <c r="S42" s="1698"/>
      <c r="T42" s="1698"/>
      <c r="U42" s="1698"/>
    </row>
    <row r="43" spans="1:21">
      <c r="A43" s="1741" t="s">
        <v>1709</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1710</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11" customFormat="1" ht="21" thickBot="1">
      <c r="A45" s="3112" t="s">
        <v>2908</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2016</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2017</v>
      </c>
      <c r="B48" s="1690" t="s">
        <v>2018</v>
      </c>
      <c r="C48" s="1690" t="s">
        <v>2019</v>
      </c>
      <c r="D48" s="1690" t="s">
        <v>2020</v>
      </c>
      <c r="E48" s="1690" t="s">
        <v>2021</v>
      </c>
      <c r="F48" s="1690" t="s">
        <v>2022</v>
      </c>
      <c r="G48" s="1690" t="s">
        <v>2023</v>
      </c>
      <c r="H48" s="1690" t="s">
        <v>2024</v>
      </c>
      <c r="I48" s="1690" t="s">
        <v>2025</v>
      </c>
      <c r="J48" s="1776" t="s">
        <v>2026</v>
      </c>
      <c r="K48" s="1770" t="s">
        <v>2027</v>
      </c>
      <c r="L48" s="1770" t="s">
        <v>2028</v>
      </c>
      <c r="M48" s="1770" t="s">
        <v>2029</v>
      </c>
      <c r="N48" s="1690" t="s">
        <v>2030</v>
      </c>
      <c r="O48" s="1690" t="s">
        <v>2031</v>
      </c>
      <c r="P48" s="1690" t="s">
        <v>2032</v>
      </c>
      <c r="Q48" s="1703" t="s">
        <v>2033</v>
      </c>
      <c r="R48" s="1703" t="s">
        <v>2034</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2344</v>
      </c>
      <c r="BA2" s="2370" t="s">
        <v>2343</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70250.03</v>
      </c>
      <c r="B3" s="22">
        <f>IF(C3="否",G5-AT5,G5)</f>
        <v>129001.58</v>
      </c>
      <c r="C3" s="23" t="s">
        <v>3064</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129001.58</v>
      </c>
      <c r="H5" s="27">
        <f t="shared" ref="H5:AT5" si="0">SUM(H13:H641)</f>
        <v>66791.740000000005</v>
      </c>
      <c r="I5" s="27">
        <f t="shared" si="0"/>
        <v>66791.740000000005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62209.84</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62209.84</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129001.58</v>
      </c>
      <c r="BA5" s="29">
        <f t="shared" si="1"/>
        <v>66791.740000000005</v>
      </c>
      <c r="BB5" s="29">
        <f t="shared" si="1"/>
        <v>66791.740000000005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62209.84</v>
      </c>
      <c r="BM5" s="29">
        <f t="shared" si="1"/>
        <v>0</v>
      </c>
      <c r="BN5" s="29">
        <f t="shared" si="1"/>
        <v>0</v>
      </c>
      <c r="BO5" s="29">
        <f t="shared" si="1"/>
        <v>0</v>
      </c>
      <c r="BP5" s="29">
        <f t="shared" si="1"/>
        <v>0</v>
      </c>
      <c r="BQ5" s="29">
        <f t="shared" si="1"/>
        <v>0</v>
      </c>
      <c r="BR5" s="29">
        <f t="shared" si="1"/>
        <v>62209.84</v>
      </c>
      <c r="BS5" s="29">
        <f t="shared" si="1"/>
        <v>0</v>
      </c>
      <c r="BT5" s="30">
        <f t="shared" si="1"/>
        <v>0</v>
      </c>
    </row>
    <row r="6" spans="1:72" s="37" customFormat="1" ht="12.75">
      <c r="A6" s="26" t="s">
        <v>169</v>
      </c>
      <c r="B6" s="31"/>
      <c r="C6" s="31"/>
      <c r="D6" s="32"/>
      <c r="E6" s="27">
        <f>H6+AC6+AT6</f>
        <v>70250.03</v>
      </c>
      <c r="F6" s="27" t="s">
        <v>1</v>
      </c>
      <c r="G6" s="27" t="s">
        <v>2</v>
      </c>
      <c r="H6" s="33">
        <f>SUMIF(I$12:AB$12,"总值",I6:AB6)</f>
        <v>36372.589999999997</v>
      </c>
      <c r="I6" s="27">
        <f t="shared" ref="I6:AB6" si="2">ROUND($A$3*I5/$B$3,2)</f>
        <v>36372.589999999997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33877.440000000002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33877.440000000002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70250.03</v>
      </c>
      <c r="AZ6" s="27" t="s">
        <v>3</v>
      </c>
      <c r="BA6" s="27">
        <f>ROUND($AY$6*BA5/$AZ$5,2)</f>
        <v>36372.589999999997</v>
      </c>
      <c r="BB6" s="27">
        <f>ROUND($AY$6*BB5/$AZ$5,2)</f>
        <v>36372.589999999997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33877.440000000002</v>
      </c>
      <c r="BM6" s="27">
        <f t="shared" si="5"/>
        <v>0</v>
      </c>
      <c r="BN6" s="27">
        <f t="shared" si="5"/>
        <v>0</v>
      </c>
      <c r="BO6" s="27">
        <f t="shared" si="5"/>
        <v>0</v>
      </c>
      <c r="BP6" s="27">
        <f t="shared" si="5"/>
        <v>0</v>
      </c>
      <c r="BQ6" s="27">
        <f t="shared" si="5"/>
        <v>0</v>
      </c>
      <c r="BR6" s="27">
        <f t="shared" si="5"/>
        <v>33877.440000000002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857</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7" t="s">
        <v>3065</v>
      </c>
      <c r="J9" s="51"/>
      <c r="K9" s="3057" t="s">
        <v>3067</v>
      </c>
      <c r="L9" s="51"/>
      <c r="M9" s="305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7" t="s">
        <v>3062</v>
      </c>
      <c r="J10" s="51"/>
      <c r="K10" s="3059" t="s">
        <v>3062</v>
      </c>
      <c r="L10" s="51"/>
      <c r="M10" s="3059"/>
      <c r="N10" s="51"/>
      <c r="O10" s="66"/>
      <c r="P10" s="51"/>
      <c r="Q10" s="66"/>
      <c r="R10" s="51"/>
      <c r="S10" s="66"/>
      <c r="T10" s="51"/>
      <c r="U10" s="66"/>
      <c r="V10" s="51"/>
      <c r="W10" s="66"/>
      <c r="X10" s="51"/>
      <c r="Y10" s="66"/>
      <c r="Z10" s="51"/>
      <c r="AA10" s="66"/>
      <c r="AB10" s="51"/>
      <c r="AC10" s="55"/>
      <c r="AD10" s="2323" t="s">
        <v>2328</v>
      </c>
      <c r="AE10" s="2345"/>
      <c r="AF10" s="2323" t="s">
        <v>2328</v>
      </c>
      <c r="AG10" s="2345"/>
      <c r="AH10" s="2323" t="s">
        <v>2329</v>
      </c>
      <c r="AI10" s="2345"/>
      <c r="AJ10" s="26" t="s">
        <v>2342</v>
      </c>
      <c r="AK10" s="2342"/>
      <c r="AL10" s="2323" t="s">
        <v>2330</v>
      </c>
      <c r="AM10" s="2324"/>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t="s">
        <v>3068</v>
      </c>
      <c r="J11" s="71"/>
      <c r="K11" s="3058" t="s">
        <v>3068</v>
      </c>
      <c r="L11" s="71"/>
      <c r="M11" s="70"/>
      <c r="N11" s="71"/>
      <c r="O11" s="70"/>
      <c r="P11" s="71"/>
      <c r="Q11" s="70"/>
      <c r="R11" s="71"/>
      <c r="S11" s="70"/>
      <c r="T11" s="71"/>
      <c r="U11" s="70"/>
      <c r="V11" s="71"/>
      <c r="W11" s="70"/>
      <c r="X11" s="71"/>
      <c r="Y11" s="70"/>
      <c r="Z11" s="71"/>
      <c r="AA11" s="70"/>
      <c r="AB11" s="71"/>
      <c r="AC11" s="55"/>
      <c r="AD11" s="2343" t="s">
        <v>2341</v>
      </c>
      <c r="AE11" s="1005"/>
      <c r="AF11" s="2343" t="s">
        <v>2341</v>
      </c>
      <c r="AG11" s="1005"/>
      <c r="AH11" s="2343" t="s">
        <v>2340</v>
      </c>
      <c r="AI11" s="2344"/>
      <c r="AJ11" s="2343" t="s">
        <v>2340</v>
      </c>
      <c r="AK11" s="2342"/>
      <c r="AL11" s="1003"/>
      <c r="AM11" s="1005"/>
      <c r="AN11" s="1003"/>
      <c r="AO11" s="1005"/>
      <c r="AP11" s="1191"/>
      <c r="AQ11" s="1193"/>
      <c r="AR11" s="1191"/>
      <c r="AS11" s="1193"/>
      <c r="AT11" s="1006"/>
      <c r="AU11" s="45"/>
      <c r="AV11" s="55"/>
      <c r="AW11" s="1006"/>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独立商业</v>
      </c>
      <c r="BC12" s="79" t="str">
        <f>K11</f>
        <v>独立商业</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2"/>
      <c r="B13" s="3052"/>
      <c r="C13" s="3052" t="s">
        <v>3066</v>
      </c>
      <c r="D13" s="3053" t="s">
        <v>1681</v>
      </c>
      <c r="E13" s="27">
        <f t="shared" ref="E13:E20" si="6">IF($C$3="是",ROUND($A$3*G13/$B$3,2),ROUND($A$3*(G13-AT13)/$B$3,2))</f>
        <v>36372.589999999997</v>
      </c>
      <c r="F13" s="81"/>
      <c r="G13" s="82">
        <f t="shared" ref="G13:G20" si="7">H13+AC13+AT13</f>
        <v>66791.740000000005</v>
      </c>
      <c r="H13" s="33">
        <f t="shared" ref="H13:H20" si="8">SUMIF(I$12:AB$12,"总值",I13:AB13)</f>
        <v>66791.740000000005</v>
      </c>
      <c r="I13" s="3056">
        <v>66791.740000000005</v>
      </c>
      <c r="J13" s="3056"/>
      <c r="K13" s="3056"/>
      <c r="L13" s="3056"/>
      <c r="M13" s="3056"/>
      <c r="N13" s="83"/>
      <c r="O13" s="83"/>
      <c r="P13" s="83"/>
      <c r="Q13" s="83"/>
      <c r="R13" s="83"/>
      <c r="S13" s="83"/>
      <c r="T13" s="83"/>
      <c r="U13" s="83"/>
      <c r="V13" s="83"/>
      <c r="W13" s="83"/>
      <c r="X13" s="83"/>
      <c r="Y13" s="83"/>
      <c r="Z13" s="83"/>
      <c r="AA13" s="83"/>
      <c r="AB13" s="83"/>
      <c r="AC13" s="27">
        <f t="shared" ref="AC13:AC20" si="9">SUMIF(AD$12:AS$12,"总值",AD13:AS13)</f>
        <v>0</v>
      </c>
      <c r="AD13" s="3060"/>
      <c r="AE13" s="3060"/>
      <c r="AF13" s="3060"/>
      <c r="AG13" s="3060"/>
      <c r="AH13" s="3060"/>
      <c r="AI13" s="3060"/>
      <c r="AJ13" s="3060"/>
      <c r="AK13" s="3060"/>
      <c r="AL13" s="3060"/>
      <c r="AM13" s="3060"/>
      <c r="AN13" s="3060"/>
      <c r="AO13" s="3060"/>
      <c r="AP13" s="3060"/>
      <c r="AQ13" s="3060"/>
      <c r="AR13" s="3060"/>
      <c r="AS13" s="3060"/>
      <c r="AT13" s="3061"/>
      <c r="AU13" s="3062"/>
      <c r="AV13" s="17">
        <f t="shared" ref="AV13:AX20" si="10">A13</f>
        <v>0</v>
      </c>
      <c r="AW13" s="17">
        <f t="shared" si="10"/>
        <v>0</v>
      </c>
      <c r="AX13" s="17" t="str">
        <f t="shared" si="10"/>
        <v>地上</v>
      </c>
      <c r="AY13" s="999">
        <f t="shared" ref="AY13:AY20" si="11">ROUND($AY$6*AZ13/$AZ$5,2)</f>
        <v>36372.589999999997</v>
      </c>
      <c r="AZ13" s="27">
        <f t="shared" ref="AZ13:AZ20" si="12">BA13+BL13</f>
        <v>66791.740000000005</v>
      </c>
      <c r="BA13" s="27">
        <f t="shared" ref="BA13:BA20" si="13">SUM(BB13:BK13)</f>
        <v>66791.740000000005</v>
      </c>
      <c r="BB13" s="27">
        <f t="shared" ref="BB13:BB20" si="14">IF($D13="是",I13-J13,0)</f>
        <v>66791.740000000005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2"/>
      <c r="B14" s="3052"/>
      <c r="C14" s="3054"/>
      <c r="D14" s="3053" t="s">
        <v>1681</v>
      </c>
      <c r="E14" s="27">
        <f t="shared" si="6"/>
        <v>33877.440000000002</v>
      </c>
      <c r="F14" s="81"/>
      <c r="G14" s="82">
        <f t="shared" si="7"/>
        <v>62209.84</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62209.84</v>
      </c>
      <c r="AD14" s="3060"/>
      <c r="AE14" s="3060"/>
      <c r="AF14" s="3060"/>
      <c r="AG14" s="3060"/>
      <c r="AH14" s="3060"/>
      <c r="AI14" s="3060"/>
      <c r="AJ14" s="3060"/>
      <c r="AK14" s="3060"/>
      <c r="AL14" s="3060"/>
      <c r="AM14" s="3060"/>
      <c r="AN14" s="3056">
        <v>62209.84</v>
      </c>
      <c r="AO14" s="3060"/>
      <c r="AP14" s="3060"/>
      <c r="AQ14" s="3060"/>
      <c r="AR14" s="3060"/>
      <c r="AS14" s="3060"/>
      <c r="AT14" s="3061"/>
      <c r="AU14" s="3062"/>
      <c r="AV14" s="17">
        <f t="shared" si="10"/>
        <v>0</v>
      </c>
      <c r="AW14" s="17">
        <f t="shared" si="10"/>
        <v>0</v>
      </c>
      <c r="AX14" s="17">
        <f t="shared" si="10"/>
        <v>0</v>
      </c>
      <c r="AY14" s="999">
        <f t="shared" si="11"/>
        <v>33877.440000000002</v>
      </c>
      <c r="AZ14" s="27">
        <f t="shared" si="12"/>
        <v>62209.84</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62209.84</v>
      </c>
      <c r="BM14" s="27">
        <f t="shared" si="25"/>
        <v>0</v>
      </c>
      <c r="BN14" s="27">
        <f t="shared" si="26"/>
        <v>0</v>
      </c>
      <c r="BO14" s="27">
        <f t="shared" si="27"/>
        <v>0</v>
      </c>
      <c r="BP14" s="27">
        <f t="shared" si="28"/>
        <v>0</v>
      </c>
      <c r="BQ14" s="27">
        <f t="shared" si="29"/>
        <v>0</v>
      </c>
      <c r="BR14" s="27">
        <f t="shared" si="30"/>
        <v>62209.84</v>
      </c>
      <c r="BS14" s="27">
        <f t="shared" si="31"/>
        <v>0</v>
      </c>
      <c r="BT14" s="36">
        <f t="shared" si="32"/>
        <v>0</v>
      </c>
    </row>
    <row r="15" spans="1:72" s="18" customFormat="1" ht="12.75">
      <c r="A15" s="3052"/>
      <c r="B15" s="3052"/>
      <c r="C15" s="3054"/>
      <c r="D15" s="3053"/>
      <c r="E15" s="27">
        <f t="shared" si="6"/>
        <v>0</v>
      </c>
      <c r="F15" s="81"/>
      <c r="G15" s="82">
        <f t="shared" si="7"/>
        <v>0</v>
      </c>
      <c r="H15" s="33">
        <f t="shared" si="8"/>
        <v>0</v>
      </c>
      <c r="I15" s="3056"/>
      <c r="J15" s="3056"/>
      <c r="K15" s="3056"/>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2"/>
      <c r="B16" s="3052"/>
      <c r="C16" s="3054"/>
      <c r="D16" s="3053"/>
      <c r="E16" s="27">
        <f t="shared" si="6"/>
        <v>0</v>
      </c>
      <c r="F16" s="81"/>
      <c r="G16" s="82">
        <f t="shared" si="7"/>
        <v>0</v>
      </c>
      <c r="H16" s="33">
        <f t="shared" si="8"/>
        <v>0</v>
      </c>
      <c r="I16" s="3056"/>
      <c r="J16" s="3056"/>
      <c r="K16" s="3056"/>
      <c r="L16" s="3056"/>
      <c r="M16" s="3056"/>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2"/>
      <c r="B17" s="3052"/>
      <c r="C17" s="3054"/>
      <c r="D17" s="3053"/>
      <c r="E17" s="27">
        <f t="shared" si="6"/>
        <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5"/>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5" t="s">
        <v>0</v>
      </c>
      <c r="B1" s="3245" t="s">
        <v>4</v>
      </c>
      <c r="C1" s="3245" t="s">
        <v>5</v>
      </c>
      <c r="D1" s="3246" t="s">
        <v>40</v>
      </c>
      <c r="E1" s="3246" t="s">
        <v>41</v>
      </c>
      <c r="F1" s="3246"/>
      <c r="G1" s="3246"/>
      <c r="H1" s="3246"/>
      <c r="I1" s="3246"/>
      <c r="J1" s="3246"/>
      <c r="K1" s="3246"/>
      <c r="L1" s="3246"/>
      <c r="M1" s="3246"/>
    </row>
    <row r="2" spans="1:13" ht="27" customHeight="1">
      <c r="A2" s="3245"/>
      <c r="B2" s="3245"/>
      <c r="C2" s="3245"/>
      <c r="D2" s="3246"/>
      <c r="E2" s="3246" t="s">
        <v>24</v>
      </c>
      <c r="F2" s="3246" t="s">
        <v>25</v>
      </c>
      <c r="G2" s="3246"/>
      <c r="H2" s="3246"/>
      <c r="I2" s="3246"/>
      <c r="J2" s="3246" t="s">
        <v>26</v>
      </c>
      <c r="K2" s="3246"/>
      <c r="L2" s="3246"/>
      <c r="M2" s="3246"/>
    </row>
    <row r="3" spans="1:13" ht="28.5">
      <c r="A3" s="3245"/>
      <c r="B3" s="3245"/>
      <c r="C3" s="3245"/>
      <c r="D3" s="3246"/>
      <c r="E3" s="32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6" t="s">
        <v>42</v>
      </c>
      <c r="B9" s="3246"/>
      <c r="C9" s="32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F34" sqref="F34"/>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202</v>
      </c>
      <c r="B1" s="1989"/>
      <c r="C1" s="1989"/>
      <c r="D1" s="1989"/>
      <c r="E1" s="1989"/>
      <c r="F1" s="1989"/>
      <c r="G1" s="1989"/>
      <c r="H1" s="1989"/>
      <c r="I1" s="1989"/>
      <c r="J1" s="1989"/>
      <c r="K1" s="1989"/>
      <c r="L1" s="1989"/>
    </row>
    <row r="2" spans="1:16" ht="15">
      <c r="A2" s="3256" t="s">
        <v>203</v>
      </c>
      <c r="B2" s="3256"/>
      <c r="C2" s="3256"/>
      <c r="D2" s="1980" t="s">
        <v>204</v>
      </c>
      <c r="E2" s="106" t="s">
        <v>205</v>
      </c>
      <c r="F2" s="1989"/>
      <c r="G2" s="1201"/>
      <c r="H2" s="1202"/>
      <c r="I2" s="1203" t="s">
        <v>859</v>
      </c>
      <c r="J2" s="1989"/>
      <c r="K2" s="1989"/>
      <c r="L2" s="1989"/>
    </row>
    <row r="3" spans="1:16" ht="15.75" thickBot="1">
      <c r="A3" s="3257" t="s">
        <v>206</v>
      </c>
      <c r="B3" s="3257"/>
      <c r="C3" s="3257"/>
      <c r="D3" s="107">
        <f>'数据-基础表'!AY6</f>
        <v>70250.03</v>
      </c>
      <c r="E3" s="107">
        <f>'数据-基础表'!AZ5</f>
        <v>129001.58</v>
      </c>
      <c r="F3" s="1989"/>
      <c r="G3" s="280" t="s">
        <v>860</v>
      </c>
      <c r="H3" s="275" t="s">
        <v>861</v>
      </c>
      <c r="I3" s="1981">
        <f>ROUND('数据-基础表'!B3/'数据-基础表'!A3,2)</f>
        <v>1.84</v>
      </c>
      <c r="J3" s="1989"/>
      <c r="K3" s="1989"/>
      <c r="L3" s="1989"/>
    </row>
    <row r="4" spans="1:16" ht="15">
      <c r="A4" s="3258"/>
      <c r="B4" s="3259"/>
      <c r="C4" s="3260"/>
      <c r="D4" s="108" t="s">
        <v>204</v>
      </c>
      <c r="E4" s="109" t="s">
        <v>205</v>
      </c>
      <c r="F4" s="1989"/>
      <c r="G4" s="1204"/>
      <c r="H4" s="275" t="s">
        <v>862</v>
      </c>
      <c r="I4" s="1981">
        <f>ROUND(SUMIF('数据-基础表'!I9:AS9,"地上",'数据-基础表'!I5:AS5)/'数据-基础表'!A3,2)</f>
        <v>0.95</v>
      </c>
      <c r="J4" s="1989"/>
      <c r="K4" s="1989"/>
      <c r="L4" s="1989"/>
    </row>
    <row r="5" spans="1:16">
      <c r="A5" s="110" t="s">
        <v>207</v>
      </c>
      <c r="B5" s="3261" t="s">
        <v>230</v>
      </c>
      <c r="C5" s="3261"/>
      <c r="D5" s="111">
        <f>ROUND($D$3*E5/$E$3,2)</f>
        <v>0</v>
      </c>
      <c r="E5" s="112">
        <f>SUMIF('数据-基础表'!$11:$11,"住宅",'数据-基础表'!$5:$5)</f>
        <v>0</v>
      </c>
      <c r="F5" s="1989"/>
      <c r="G5" s="280" t="s">
        <v>863</v>
      </c>
      <c r="H5" s="275" t="s">
        <v>861</v>
      </c>
      <c r="I5" s="1981">
        <f>ROUND(E31/D31,2)</f>
        <v>1.84</v>
      </c>
      <c r="J5" s="1989"/>
      <c r="K5" s="1989"/>
      <c r="L5" s="1989"/>
    </row>
    <row r="6" spans="1:16" ht="15" thickBot="1">
      <c r="A6" s="113"/>
      <c r="B6" s="3261" t="s">
        <v>208</v>
      </c>
      <c r="C6" s="3261"/>
      <c r="D6" s="111">
        <f>ROUND($D$3*E6/$E$3,2)</f>
        <v>70250.03</v>
      </c>
      <c r="E6" s="112">
        <f>E3-E5</f>
        <v>129001.58</v>
      </c>
      <c r="F6" s="1989"/>
      <c r="G6" s="1204"/>
      <c r="H6" s="275" t="s">
        <v>862</v>
      </c>
      <c r="I6" s="1981">
        <f>ROUND(F31/D31,2)</f>
        <v>0.95</v>
      </c>
      <c r="J6" s="1989"/>
      <c r="K6" s="1989"/>
      <c r="L6" s="1989"/>
    </row>
    <row r="7" spans="1:16" ht="15">
      <c r="A7" s="3253"/>
      <c r="B7" s="3254"/>
      <c r="C7" s="3255"/>
      <c r="D7" s="108" t="s">
        <v>204</v>
      </c>
      <c r="E7" s="114" t="s">
        <v>231</v>
      </c>
      <c r="F7" s="1989"/>
      <c r="G7" s="1159" t="s">
        <v>1648</v>
      </c>
      <c r="H7" s="1160"/>
      <c r="I7" s="1851">
        <f>I6</f>
        <v>0.95</v>
      </c>
      <c r="J7" s="1989"/>
      <c r="K7" s="1989"/>
      <c r="L7" s="1989"/>
    </row>
    <row r="8" spans="1:16">
      <c r="A8" s="110" t="s">
        <v>209</v>
      </c>
      <c r="B8" s="115" t="s">
        <v>210</v>
      </c>
      <c r="C8" s="111" t="s">
        <v>211</v>
      </c>
      <c r="D8" s="111">
        <f t="shared" ref="D8:D15" si="0">ROUND($D$3*E8/$E$3,2)</f>
        <v>36372.589999999997</v>
      </c>
      <c r="E8" s="116">
        <f>SUMIF('数据-基础表'!BB10:BK10,"地上",'数据-基础表'!BB5:BK5)</f>
        <v>66791.740000000005</v>
      </c>
      <c r="F8" s="1989"/>
      <c r="G8" s="1991"/>
      <c r="H8" s="1991"/>
      <c r="I8" s="1989"/>
      <c r="J8" s="1989"/>
      <c r="K8" s="1989"/>
      <c r="L8" s="1989"/>
    </row>
    <row r="9" spans="1:16">
      <c r="A9" s="117"/>
      <c r="B9" s="118"/>
      <c r="C9" s="111" t="s">
        <v>212</v>
      </c>
      <c r="D9" s="111">
        <f t="shared" si="0"/>
        <v>0</v>
      </c>
      <c r="E9" s="119">
        <v>0</v>
      </c>
      <c r="F9" s="1989"/>
      <c r="G9" s="1991"/>
      <c r="H9" s="1991"/>
      <c r="I9" s="1989"/>
      <c r="J9" s="1989"/>
      <c r="K9" s="1989"/>
      <c r="L9" s="1989"/>
    </row>
    <row r="10" spans="1:16">
      <c r="A10" s="117"/>
      <c r="B10" s="118"/>
      <c r="C10" s="111" t="s">
        <v>213</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2338</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2345</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232</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f>SUM(D8:D15)</f>
        <v>36372.589999999997</v>
      </c>
      <c r="E16" s="120">
        <f>SUM(E8:E15)</f>
        <v>66791.740000000005</v>
      </c>
      <c r="F16" s="1989"/>
      <c r="G16" s="1991"/>
      <c r="H16" s="971" t="s">
        <v>219</v>
      </c>
      <c r="I16" s="972"/>
      <c r="J16" s="1989"/>
      <c r="K16" s="3247" t="s">
        <v>2580</v>
      </c>
      <c r="L16" s="3248"/>
      <c r="M16" s="3248"/>
      <c r="N16" s="3248"/>
      <c r="O16" s="3248"/>
      <c r="P16" s="3249"/>
    </row>
    <row r="17" spans="1:19" ht="15">
      <c r="A17" s="121" t="s">
        <v>216</v>
      </c>
      <c r="B17" s="122" t="s">
        <v>217</v>
      </c>
      <c r="C17" s="2307" t="s">
        <v>2324</v>
      </c>
      <c r="D17" s="108" t="s">
        <v>204</v>
      </c>
      <c r="E17" s="124" t="s">
        <v>205</v>
      </c>
      <c r="F17" s="125"/>
      <c r="G17" s="1370"/>
      <c r="H17" s="973" t="s">
        <v>218</v>
      </c>
      <c r="I17" s="974" t="s">
        <v>2323</v>
      </c>
      <c r="J17" s="1989"/>
      <c r="K17" s="3250" t="s">
        <v>2581</v>
      </c>
      <c r="L17" s="3251"/>
      <c r="M17" s="3252"/>
      <c r="N17" s="3250" t="s">
        <v>2582</v>
      </c>
      <c r="O17" s="3251"/>
      <c r="P17" s="3252"/>
      <c r="R17" s="2308" t="s">
        <v>2322</v>
      </c>
      <c r="S17" s="144"/>
    </row>
    <row r="18" spans="1:19" ht="15">
      <c r="A18" s="117"/>
      <c r="B18" s="128"/>
      <c r="C18" s="129"/>
      <c r="D18" s="2677"/>
      <c r="E18" s="130" t="s">
        <v>220</v>
      </c>
      <c r="F18" s="131" t="s">
        <v>221</v>
      </c>
      <c r="G18" s="1371" t="s">
        <v>222</v>
      </c>
      <c r="H18" s="975" t="s">
        <v>223</v>
      </c>
      <c r="I18" s="976" t="s">
        <v>224</v>
      </c>
      <c r="J18" s="1989"/>
      <c r="K18" s="2639" t="s">
        <v>2583</v>
      </c>
      <c r="L18" s="2640" t="s">
        <v>2584</v>
      </c>
      <c r="M18" s="2641" t="s">
        <v>2585</v>
      </c>
      <c r="N18" s="2639" t="s">
        <v>2583</v>
      </c>
      <c r="O18" s="2640" t="s">
        <v>2584</v>
      </c>
      <c r="P18" s="2641" t="s">
        <v>2585</v>
      </c>
      <c r="R18" s="2309" t="s">
        <v>2320</v>
      </c>
      <c r="S18" s="2309" t="s">
        <v>2321</v>
      </c>
    </row>
    <row r="19" spans="1:19">
      <c r="A19" s="133"/>
      <c r="B19" s="115" t="s">
        <v>225</v>
      </c>
      <c r="C19" s="3063" t="s">
        <v>3069</v>
      </c>
      <c r="D19" s="111">
        <f t="shared" ref="D19:D26" si="1">ROUND($D$3*E19/$E$3,2)</f>
        <v>36372.589999999997</v>
      </c>
      <c r="E19" s="134">
        <f t="shared" ref="E19:E26" si="2">SUM(F19:G19)</f>
        <v>66791.740000000005</v>
      </c>
      <c r="F19" s="135">
        <f>'数据-基础表'!I13</f>
        <v>66791.740000000005</v>
      </c>
      <c r="G19" s="1372"/>
      <c r="H19" s="977">
        <f>ROUND($D$3*I19/$E$3,2)</f>
        <v>33877.440000000002</v>
      </c>
      <c r="I19" s="116">
        <f>IF($I$17="自定义",P19,M19)</f>
        <v>62209.84</v>
      </c>
      <c r="J19" s="1989"/>
      <c r="K19" s="2642">
        <f t="shared" ref="K19:K26" si="3">ROUND(E$28*E19/E$27,2)</f>
        <v>62209.84</v>
      </c>
      <c r="L19" s="275">
        <f t="shared" ref="L19:L26" si="4">ROUND(IF(COUNTIF(C19,"*住宅*")&gt;0,E$29*E19/E$32,0),2)</f>
        <v>0</v>
      </c>
      <c r="M19" s="2643">
        <f>K19+L19</f>
        <v>62209.84</v>
      </c>
      <c r="N19" s="2644"/>
      <c r="O19" s="2645"/>
      <c r="P19" s="2646">
        <f>N19+O19</f>
        <v>0</v>
      </c>
      <c r="R19" s="275">
        <f t="shared" ref="R19:S26" si="5">D19+H19</f>
        <v>70250.03</v>
      </c>
      <c r="S19" s="2310">
        <f t="shared" si="5"/>
        <v>129001.58</v>
      </c>
    </row>
    <row r="20" spans="1:19">
      <c r="A20" s="138"/>
      <c r="B20" s="115" t="s">
        <v>226</v>
      </c>
      <c r="C20" s="3063"/>
      <c r="D20" s="111">
        <f t="shared" si="1"/>
        <v>0</v>
      </c>
      <c r="E20" s="134">
        <f t="shared" si="2"/>
        <v>0</v>
      </c>
      <c r="F20" s="135"/>
      <c r="G20" s="1372"/>
      <c r="H20" s="977">
        <f t="shared" ref="H20:H26" si="6">ROUND($D$3*I20/$E$3,2)</f>
        <v>0</v>
      </c>
      <c r="I20" s="116">
        <f t="shared" ref="I20:I26" si="7">IF($I$17="自定义",P20,M20)</f>
        <v>0</v>
      </c>
      <c r="J20" s="1989"/>
      <c r="K20" s="2642">
        <f t="shared" si="3"/>
        <v>0</v>
      </c>
      <c r="L20" s="275">
        <f t="shared" si="4"/>
        <v>0</v>
      </c>
      <c r="M20" s="2643">
        <f t="shared" ref="M20:M26" si="8">K20+L20</f>
        <v>0</v>
      </c>
      <c r="N20" s="2644"/>
      <c r="O20" s="2645"/>
      <c r="P20" s="2646">
        <f t="shared" ref="P20:P26" si="9">N20+O20</f>
        <v>0</v>
      </c>
      <c r="R20" s="275">
        <f t="shared" si="5"/>
        <v>0</v>
      </c>
      <c r="S20" s="2310">
        <f t="shared" si="5"/>
        <v>0</v>
      </c>
    </row>
    <row r="21" spans="1:19">
      <c r="A21" s="138"/>
      <c r="B21" s="115" t="s">
        <v>226</v>
      </c>
      <c r="C21" s="3063"/>
      <c r="D21" s="111">
        <f t="shared" si="1"/>
        <v>0</v>
      </c>
      <c r="E21" s="134">
        <f t="shared" si="2"/>
        <v>0</v>
      </c>
      <c r="F21" s="135"/>
      <c r="G21" s="1372"/>
      <c r="H21" s="977">
        <f t="shared" si="6"/>
        <v>0</v>
      </c>
      <c r="I21" s="116">
        <f t="shared" si="7"/>
        <v>0</v>
      </c>
      <c r="J21" s="1989"/>
      <c r="K21" s="2642">
        <f t="shared" si="3"/>
        <v>0</v>
      </c>
      <c r="L21" s="275">
        <f t="shared" si="4"/>
        <v>0</v>
      </c>
      <c r="M21" s="2643">
        <f t="shared" si="8"/>
        <v>0</v>
      </c>
      <c r="N21" s="2644"/>
      <c r="O21" s="2645"/>
      <c r="P21" s="2646">
        <f t="shared" si="9"/>
        <v>0</v>
      </c>
      <c r="R21" s="275">
        <f t="shared" si="5"/>
        <v>0</v>
      </c>
      <c r="S21" s="2310">
        <f t="shared" si="5"/>
        <v>0</v>
      </c>
    </row>
    <row r="22" spans="1:19">
      <c r="A22" s="138"/>
      <c r="B22" s="115" t="s">
        <v>226</v>
      </c>
      <c r="C22" s="1369"/>
      <c r="D22" s="111">
        <f t="shared" si="1"/>
        <v>0</v>
      </c>
      <c r="E22" s="134">
        <f t="shared" si="2"/>
        <v>0</v>
      </c>
      <c r="F22" s="140"/>
      <c r="G22" s="1373"/>
      <c r="H22" s="977">
        <f t="shared" si="6"/>
        <v>0</v>
      </c>
      <c r="I22" s="116">
        <f t="shared" si="7"/>
        <v>0</v>
      </c>
      <c r="J22" s="1989"/>
      <c r="K22" s="2642">
        <f t="shared" si="3"/>
        <v>0</v>
      </c>
      <c r="L22" s="275">
        <f t="shared" si="4"/>
        <v>0</v>
      </c>
      <c r="M22" s="2643">
        <f t="shared" si="8"/>
        <v>0</v>
      </c>
      <c r="N22" s="2644"/>
      <c r="O22" s="2645"/>
      <c r="P22" s="2646">
        <f t="shared" si="9"/>
        <v>0</v>
      </c>
      <c r="R22" s="275">
        <f t="shared" si="5"/>
        <v>0</v>
      </c>
      <c r="S22" s="2310">
        <f t="shared" si="5"/>
        <v>0</v>
      </c>
    </row>
    <row r="23" spans="1:19">
      <c r="A23" s="138"/>
      <c r="B23" s="115" t="s">
        <v>226</v>
      </c>
      <c r="C23" s="139"/>
      <c r="D23" s="111">
        <f>ROUND($D$3*E23/$E$3,2)</f>
        <v>0</v>
      </c>
      <c r="E23" s="134">
        <f>SUM(F23:G23)</f>
        <v>0</v>
      </c>
      <c r="F23" s="140"/>
      <c r="G23" s="1373"/>
      <c r="H23" s="977">
        <f>ROUND($D$3*I23/$E$3,2)</f>
        <v>0</v>
      </c>
      <c r="I23" s="116">
        <f t="shared" si="7"/>
        <v>0</v>
      </c>
      <c r="J23" s="1989"/>
      <c r="K23" s="2642">
        <f t="shared" si="3"/>
        <v>0</v>
      </c>
      <c r="L23" s="275">
        <f t="shared" si="4"/>
        <v>0</v>
      </c>
      <c r="M23" s="2643">
        <f t="shared" si="8"/>
        <v>0</v>
      </c>
      <c r="N23" s="2644"/>
      <c r="O23" s="2645"/>
      <c r="P23" s="2646">
        <f t="shared" si="9"/>
        <v>0</v>
      </c>
      <c r="R23" s="275">
        <f t="shared" si="5"/>
        <v>0</v>
      </c>
      <c r="S23" s="2310">
        <f t="shared" si="5"/>
        <v>0</v>
      </c>
    </row>
    <row r="24" spans="1:19">
      <c r="A24" s="138"/>
      <c r="B24" s="115" t="s">
        <v>226</v>
      </c>
      <c r="C24" s="139"/>
      <c r="D24" s="111">
        <f>ROUND($D$3*E24/$E$3,2)</f>
        <v>0</v>
      </c>
      <c r="E24" s="134">
        <f>SUM(F24:G24)</f>
        <v>0</v>
      </c>
      <c r="F24" s="140"/>
      <c r="G24" s="1373"/>
      <c r="H24" s="977">
        <f>ROUND($D$3*I24/$E$3,2)</f>
        <v>0</v>
      </c>
      <c r="I24" s="116">
        <f t="shared" si="7"/>
        <v>0</v>
      </c>
      <c r="J24" s="1989"/>
      <c r="K24" s="2642">
        <f t="shared" si="3"/>
        <v>0</v>
      </c>
      <c r="L24" s="275">
        <f t="shared" si="4"/>
        <v>0</v>
      </c>
      <c r="M24" s="2643">
        <f t="shared" si="8"/>
        <v>0</v>
      </c>
      <c r="N24" s="2644"/>
      <c r="O24" s="2645"/>
      <c r="P24" s="2646">
        <f t="shared" si="9"/>
        <v>0</v>
      </c>
      <c r="R24" s="275">
        <f t="shared" si="5"/>
        <v>0</v>
      </c>
      <c r="S24" s="2310">
        <f t="shared" si="5"/>
        <v>0</v>
      </c>
    </row>
    <row r="25" spans="1:19">
      <c r="A25" s="138"/>
      <c r="B25" s="115" t="s">
        <v>226</v>
      </c>
      <c r="C25" s="139"/>
      <c r="D25" s="111">
        <f t="shared" si="1"/>
        <v>0</v>
      </c>
      <c r="E25" s="134">
        <f t="shared" si="2"/>
        <v>0</v>
      </c>
      <c r="F25" s="140"/>
      <c r="G25" s="1373"/>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c r="A26" s="138"/>
      <c r="B26" s="115" t="s">
        <v>226</v>
      </c>
      <c r="C26" s="142"/>
      <c r="D26" s="111">
        <f t="shared" si="1"/>
        <v>0</v>
      </c>
      <c r="E26" s="134">
        <f t="shared" si="2"/>
        <v>0</v>
      </c>
      <c r="F26" s="140"/>
      <c r="G26" s="1373"/>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15.75" thickBot="1">
      <c r="A27" s="138"/>
      <c r="B27" s="111"/>
      <c r="C27" s="127" t="s">
        <v>215</v>
      </c>
      <c r="D27" s="134">
        <f>SUM(D19:D26)</f>
        <v>36372.589999999997</v>
      </c>
      <c r="E27" s="143">
        <f>IF(SUM(E19:E26)='数据-基础表'!BA5,SUM(E19:E26),IF(F27="地上面积有误","面积有误","地下面积有误"))</f>
        <v>66791.740000000005</v>
      </c>
      <c r="F27" s="134">
        <f>IF(SUM(F19:F26)=E8,SUM(F19:F26),"地上面积有误")</f>
        <v>66791.740000000005</v>
      </c>
      <c r="G27" s="112">
        <f>SUM(G19:G26)</f>
        <v>0</v>
      </c>
      <c r="H27" s="978">
        <f>SUM(H19:H26)</f>
        <v>33877.440000000002</v>
      </c>
      <c r="I27" s="979">
        <f>SUM(I19:I26)</f>
        <v>62209.84</v>
      </c>
      <c r="J27" s="1989"/>
      <c r="K27" s="2651">
        <f>SUM(K19:K26)</f>
        <v>62209.84</v>
      </c>
      <c r="L27" s="2652">
        <f>SUM(L19:L26)</f>
        <v>0</v>
      </c>
      <c r="M27" s="2653">
        <f>SUM(M19:M26)</f>
        <v>62209.84</v>
      </c>
      <c r="N27" s="2651">
        <f t="shared" ref="N27:O27" si="10">SUM(N19:N26)</f>
        <v>0</v>
      </c>
      <c r="O27" s="2652">
        <f t="shared" si="10"/>
        <v>0</v>
      </c>
      <c r="P27" s="2654">
        <f>SUM(P19:P26)</f>
        <v>0</v>
      </c>
      <c r="R27" s="2314">
        <f>IF(SUM(R19:R26)=$D$3,SUM(R19:R26),SUM(R19:R26)&amp;"误差"&amp;ROUND(SUM(R19:R26)-$D$3,2))</f>
        <v>70250.03</v>
      </c>
      <c r="S27" s="275">
        <f>IF(SUM(S19:S26)=$E$3,SUM(S19:S26),SUM(S19:S26)&amp;"误差"&amp;ROUND(SUM(S19:S26)-E3,2))</f>
        <v>129001.58</v>
      </c>
    </row>
    <row r="28" spans="1:19">
      <c r="A28" s="138"/>
      <c r="B28" s="115" t="s">
        <v>227</v>
      </c>
      <c r="C28" s="136" t="s">
        <v>228</v>
      </c>
      <c r="D28" s="111">
        <f>ROUND($D$3*E28/$E$3,2)</f>
        <v>33877.440000000002</v>
      </c>
      <c r="E28" s="134">
        <f>SUM(F28:G28)</f>
        <v>62209.84</v>
      </c>
      <c r="F28" s="144">
        <f>'数据-基础表'!BQ5+'数据-基础表'!BS5</f>
        <v>0</v>
      </c>
      <c r="G28" s="145">
        <f>'数据-基础表'!BR5+'数据-基础表'!BT5</f>
        <v>62209.84</v>
      </c>
      <c r="H28" s="1989"/>
      <c r="I28" s="1989"/>
      <c r="J28" s="1989"/>
      <c r="K28" s="1989"/>
      <c r="L28" s="1989"/>
    </row>
    <row r="29" spans="1:19">
      <c r="A29" s="138"/>
      <c r="B29" s="115" t="s">
        <v>227</v>
      </c>
      <c r="C29" s="2322" t="s">
        <v>2331</v>
      </c>
      <c r="D29" s="111">
        <f>ROUND($D$3*E29/$E$3,2)</f>
        <v>0</v>
      </c>
      <c r="E29" s="134">
        <f>SUM(F29:G29)</f>
        <v>0</v>
      </c>
      <c r="F29" s="144">
        <f>'数据-基础表'!BM5+'数据-基础表'!BO5</f>
        <v>0</v>
      </c>
      <c r="G29" s="146">
        <f>'数据-基础表'!BN5+'数据-基础表'!BP5</f>
        <v>0</v>
      </c>
      <c r="H29" s="1989"/>
      <c r="I29" s="1989"/>
      <c r="J29" s="1989"/>
      <c r="K29" s="1989"/>
      <c r="L29" s="1989"/>
    </row>
    <row r="30" spans="1:19">
      <c r="A30" s="138"/>
      <c r="B30" s="111"/>
      <c r="C30" s="147" t="s">
        <v>215</v>
      </c>
      <c r="D30" s="134">
        <f>SUM(D28:D29)</f>
        <v>33877.440000000002</v>
      </c>
      <c r="E30" s="134">
        <f>SUM(E28:E29)</f>
        <v>62209.84</v>
      </c>
      <c r="F30" s="134">
        <f>SUM(F28:F29)</f>
        <v>0</v>
      </c>
      <c r="G30" s="112">
        <f>SUM(G28:G29)</f>
        <v>62209.84</v>
      </c>
      <c r="H30" s="1989"/>
      <c r="I30" s="1989"/>
      <c r="J30" s="1989"/>
      <c r="K30" s="1989"/>
      <c r="L30" s="1989"/>
    </row>
    <row r="31" spans="1:19" ht="32.25" customHeight="1" thickBot="1">
      <c r="A31" s="1374"/>
      <c r="B31" s="1375" t="s">
        <v>229</v>
      </c>
      <c r="C31" s="2339" t="s">
        <v>2333</v>
      </c>
      <c r="D31" s="1376">
        <f>D27+D30</f>
        <v>70250.03</v>
      </c>
      <c r="E31" s="1376">
        <f>E27+E30</f>
        <v>129001.58</v>
      </c>
      <c r="F31" s="1377">
        <f>F27+F30</f>
        <v>66791.740000000005</v>
      </c>
      <c r="G31" s="1378">
        <f>G27+G30</f>
        <v>62209.84</v>
      </c>
      <c r="H31" s="1989"/>
      <c r="I31" s="1989"/>
      <c r="J31" s="1989"/>
      <c r="K31" s="1989"/>
      <c r="L31" s="1989"/>
    </row>
    <row r="32" spans="1:19">
      <c r="A32" s="1989"/>
      <c r="B32" s="2372" t="s">
        <v>2332</v>
      </c>
      <c r="C32" s="2682"/>
      <c r="D32" s="1204"/>
      <c r="E32" s="1204">
        <f>SUMIF(C19:C26,"*住宅*",E19:E26)</f>
        <v>0</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AB66" sqref="AB66"/>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42912</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866</v>
      </c>
      <c r="B4" s="152"/>
      <c r="C4" s="153"/>
      <c r="D4" s="1211"/>
      <c r="E4" s="1212" t="s">
        <v>867</v>
      </c>
      <c r="F4" s="153"/>
      <c r="G4" s="153"/>
      <c r="H4" s="153"/>
      <c r="I4" s="153"/>
      <c r="J4" s="154"/>
      <c r="K4" s="1213"/>
      <c r="L4" s="1214"/>
      <c r="M4" s="153"/>
      <c r="N4" s="1212" t="s">
        <v>868</v>
      </c>
      <c r="O4" s="153"/>
      <c r="P4" s="153"/>
      <c r="Q4" s="153"/>
      <c r="R4" s="153"/>
      <c r="S4" s="154"/>
      <c r="T4" s="980" t="str">
        <f>'数据-汇总表'!I17</f>
        <v>按面积比例</v>
      </c>
      <c r="U4" s="152" t="s">
        <v>869</v>
      </c>
      <c r="V4" s="153"/>
      <c r="W4" s="153"/>
      <c r="X4" s="153"/>
      <c r="Y4" s="154"/>
      <c r="Z4" s="123" t="s">
        <v>870</v>
      </c>
      <c r="AA4" s="123"/>
      <c r="AB4" s="123"/>
      <c r="AC4" s="123"/>
      <c r="AD4" s="123"/>
      <c r="AE4" s="121" t="s">
        <v>871</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2335</v>
      </c>
      <c r="B5" s="156" t="s">
        <v>236</v>
      </c>
      <c r="C5" s="157" t="s">
        <v>237</v>
      </c>
      <c r="D5" s="158" t="s">
        <v>238</v>
      </c>
      <c r="E5" s="159" t="s">
        <v>239</v>
      </c>
      <c r="F5" s="160" t="s">
        <v>240</v>
      </c>
      <c r="G5" s="159" t="s">
        <v>241</v>
      </c>
      <c r="H5" s="159" t="s">
        <v>864</v>
      </c>
      <c r="I5" s="159" t="s">
        <v>865</v>
      </c>
      <c r="J5" s="161" t="s">
        <v>242</v>
      </c>
      <c r="K5" s="162" t="s">
        <v>243</v>
      </c>
      <c r="L5" s="163" t="s">
        <v>244</v>
      </c>
      <c r="M5" s="164" t="s">
        <v>245</v>
      </c>
      <c r="N5" s="1222" t="s">
        <v>2844</v>
      </c>
      <c r="O5" s="163" t="s">
        <v>246</v>
      </c>
      <c r="P5" s="165" t="s">
        <v>247</v>
      </c>
      <c r="Q5" s="166" t="s">
        <v>248</v>
      </c>
      <c r="R5" s="167" t="s">
        <v>249</v>
      </c>
      <c r="S5" s="2655" t="s">
        <v>2586</v>
      </c>
      <c r="T5" s="168" t="s">
        <v>250</v>
      </c>
      <c r="U5" s="169" t="s">
        <v>251</v>
      </c>
      <c r="V5" s="159" t="s">
        <v>252</v>
      </c>
      <c r="W5" s="159" t="s">
        <v>253</v>
      </c>
      <c r="X5" s="1823"/>
      <c r="Y5" s="170" t="s">
        <v>254</v>
      </c>
      <c r="Z5" s="171" t="s">
        <v>255</v>
      </c>
      <c r="AA5" s="159" t="s">
        <v>252</v>
      </c>
      <c r="AB5" s="159" t="s">
        <v>253</v>
      </c>
      <c r="AC5" s="1824"/>
      <c r="AD5" s="172" t="s">
        <v>254</v>
      </c>
      <c r="AE5" s="1" t="s">
        <v>872</v>
      </c>
      <c r="AF5" s="159" t="s">
        <v>256</v>
      </c>
      <c r="AG5" s="170" t="s">
        <v>257</v>
      </c>
      <c r="AH5" s="1824" t="s">
        <v>2334</v>
      </c>
      <c r="AI5" s="171" t="s">
        <v>2302</v>
      </c>
      <c r="AJ5" s="171" t="s">
        <v>258</v>
      </c>
      <c r="AK5" s="159" t="s">
        <v>259</v>
      </c>
      <c r="AL5" s="159" t="s">
        <v>260</v>
      </c>
      <c r="AM5" s="172" t="s">
        <v>261</v>
      </c>
      <c r="AN5" s="2425" t="s">
        <v>2385</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商业</v>
      </c>
      <c r="B6" s="2346" t="str">
        <f>IF(A6=0,"","经营性")</f>
        <v>经营性</v>
      </c>
      <c r="C6" s="173" t="s">
        <v>3062</v>
      </c>
      <c r="D6" s="2317">
        <f>SUMIF(项目基本情况!D$15:I$15,C6,项目基本情况!D$18:I$18)</f>
        <v>40</v>
      </c>
      <c r="E6" s="2318">
        <f>IF(B6="","",SUMIF(项目基本情况!D$15:I$15,C6,项目基本情况!D$17:I$17))</f>
        <v>53280</v>
      </c>
      <c r="F6" s="174">
        <f>SUMIF(项目基本情况!D$15:I$15,C6,项目基本情况!D$19:I$19)</f>
        <v>28.4</v>
      </c>
      <c r="G6" s="175">
        <f>IF(ISERROR(ROUND(POWER(1+H6,D6-F6)*(POWER(1+H6,F6)-1)/(POWER(1+H6,D6)-1),3)),0,ROUND(POWER(1+H6,D6-F6)*(POWER(1+H6,F6)-1)/(POWER(1+H6,D6)-1),3))</f>
        <v>0.88500000000000001</v>
      </c>
      <c r="H6" s="3064">
        <v>5.5E-2</v>
      </c>
      <c r="I6" s="3064">
        <v>0.06</v>
      </c>
      <c r="J6" s="176">
        <v>0.08</v>
      </c>
      <c r="K6" s="179">
        <f>SUMIF('数据-汇总表'!C$19:C$33,'数据-取费表'!A6,'数据-汇总表'!E$19:E$33)</f>
        <v>66791.740000000005</v>
      </c>
      <c r="L6" s="3065">
        <v>3000</v>
      </c>
      <c r="M6" s="177">
        <f t="shared" ref="M6:M14" si="0">ROUND(K6*L6/10000,0)</f>
        <v>20038</v>
      </c>
      <c r="N6" s="3066">
        <v>0</v>
      </c>
      <c r="O6" s="177">
        <f>IF($N$5="成新度","——",ROUND(M6*N6,0))</f>
        <v>0</v>
      </c>
      <c r="P6" s="178">
        <f>IF($N$5="成新度","——",M6-O6)</f>
        <v>20038</v>
      </c>
      <c r="Q6" s="3067">
        <v>0.25</v>
      </c>
      <c r="R6" s="179">
        <f>SUMIF('数据-汇总表'!C$19:C$33,A6,'数据-汇总表'!R$19:R$33)</f>
        <v>70250.03</v>
      </c>
      <c r="S6" s="132">
        <f>IF('数据-汇总表'!$I$17="按面积比例",SUMIF('数据-汇总表'!C$19:C$33,A6,'数据-汇总表'!K$19:K$33),SUMIF('数据-汇总表'!C$19:C$33,A6,'数据-汇总表'!N$19:N$33))</f>
        <v>62209.84</v>
      </c>
      <c r="T6" s="2243">
        <f>IF($T$4="按面积比例",IF(ISERROR(ROUND($M$14*S6/S$16,0)),"0",ROUND($M$14*S6/S$16,0)),"需自行计算录入")</f>
        <v>15552</v>
      </c>
      <c r="U6" s="180"/>
      <c r="V6" s="181"/>
      <c r="W6" s="181"/>
      <c r="X6" s="2330"/>
      <c r="Y6" s="182">
        <v>1</v>
      </c>
      <c r="Z6" s="183"/>
      <c r="AA6" s="176"/>
      <c r="AB6" s="176"/>
      <c r="AC6" s="2333"/>
      <c r="AD6" s="184"/>
      <c r="AE6" s="975">
        <f ca="1">IF(AN6="",0,SUMIF(INDIRECT("'"&amp;AN6&amp;"'"&amp;"!E:E"),$AE$5,INDIRECT("'"&amp;AN6&amp;"'"&amp;"!F:F")))</f>
        <v>0</v>
      </c>
      <c r="AF6" s="141"/>
      <c r="AG6" s="1216">
        <f>IF(AF6="",0,AE6-AF6)</f>
        <v>0</v>
      </c>
      <c r="AH6" s="141"/>
      <c r="AI6" s="187">
        <v>365</v>
      </c>
      <c r="AJ6" s="188"/>
      <c r="AK6" s="189">
        <v>0.02</v>
      </c>
      <c r="AL6" s="190">
        <v>2E-3</v>
      </c>
      <c r="AM6" s="3078">
        <v>0.02</v>
      </c>
      <c r="AN6" s="2426" t="s">
        <v>3162</v>
      </c>
      <c r="AO6" s="2005"/>
      <c r="AP6" s="1207">
        <f>ROUND(1-1/(1+H6)^F6,3)</f>
        <v>0.78100000000000003</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f>'数据-汇总表'!C20</f>
        <v>0</v>
      </c>
      <c r="B7" s="2346" t="str">
        <f t="shared" ref="B7:B13" si="1">IF(A7=0,"","经营性")</f>
        <v/>
      </c>
      <c r="C7" s="173"/>
      <c r="D7" s="2317">
        <f>SUMIF(项目基本情况!D$15:I$15,C7,项目基本情况!D$18:I$18)</f>
        <v>0</v>
      </c>
      <c r="E7" s="231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4"/>
      <c r="I7" s="3064"/>
      <c r="J7" s="176"/>
      <c r="K7" s="179">
        <f>SUMIF('数据-汇总表'!C$19:C$33,'数据-取费表'!A7,'数据-汇总表'!E$19:E$33)</f>
        <v>0</v>
      </c>
      <c r="L7" s="3065"/>
      <c r="M7" s="177">
        <f t="shared" si="0"/>
        <v>0</v>
      </c>
      <c r="N7" s="3066"/>
      <c r="O7" s="177">
        <f t="shared" ref="O7:O14" si="3">IF($N$5="成新度","——",ROUND(M7*N7,0))</f>
        <v>0</v>
      </c>
      <c r="P7" s="178">
        <f t="shared" ref="P7:P14" si="4">IF($N$5="成新度","——",M7-O7)</f>
        <v>0</v>
      </c>
      <c r="Q7" s="3067"/>
      <c r="R7" s="179">
        <f>SUMIF('数据-汇总表'!C$19:C$33,A7,'数据-汇总表'!R$19:R$33)</f>
        <v>0</v>
      </c>
      <c r="S7" s="132">
        <f>IF('数据-汇总表'!$I$17="按面积比例",SUMIF('数据-汇总表'!C$19:C$33,A7,'数据-汇总表'!K$19:K$33),SUMIF('数据-汇总表'!C$19:C$33,A7,'数据-汇总表'!N$19:N$33))</f>
        <v>0</v>
      </c>
      <c r="T7" s="2243">
        <f t="shared" ref="T7:T13" si="5">IF($T$4="按面积比例",IF(ISERROR(ROUND($M$14*S7/S$16,0)),"0",ROUND($M$14*S7/S$16,0)),"需自行计算录入")</f>
        <v>0</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c r="AL7" s="190"/>
      <c r="AM7" s="2424"/>
      <c r="AN7" s="2426"/>
      <c r="AO7" s="2005"/>
      <c r="AP7" s="1207">
        <f t="shared" ref="AP7:AP13" si="8">ROUND(1-1/(1+H7)^F7,3)</f>
        <v>0</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f>'数据-汇总表'!C21</f>
        <v>0</v>
      </c>
      <c r="B8" s="2346" t="str">
        <f t="shared" si="1"/>
        <v/>
      </c>
      <c r="C8" s="173"/>
      <c r="D8" s="2317">
        <f>SUMIF(项目基本情况!D$15:I$15,C8,项目基本情况!D$18:I$18)</f>
        <v>0</v>
      </c>
      <c r="E8" s="2318" t="str">
        <f>IF(B8="","",SUMIF(项目基本情况!D$15:I$15,C8,项目基本情况!D$17:I$17))</f>
        <v/>
      </c>
      <c r="F8" s="174">
        <f>SUMIF(项目基本情况!D$15:I$15,C8,项目基本情况!D$19:I$19)</f>
        <v>0</v>
      </c>
      <c r="G8" s="175">
        <f t="shared" si="2"/>
        <v>0</v>
      </c>
      <c r="H8" s="3064"/>
      <c r="I8" s="3064"/>
      <c r="J8" s="176"/>
      <c r="K8" s="179">
        <f>SUMIF('数据-汇总表'!C$19:C$33,'数据-取费表'!A8,'数据-汇总表'!E$19:E$33)</f>
        <v>0</v>
      </c>
      <c r="L8" s="3065"/>
      <c r="M8" s="177">
        <f>ROUND(K8*L8/10000,0)</f>
        <v>0</v>
      </c>
      <c r="N8" s="3066"/>
      <c r="O8" s="177">
        <f t="shared" si="3"/>
        <v>0</v>
      </c>
      <c r="P8" s="178">
        <f t="shared" si="4"/>
        <v>0</v>
      </c>
      <c r="Q8" s="3067"/>
      <c r="R8" s="179">
        <f>SUMIF('数据-汇总表'!C$19:C$33,A8,'数据-汇总表'!R$19:R$33)</f>
        <v>0</v>
      </c>
      <c r="S8" s="132">
        <f>IF('数据-汇总表'!$I$17="按面积比例",SUMIF('数据-汇总表'!C$19:C$33,A8,'数据-汇总表'!K$19:K$33),SUMIF('数据-汇总表'!C$19:C$33,A8,'数据-汇总表'!N$19:N$33))</f>
        <v>0</v>
      </c>
      <c r="T8" s="2243">
        <f t="shared" si="5"/>
        <v>0</v>
      </c>
      <c r="U8" s="180"/>
      <c r="V8" s="181"/>
      <c r="W8" s="181"/>
      <c r="X8" s="2330"/>
      <c r="Y8" s="182"/>
      <c r="Z8" s="183"/>
      <c r="AA8" s="176"/>
      <c r="AB8" s="176"/>
      <c r="AC8" s="2333"/>
      <c r="AD8" s="184"/>
      <c r="AE8" s="975">
        <f t="shared" ca="1" si="6"/>
        <v>0</v>
      </c>
      <c r="AF8" s="141"/>
      <c r="AG8" s="1216">
        <f t="shared" si="7"/>
        <v>0</v>
      </c>
      <c r="AH8" s="141"/>
      <c r="AI8" s="187"/>
      <c r="AJ8" s="188"/>
      <c r="AK8" s="189"/>
      <c r="AL8" s="190"/>
      <c r="AM8" s="2424"/>
      <c r="AN8" s="2426"/>
      <c r="AO8" s="2005"/>
      <c r="AP8" s="1207">
        <f t="shared" si="8"/>
        <v>0</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f>'数据-汇总表'!C22</f>
        <v>0</v>
      </c>
      <c r="B9" s="2346" t="str">
        <f t="shared" si="1"/>
        <v/>
      </c>
      <c r="C9" s="173"/>
      <c r="D9" s="2317">
        <f>SUMIF(项目基本情况!D$15:I$15,C9,项目基本情况!D$18:I$18)</f>
        <v>0</v>
      </c>
      <c r="E9" s="231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3">
        <f t="shared" si="5"/>
        <v>0</v>
      </c>
      <c r="U9" s="180"/>
      <c r="V9" s="181"/>
      <c r="W9" s="181"/>
      <c r="X9" s="2330"/>
      <c r="Y9" s="182"/>
      <c r="Z9" s="183"/>
      <c r="AA9" s="176"/>
      <c r="AB9" s="176"/>
      <c r="AC9" s="2333"/>
      <c r="AD9" s="184"/>
      <c r="AE9" s="975">
        <f t="shared" ca="1" si="6"/>
        <v>0</v>
      </c>
      <c r="AF9" s="141"/>
      <c r="AG9" s="1216">
        <f t="shared" si="7"/>
        <v>0</v>
      </c>
      <c r="AH9" s="141"/>
      <c r="AI9" s="187"/>
      <c r="AJ9" s="188"/>
      <c r="AK9" s="189"/>
      <c r="AL9" s="190"/>
      <c r="AM9" s="2424"/>
      <c r="AN9" s="2426"/>
      <c r="AO9" s="2005"/>
      <c r="AP9" s="1207">
        <f t="shared" si="8"/>
        <v>0</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4"/>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6"/>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2325</v>
      </c>
      <c r="B14" s="2315" t="s">
        <v>1682</v>
      </c>
      <c r="C14" s="2316" t="s">
        <v>2325</v>
      </c>
      <c r="D14" s="2317"/>
      <c r="E14" s="2318"/>
      <c r="F14" s="174"/>
      <c r="G14" s="175"/>
      <c r="H14" s="2319"/>
      <c r="I14" s="2319"/>
      <c r="J14" s="2319"/>
      <c r="K14" s="179">
        <f>SUMIF('数据-汇总表'!C$19:C$33,'数据-取费表'!A14,'数据-汇总表'!E$19:E$33)</f>
        <v>62209.84</v>
      </c>
      <c r="L14" s="193">
        <v>2500</v>
      </c>
      <c r="M14" s="177">
        <f t="shared" si="0"/>
        <v>15552</v>
      </c>
      <c r="N14" s="194">
        <v>0</v>
      </c>
      <c r="O14" s="177">
        <f t="shared" si="3"/>
        <v>0</v>
      </c>
      <c r="P14" s="178">
        <f t="shared" si="4"/>
        <v>15552</v>
      </c>
      <c r="Q14" s="2327"/>
      <c r="R14" s="179"/>
      <c r="S14" s="132"/>
      <c r="T14" s="2326"/>
      <c r="U14" s="977"/>
      <c r="V14" s="2329"/>
      <c r="W14" s="2329"/>
      <c r="X14" s="2330"/>
      <c r="Y14" s="2331"/>
      <c r="Z14" s="136"/>
      <c r="AA14" s="2332"/>
      <c r="AB14" s="2332"/>
      <c r="AC14" s="2333"/>
      <c r="AD14" s="2330"/>
      <c r="AE14" s="975"/>
      <c r="AF14" s="2305"/>
      <c r="AG14" s="1216"/>
      <c r="AH14" s="2305"/>
      <c r="AI14" s="1577"/>
      <c r="AJ14" s="1577"/>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2327</v>
      </c>
      <c r="B15" s="2315" t="s">
        <v>1682</v>
      </c>
      <c r="C15" s="2316" t="s">
        <v>2326</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7"/>
      <c r="AJ15" s="1577"/>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f>ROUND(SUMPRODUCT(G6:G13,K6:K13)/SUMPRODUCT((G6:G13&gt;0)*(K6:K13)),3)</f>
        <v>0.88500000000000001</v>
      </c>
      <c r="H16" s="203">
        <f>ROUND(SUMPRODUCT(H6:H13,K6:K13)/SUMPRODUCT((H6:H13&gt;0)*(K6:K13)),3)</f>
        <v>5.5E-2</v>
      </c>
      <c r="I16" s="204"/>
      <c r="J16" s="204"/>
      <c r="K16" s="205">
        <f>SUM(K6:K15)</f>
        <v>129001.58</v>
      </c>
      <c r="L16" s="206">
        <f>ROUND(M16*10000/SUM(K6:K14),0)</f>
        <v>2759</v>
      </c>
      <c r="M16" s="206">
        <f>SUM(M6:M14)</f>
        <v>35590</v>
      </c>
      <c r="N16" s="207">
        <f>ROUND(SUMPRODUCT(M6:M14,N6:N14)/M16,3)</f>
        <v>0</v>
      </c>
      <c r="O16" s="206">
        <f>SUM(O6:O14)</f>
        <v>0</v>
      </c>
      <c r="P16" s="206">
        <f>SUM(P6:P14)</f>
        <v>35590</v>
      </c>
      <c r="Q16" s="208">
        <f>ROUND(SUMPRODUCT(Q6:Q13,K6:K13)/SUMPRODUCT((Q6:Q13&gt;0)*(K6:K13)),2)</f>
        <v>0.25</v>
      </c>
      <c r="R16" s="2320">
        <f>SUM(R6:R13)</f>
        <v>70250.03</v>
      </c>
      <c r="S16" s="209">
        <f>SUM(S6:S13)</f>
        <v>62209.84</v>
      </c>
      <c r="T16" s="210">
        <f>IF(SUMIF(T6:T13,"&lt;9E307")=M14,SUMIF(T6:T13,"&lt;9E307"),"有误，请检查")</f>
        <v>15552</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0.78100000000000003</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v>0</v>
      </c>
      <c r="C19" s="2373" t="s">
        <v>2347</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220">
        <v>2.5</v>
      </c>
      <c r="C20" s="2373" t="s">
        <v>2346</v>
      </c>
      <c r="D20" s="1998"/>
      <c r="E20" s="1997"/>
      <c r="F20" s="1997"/>
      <c r="G20" s="1997"/>
      <c r="H20" s="1997"/>
      <c r="I20" s="1997"/>
      <c r="J20" s="1997"/>
      <c r="K20" s="1996"/>
      <c r="L20" s="3144" t="s">
        <v>3070</v>
      </c>
      <c r="M20" s="3145" t="s">
        <v>3073</v>
      </c>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v>0</v>
      </c>
      <c r="C21" s="1997"/>
      <c r="D21" s="1998"/>
      <c r="E21" s="1997"/>
      <c r="F21" s="1997"/>
      <c r="G21" s="1997"/>
      <c r="H21" s="1997"/>
      <c r="I21" s="1997"/>
      <c r="J21" s="1997"/>
      <c r="K21" s="1996"/>
      <c r="L21" s="3144" t="s">
        <v>3071</v>
      </c>
      <c r="M21" s="1994">
        <f>'数据-汇总表'!F19</f>
        <v>66791.740000000005</v>
      </c>
      <c r="N21" s="1994">
        <v>3000</v>
      </c>
      <c r="O21" s="1994">
        <f>ROUND(M21*N21/10000,0)</f>
        <v>20038</v>
      </c>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2.5</v>
      </c>
      <c r="C22" s="1997"/>
      <c r="D22" s="1998"/>
      <c r="E22" s="1997"/>
      <c r="F22" s="1997"/>
      <c r="G22" s="1997"/>
      <c r="H22" s="1997"/>
      <c r="I22" s="1997"/>
      <c r="J22" s="1997"/>
      <c r="K22" s="1996"/>
      <c r="L22" s="3144" t="s">
        <v>3072</v>
      </c>
      <c r="M22" s="1994">
        <f>'数据-汇总表'!G19</f>
        <v>0</v>
      </c>
      <c r="N22" s="1994">
        <v>2500</v>
      </c>
      <c r="O22" s="1994">
        <f>ROUND(M22*N22/10000,0)</f>
        <v>0</v>
      </c>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v>
      </c>
      <c r="C23" s="1997"/>
      <c r="D23" s="1998"/>
      <c r="E23" s="1997"/>
      <c r="F23" s="1997"/>
      <c r="G23" s="1997"/>
      <c r="H23" s="1997"/>
      <c r="I23" s="1997"/>
      <c r="J23" s="1997"/>
      <c r="K23" s="1996"/>
      <c r="L23" s="1996"/>
      <c r="M23" s="1994">
        <f t="shared" ref="M23" si="9">SUM(M21:M22)</f>
        <v>66791.740000000005</v>
      </c>
      <c r="N23" s="1994">
        <f>ROUND(O23*10000/M23,0)</f>
        <v>3000</v>
      </c>
      <c r="O23" s="1994">
        <f>SUM(O21:O22)</f>
        <v>20038</v>
      </c>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2.5</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2349</v>
      </c>
      <c r="B27" s="227"/>
      <c r="C27" s="2376" t="s">
        <v>2353</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2350</v>
      </c>
      <c r="B28" s="229">
        <v>220</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2348</v>
      </c>
      <c r="B29" s="232"/>
      <c r="C29" s="1558" t="s">
        <v>2351</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v>180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180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2">
        <v>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3">
        <v>0.03</v>
      </c>
      <c r="C33" s="2374" t="s">
        <v>2909</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v>0</v>
      </c>
      <c r="C34" s="2374" t="s">
        <v>2910</v>
      </c>
      <c r="D34" s="1998" t="s">
        <v>873</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v>180</v>
      </c>
      <c r="C35" s="2374" t="s">
        <v>2911</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v>1.4999999999999999E-2</v>
      </c>
      <c r="C36" s="2374" t="s">
        <v>2912</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v>0.02</v>
      </c>
      <c r="C37" s="2374" t="s">
        <v>2913</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v>0.02</v>
      </c>
      <c r="C38" s="2374" t="s">
        <v>2913</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2469</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2470</v>
      </c>
      <c r="B40" s="2515">
        <f ca="1">存贷款利率!E2</f>
        <v>4.7500000000000001E-2</v>
      </c>
      <c r="C40" s="2374" t="s">
        <v>2352</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5.6000000000000001E-2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8">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6.000000000000001E-3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v>7.0000000000000007E-2</v>
      </c>
      <c r="C44" s="2374" t="s">
        <v>2914</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v>0.03</v>
      </c>
      <c r="C45" s="2376" t="s">
        <v>2915</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v>0.02</v>
      </c>
      <c r="C46" s="2376" t="s">
        <v>2916</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v>0</v>
      </c>
      <c r="C47" s="3113" t="s">
        <v>2917</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c r="C48" s="3114" t="s">
        <v>2918</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83" ht="15" thickBot="1">
      <c r="A49" s="237" t="s">
        <v>290</v>
      </c>
      <c r="B49" s="240"/>
      <c r="C49" s="3114" t="s">
        <v>2919</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83"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83"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83" ht="14.25">
      <c r="A52" s="247" t="s">
        <v>293</v>
      </c>
      <c r="B52" s="250">
        <f>SUMIF(A54:A63,B53,B54:B63)</f>
        <v>18</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83" ht="27">
      <c r="A53" s="228" t="s">
        <v>294</v>
      </c>
      <c r="B53" s="251" t="s">
        <v>1329</v>
      </c>
      <c r="C53" s="3115" t="s">
        <v>2920</v>
      </c>
      <c r="D53" s="3116" t="s">
        <v>2921</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83" ht="14.25">
      <c r="A54" s="3118" t="s">
        <v>2922</v>
      </c>
      <c r="B54" s="186"/>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83" ht="14.25">
      <c r="A55" s="3118" t="s">
        <v>2923</v>
      </c>
      <c r="B55" s="186"/>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83" s="3171" customFormat="1" ht="14.25">
      <c r="A56" s="3164" t="s">
        <v>2924</v>
      </c>
      <c r="B56" s="3165">
        <v>18</v>
      </c>
      <c r="C56" s="3166">
        <v>18</v>
      </c>
      <c r="D56" s="3167" t="s">
        <v>3176</v>
      </c>
      <c r="E56" s="3168"/>
      <c r="F56" s="3168"/>
      <c r="G56" s="3168"/>
      <c r="H56" s="3168"/>
      <c r="I56" s="3168"/>
      <c r="J56" s="3168"/>
      <c r="K56" s="3169"/>
      <c r="L56" s="3169"/>
      <c r="M56" s="3170"/>
      <c r="N56" s="3170"/>
      <c r="O56" s="3170"/>
      <c r="P56" s="3170"/>
      <c r="Q56" s="3170"/>
      <c r="R56" s="3170"/>
      <c r="S56" s="3170"/>
      <c r="T56" s="3170"/>
      <c r="U56" s="3170"/>
      <c r="V56" s="3170"/>
      <c r="W56" s="3170"/>
      <c r="X56" s="3170"/>
      <c r="Y56" s="3170"/>
      <c r="Z56" s="3170"/>
      <c r="AA56" s="3170"/>
      <c r="AB56" s="3170"/>
      <c r="AC56" s="3170"/>
      <c r="AD56" s="3170"/>
      <c r="AE56" s="3170"/>
      <c r="AF56" s="3170"/>
      <c r="AG56" s="3170"/>
      <c r="AH56" s="3170"/>
      <c r="AI56" s="3170"/>
      <c r="AJ56" s="3170"/>
      <c r="AK56" s="3170"/>
      <c r="AL56" s="3170"/>
      <c r="AM56" s="3170"/>
      <c r="AN56" s="3170"/>
      <c r="AO56" s="3170"/>
      <c r="AP56" s="3170"/>
      <c r="AQ56" s="3170"/>
      <c r="AR56" s="3170"/>
      <c r="AS56" s="3170"/>
      <c r="AT56" s="3170"/>
      <c r="AU56" s="3170"/>
      <c r="AV56" s="3170"/>
      <c r="AW56" s="3170"/>
      <c r="AX56" s="3170"/>
      <c r="AY56" s="3170"/>
      <c r="AZ56" s="3170"/>
      <c r="BA56" s="3170"/>
      <c r="BB56" s="3170"/>
      <c r="BC56" s="3170"/>
      <c r="BD56" s="3170"/>
      <c r="BE56" s="3170"/>
      <c r="BF56" s="3170"/>
      <c r="BG56" s="3170"/>
      <c r="BH56" s="3170"/>
      <c r="BI56" s="3170"/>
      <c r="BJ56" s="3170"/>
      <c r="BK56" s="3170"/>
      <c r="BL56" s="3170"/>
      <c r="BM56" s="3170"/>
      <c r="BN56" s="3170"/>
      <c r="BO56" s="3170"/>
      <c r="BP56" s="3170"/>
      <c r="BQ56" s="3170"/>
      <c r="BR56" s="3170"/>
      <c r="BS56" s="3170"/>
      <c r="BT56" s="3170"/>
      <c r="BU56" s="3170"/>
      <c r="BV56" s="3170"/>
      <c r="BW56" s="3170"/>
      <c r="BX56" s="3170"/>
      <c r="BY56" s="3170"/>
      <c r="BZ56" s="3170"/>
      <c r="CA56" s="3170"/>
      <c r="CB56" s="3170"/>
      <c r="CC56" s="3170"/>
      <c r="CD56" s="3170"/>
      <c r="CE56" s="3170"/>
    </row>
    <row r="57" spans="1:83" ht="14.25">
      <c r="A57" s="3118" t="s">
        <v>2925</v>
      </c>
      <c r="B57" s="186"/>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83" ht="14.25">
      <c r="A58" s="3118" t="s">
        <v>2926</v>
      </c>
      <c r="B58" s="186"/>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83" ht="14.25">
      <c r="A59" s="3118" t="s">
        <v>2927</v>
      </c>
      <c r="B59" s="186"/>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83" ht="14.25">
      <c r="A60" s="3118" t="s">
        <v>2928</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83" ht="14.25">
      <c r="A61" s="3118" t="s">
        <v>2929</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83" ht="14.25">
      <c r="A62" s="3118" t="s">
        <v>2930</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83" ht="15" thickBot="1">
      <c r="A63" s="3119" t="s">
        <v>2931</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83"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62" t="s">
        <v>1666</v>
      </c>
      <c r="B1" s="3263"/>
      <c r="C1" s="3263"/>
      <c r="D1" s="3263"/>
      <c r="E1" s="3263"/>
      <c r="F1" s="3263"/>
      <c r="G1" s="3263"/>
      <c r="H1" s="2007"/>
      <c r="I1" s="2008"/>
      <c r="J1" s="2009"/>
      <c r="K1" s="2007"/>
      <c r="L1" s="2008"/>
      <c r="M1" s="2009"/>
      <c r="N1" s="2007"/>
      <c r="O1" s="2008"/>
      <c r="P1" s="2009"/>
      <c r="Q1" s="2010"/>
      <c r="R1" s="2011"/>
    </row>
    <row r="2" spans="1:18" ht="14.25" thickBot="1">
      <c r="A2" s="1224"/>
      <c r="B2" s="1225"/>
      <c r="C2" s="1226" t="s">
        <v>1667</v>
      </c>
      <c r="D2" s="1227"/>
      <c r="E2" s="1228"/>
      <c r="F2" s="1229"/>
      <c r="G2" s="1226" t="s">
        <v>1668</v>
      </c>
      <c r="H2" s="2013"/>
      <c r="I2" s="2013"/>
      <c r="J2" s="2013"/>
      <c r="K2" s="2013"/>
      <c r="L2" s="2013"/>
      <c r="M2" s="2013"/>
      <c r="N2" s="2013"/>
      <c r="O2" s="2013"/>
      <c r="P2" s="2013"/>
      <c r="Q2" s="2013"/>
      <c r="R2" s="2013"/>
    </row>
    <row r="3" spans="1:18" ht="42.75">
      <c r="A3" s="1230" t="s">
        <v>1669</v>
      </c>
      <c r="B3" s="1231" t="s">
        <v>1656</v>
      </c>
      <c r="C3" s="3120"/>
      <c r="D3" s="2014"/>
      <c r="E3" s="1232" t="s">
        <v>1669</v>
      </c>
      <c r="F3" s="1233" t="s">
        <v>1657</v>
      </c>
      <c r="G3" s="3123" t="s">
        <v>2936</v>
      </c>
      <c r="H3" s="2013"/>
      <c r="I3" s="2013"/>
      <c r="J3" s="2013"/>
      <c r="K3" s="2013"/>
      <c r="L3" s="2013"/>
      <c r="M3" s="2013"/>
      <c r="N3" s="2013"/>
      <c r="O3" s="2013"/>
      <c r="P3" s="2013"/>
      <c r="Q3" s="2013"/>
      <c r="R3" s="2013"/>
    </row>
    <row r="4" spans="1:18" ht="81">
      <c r="A4" s="1232"/>
      <c r="B4" s="1234" t="s">
        <v>1670</v>
      </c>
      <c r="C4" s="3146" t="s">
        <v>3173</v>
      </c>
      <c r="D4" s="2014"/>
      <c r="E4" s="1235"/>
      <c r="F4" s="1236" t="s">
        <v>1671</v>
      </c>
      <c r="G4" s="3122" t="s">
        <v>2933</v>
      </c>
      <c r="H4" s="2013"/>
      <c r="I4" s="2013"/>
      <c r="J4" s="2013"/>
      <c r="K4" s="2013"/>
      <c r="L4" s="2013"/>
      <c r="M4" s="2013"/>
      <c r="N4" s="2013"/>
      <c r="O4" s="2013"/>
      <c r="P4" s="2013"/>
      <c r="Q4" s="2013"/>
      <c r="R4" s="2013"/>
    </row>
    <row r="5" spans="1:18" ht="27">
      <c r="A5" s="1232"/>
      <c r="B5" s="1234" t="s">
        <v>1672</v>
      </c>
      <c r="C5" s="3121"/>
      <c r="D5" s="2014"/>
      <c r="E5" s="1235"/>
      <c r="F5" s="1234" t="s">
        <v>2560</v>
      </c>
      <c r="G5" s="3122" t="s">
        <v>2934</v>
      </c>
      <c r="H5" s="2013"/>
      <c r="I5" s="2013"/>
      <c r="J5" s="2013"/>
      <c r="K5" s="2013"/>
      <c r="L5" s="2013"/>
      <c r="M5" s="2013"/>
      <c r="N5" s="2013"/>
      <c r="O5" s="2013"/>
      <c r="P5" s="2013"/>
      <c r="Q5" s="2013"/>
      <c r="R5" s="2013"/>
    </row>
    <row r="6" spans="1:18" ht="81">
      <c r="A6" s="1232"/>
      <c r="B6" s="1234" t="s">
        <v>1658</v>
      </c>
      <c r="C6" s="3147" t="s">
        <v>3075</v>
      </c>
      <c r="D6" s="2014"/>
      <c r="E6" s="1235"/>
      <c r="F6" s="1234" t="s">
        <v>2561</v>
      </c>
      <c r="G6" s="3122" t="s">
        <v>2932</v>
      </c>
      <c r="H6" s="2013"/>
      <c r="I6" s="2013"/>
      <c r="J6" s="2013"/>
      <c r="K6" s="2013"/>
      <c r="L6" s="2013"/>
      <c r="M6" s="2013"/>
      <c r="N6" s="2013"/>
      <c r="O6" s="2013"/>
      <c r="P6" s="2013"/>
      <c r="Q6" s="2013"/>
      <c r="R6" s="2013"/>
    </row>
    <row r="7" spans="1:18" ht="81.75" thickBot="1">
      <c r="A7" s="1232"/>
      <c r="B7" s="1234" t="s">
        <v>2560</v>
      </c>
      <c r="C7" s="3147" t="s">
        <v>3079</v>
      </c>
      <c r="D7" s="2015"/>
      <c r="E7" s="1237"/>
      <c r="F7" s="1238" t="s">
        <v>1673</v>
      </c>
      <c r="G7" s="3124" t="s">
        <v>2935</v>
      </c>
      <c r="H7" s="2013"/>
      <c r="I7" s="2013"/>
      <c r="J7" s="2013"/>
      <c r="K7" s="2013"/>
      <c r="L7" s="2013"/>
      <c r="M7" s="2013"/>
      <c r="N7" s="2013"/>
      <c r="O7" s="2013"/>
      <c r="P7" s="2013"/>
      <c r="Q7" s="2013"/>
      <c r="R7" s="2013"/>
    </row>
    <row r="8" spans="1:18" ht="27">
      <c r="A8" s="1232"/>
      <c r="B8" s="1234" t="s">
        <v>2561</v>
      </c>
      <c r="C8" s="3147" t="s">
        <v>3077</v>
      </c>
      <c r="D8" s="2015"/>
      <c r="E8" s="2015"/>
      <c r="F8" s="1559"/>
      <c r="G8" s="1559"/>
      <c r="H8" s="2013"/>
      <c r="I8" s="2013"/>
      <c r="J8" s="2013"/>
      <c r="K8" s="2013"/>
      <c r="L8" s="2013"/>
      <c r="M8" s="2013"/>
      <c r="N8" s="2013"/>
      <c r="O8" s="2013"/>
      <c r="P8" s="2013"/>
      <c r="Q8" s="2013"/>
      <c r="R8" s="2013"/>
    </row>
    <row r="9" spans="1:18" ht="67.5">
      <c r="A9" s="1232"/>
      <c r="B9" s="1234" t="s">
        <v>1659</v>
      </c>
      <c r="C9" s="3146" t="s">
        <v>3076</v>
      </c>
      <c r="D9" s="2014"/>
      <c r="E9" s="2015"/>
      <c r="F9" s="1559"/>
      <c r="G9" s="1559"/>
      <c r="H9" s="2013"/>
      <c r="I9" s="2013"/>
      <c r="J9" s="2013"/>
      <c r="K9" s="2013"/>
      <c r="L9" s="2013"/>
      <c r="M9" s="2013"/>
      <c r="N9" s="2013"/>
      <c r="O9" s="2013"/>
      <c r="P9" s="2013"/>
      <c r="Q9" s="2013"/>
      <c r="R9" s="2013"/>
    </row>
    <row r="10" spans="1:18" s="2021" customFormat="1" ht="15" thickBot="1">
      <c r="A10" s="1239"/>
      <c r="B10" s="1240" t="s">
        <v>1674</v>
      </c>
      <c r="C10" s="3146" t="s">
        <v>3080</v>
      </c>
      <c r="D10" s="2014"/>
      <c r="E10" s="2014"/>
      <c r="F10" s="1559"/>
      <c r="G10" s="1559"/>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1675</v>
      </c>
      <c r="B13" s="2612"/>
      <c r="C13" s="2612"/>
      <c r="D13" s="1227"/>
      <c r="E13" s="2612"/>
      <c r="F13" s="2612"/>
      <c r="G13" s="2612"/>
    </row>
    <row r="14" spans="1:18" ht="14.25" thickBot="1">
      <c r="A14" s="1241"/>
      <c r="B14" s="1242"/>
      <c r="C14" s="1243" t="s">
        <v>1667</v>
      </c>
      <c r="D14" s="2014"/>
      <c r="E14" s="1244"/>
      <c r="F14" s="1244"/>
      <c r="G14" s="1226" t="s">
        <v>1668</v>
      </c>
    </row>
    <row r="15" spans="1:18" ht="40.5">
      <c r="A15" s="2622" t="s">
        <v>1660</v>
      </c>
      <c r="B15" s="1245" t="s">
        <v>1656</v>
      </c>
      <c r="C15" s="1246">
        <f>C3</f>
        <v>0</v>
      </c>
      <c r="D15" s="2014"/>
      <c r="E15" s="2619" t="s">
        <v>1661</v>
      </c>
      <c r="F15" s="1245" t="s">
        <v>1676</v>
      </c>
      <c r="G15" s="1247" t="str">
        <f>G3</f>
        <v>估价对象位于XX开发区，园区建设成熟度XX，产业集聚程度XX</v>
      </c>
    </row>
    <row r="16" spans="1:18" ht="81">
      <c r="A16" s="2623"/>
      <c r="B16" s="1248" t="s">
        <v>1670</v>
      </c>
      <c r="C16" s="1249" t="str">
        <f>C4</f>
        <v>估价对象位于美兰区海甸岛，周边2公里范围内有恒福居商业广场、 美丽沙花园底商等，由于估价对象位于海甸岛北侧，人流量较大，商服繁华度较好。</v>
      </c>
      <c r="D16" s="2014"/>
      <c r="E16" s="2620"/>
      <c r="F16" s="1250" t="s">
        <v>1671</v>
      </c>
      <c r="G16" s="1008" t="str">
        <f>G4</f>
        <v>估价对象周边道路状况、公共交通通达情况、停车便捷程度，综合评价交通便捷度较好</v>
      </c>
    </row>
    <row r="17" spans="1:7" ht="14.25">
      <c r="A17" s="2623"/>
      <c r="B17" s="1248" t="s">
        <v>1672</v>
      </c>
      <c r="C17" s="1249">
        <f>C5</f>
        <v>0</v>
      </c>
      <c r="D17" s="2015"/>
      <c r="E17" s="2620"/>
      <c r="F17" s="1250" t="s">
        <v>1677</v>
      </c>
      <c r="G17" s="2832"/>
    </row>
    <row r="18" spans="1:7" ht="81">
      <c r="A18" s="2623"/>
      <c r="B18" s="1250" t="s">
        <v>1658</v>
      </c>
      <c r="C18" s="1008" t="str">
        <f>C6</f>
        <v>估价对象位于美兰区，东距甸昆路约800米，南面邻近琼州海峡。周边2公里范围内有5、20、26路等公交线路，路网密集度一般，交通便捷度一般。</v>
      </c>
      <c r="D18" s="2015"/>
      <c r="E18" s="2620"/>
      <c r="F18" s="1250" t="s">
        <v>1673</v>
      </c>
      <c r="G18" s="1008" t="str">
        <f>G7</f>
        <v>该园区内是否有污染型企业，绿化情况，卫生条件，整体环境状况判断</v>
      </c>
    </row>
    <row r="19" spans="1:7" ht="27">
      <c r="A19" s="2623"/>
      <c r="B19" s="1250" t="s">
        <v>1662</v>
      </c>
      <c r="C19" s="2832"/>
      <c r="D19" s="2014"/>
      <c r="E19" s="2620"/>
      <c r="F19" s="1234" t="s">
        <v>2560</v>
      </c>
      <c r="G19" s="1008" t="str">
        <f>G5</f>
        <v>估价对象所在区域公共配套设施齐备情况</v>
      </c>
    </row>
    <row r="20" spans="1:7" ht="67.5">
      <c r="A20" s="2623"/>
      <c r="B20" s="1250" t="s">
        <v>1663</v>
      </c>
      <c r="C20" s="1249" t="str">
        <f>C9</f>
        <v>估价对象所处区域土地利用类型以住宅用地为主；周边2公里范围内有海南大学、邻近琼州海峡，自然及人文环境好。</v>
      </c>
      <c r="D20" s="2015"/>
      <c r="E20" s="2620"/>
      <c r="F20" s="1234" t="s">
        <v>2561</v>
      </c>
      <c r="G20" s="1008" t="str">
        <f>G6</f>
        <v>估价对象所在区域基础设施水平</v>
      </c>
    </row>
    <row r="21" spans="1:7" ht="81">
      <c r="A21" s="2623"/>
      <c r="B21" s="1234" t="s">
        <v>2560</v>
      </c>
      <c r="C21" s="1008" t="str">
        <f>C7</f>
        <v>周边2公里范围内有海口实验幼儿园、海口景山学校海淀分校等学校；有中国建设银行、中国工商银行等金融机构；公共配套设施情况较好。</v>
      </c>
      <c r="D21" s="2014"/>
      <c r="E21" s="2620"/>
      <c r="F21" s="1250" t="s">
        <v>1664</v>
      </c>
      <c r="G21" s="3125"/>
    </row>
    <row r="22" spans="1:7" ht="27">
      <c r="A22" s="2623"/>
      <c r="B22" s="1234" t="s">
        <v>2561</v>
      </c>
      <c r="C22" s="1008" t="str">
        <f>C8</f>
        <v>估价对象所在区域基础设施水平：六通</v>
      </c>
      <c r="D22" s="2014"/>
      <c r="E22" s="2620"/>
      <c r="F22" s="1250" t="s">
        <v>1674</v>
      </c>
      <c r="G22" s="2832"/>
    </row>
    <row r="23" spans="1:7" ht="15" thickBot="1">
      <c r="A23" s="2623"/>
      <c r="B23" s="1250" t="s">
        <v>1664</v>
      </c>
      <c r="C23" s="3125"/>
      <c r="E23" s="2621"/>
      <c r="F23" s="1251" t="s">
        <v>1678</v>
      </c>
      <c r="G23" s="3126"/>
    </row>
    <row r="24" spans="1:7" ht="14.25" thickBot="1">
      <c r="A24" s="2624"/>
      <c r="B24" s="1251" t="s">
        <v>1665</v>
      </c>
      <c r="C24" s="1252" t="str">
        <f>C10</f>
        <v>城市次干道-海甸五西路</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31" sqref="B31"/>
    </sheetView>
  </sheetViews>
  <sheetFormatPr defaultColWidth="14.625" defaultRowHeight="13.5"/>
  <cols>
    <col min="1" max="1" width="24.375" customWidth="1"/>
  </cols>
  <sheetData>
    <row r="1" spans="1:9" ht="16.5">
      <c r="A1" s="3084" t="s">
        <v>2860</v>
      </c>
      <c r="B1" s="3084">
        <f>SUM(B14:B23)</f>
        <v>129001.58</v>
      </c>
      <c r="C1" s="3085"/>
      <c r="D1" s="3085"/>
      <c r="E1" s="3085"/>
      <c r="F1" s="3085"/>
    </row>
    <row r="2" spans="1:9" ht="16.5">
      <c r="A2" s="3084" t="s">
        <v>2861</v>
      </c>
      <c r="B2" s="3084">
        <f>SUM(C14:C23)</f>
        <v>70250.03</v>
      </c>
      <c r="C2" s="3085"/>
      <c r="D2" s="3085"/>
      <c r="E2" s="3085"/>
      <c r="F2" s="3085"/>
    </row>
    <row r="3" spans="1:9" ht="16.5">
      <c r="A3" s="3084" t="s">
        <v>2862</v>
      </c>
      <c r="B3" s="3086">
        <f>项目基本情况!D3</f>
        <v>42912</v>
      </c>
      <c r="C3" s="3085"/>
      <c r="D3" s="3085"/>
      <c r="E3" s="3085"/>
      <c r="F3" s="3085"/>
    </row>
    <row r="4" spans="1:9" ht="33">
      <c r="A4" s="3084" t="s">
        <v>2863</v>
      </c>
      <c r="B4" s="3084" t="s">
        <v>2864</v>
      </c>
      <c r="C4" s="3084" t="s">
        <v>2865</v>
      </c>
      <c r="D4" s="3084" t="s">
        <v>2866</v>
      </c>
      <c r="E4" s="3085"/>
      <c r="F4" s="3085"/>
    </row>
    <row r="5" spans="1:9" ht="16.5">
      <c r="A5" s="3084" t="s">
        <v>2867</v>
      </c>
      <c r="B5" s="3084">
        <f ca="1">SUM(D14:D23)</f>
        <v>56369</v>
      </c>
      <c r="C5" s="3084">
        <f ca="1">ROUND(B5*10000/$B$1,0)</f>
        <v>4370</v>
      </c>
      <c r="D5" s="3084">
        <f ca="1">ROUND(B5*10000/$B$2,0)</f>
        <v>8024</v>
      </c>
      <c r="E5" s="3085"/>
      <c r="F5" s="3085"/>
    </row>
    <row r="6" spans="1:9" ht="16.5">
      <c r="A6" s="3084" t="s">
        <v>2868</v>
      </c>
      <c r="B6" s="3084">
        <f ca="1">SUM(G14:G23)</f>
        <v>56369</v>
      </c>
      <c r="C6" s="3084">
        <f t="shared" ref="C6:C8" ca="1" si="0">ROUND(B6*10000/$B$1,0)</f>
        <v>4370</v>
      </c>
      <c r="D6" s="3084">
        <f t="shared" ref="D6:D8" ca="1" si="1">ROUND(B6*10000/$B$2,0)</f>
        <v>8024</v>
      </c>
      <c r="E6" s="3085"/>
      <c r="F6" s="3085"/>
    </row>
    <row r="7" spans="1:9" ht="16.5">
      <c r="A7" s="3084" t="s">
        <v>2869</v>
      </c>
      <c r="B7" s="3084">
        <f>SUM(H14:H23)</f>
        <v>0</v>
      </c>
      <c r="C7" s="3084">
        <f t="shared" si="0"/>
        <v>0</v>
      </c>
      <c r="D7" s="3084">
        <f t="shared" si="1"/>
        <v>0</v>
      </c>
      <c r="E7" s="3085"/>
      <c r="F7" s="3085"/>
    </row>
    <row r="8" spans="1:9" ht="16.5">
      <c r="A8" s="3084" t="s">
        <v>2870</v>
      </c>
      <c r="B8" s="3084">
        <f>SUM(I14:I23)</f>
        <v>0</v>
      </c>
      <c r="C8" s="3084">
        <f t="shared" si="0"/>
        <v>0</v>
      </c>
      <c r="D8" s="3084">
        <f t="shared" si="1"/>
        <v>0</v>
      </c>
      <c r="E8" s="3085"/>
      <c r="F8" s="3085"/>
    </row>
    <row r="9" spans="1:9" ht="16.5">
      <c r="A9" s="3084" t="s">
        <v>2871</v>
      </c>
      <c r="B9" s="3087"/>
      <c r="C9" s="3085"/>
      <c r="D9" s="3085"/>
      <c r="E9" s="3085"/>
      <c r="F9" s="3085"/>
    </row>
    <row r="10" spans="1:9" ht="16.5">
      <c r="A10" s="3084" t="s">
        <v>2872</v>
      </c>
      <c r="B10" s="3087"/>
      <c r="C10" s="3085"/>
      <c r="D10" s="3085"/>
      <c r="E10" s="3085"/>
      <c r="F10" s="3085"/>
    </row>
    <row r="11" spans="1:9" ht="16.5">
      <c r="A11" s="3084" t="s">
        <v>2889</v>
      </c>
      <c r="B11" s="3087"/>
      <c r="C11" s="3085"/>
      <c r="D11" s="3085"/>
      <c r="E11" s="3085"/>
      <c r="F11" s="3085"/>
    </row>
    <row r="12" spans="1:9" ht="16.5">
      <c r="A12" s="3085"/>
      <c r="B12" s="3085"/>
      <c r="C12" s="3085"/>
      <c r="D12" s="3085"/>
      <c r="E12" s="3085"/>
      <c r="F12" s="3085"/>
    </row>
    <row r="13" spans="1:9" ht="33">
      <c r="A13" s="3090" t="s">
        <v>2888</v>
      </c>
      <c r="B13" s="3088" t="s">
        <v>2860</v>
      </c>
      <c r="C13" s="3088" t="s">
        <v>2861</v>
      </c>
      <c r="D13" s="3088" t="s">
        <v>2873</v>
      </c>
      <c r="E13" s="3084" t="s">
        <v>2887</v>
      </c>
      <c r="F13" s="3084" t="s">
        <v>2866</v>
      </c>
      <c r="G13" s="3088" t="s">
        <v>2874</v>
      </c>
      <c r="H13" s="3088" t="s">
        <v>2875</v>
      </c>
      <c r="I13" s="3088" t="s">
        <v>2876</v>
      </c>
    </row>
    <row r="14" spans="1:9" ht="16.5">
      <c r="A14" s="3091" t="s">
        <v>2886</v>
      </c>
      <c r="B14" s="3088">
        <f>'数据-汇总表'!E3</f>
        <v>129001.58</v>
      </c>
      <c r="C14" s="3088">
        <f>'数据-汇总表'!D3</f>
        <v>70250.03</v>
      </c>
      <c r="D14" s="3088">
        <f ca="1">结果表!C42</f>
        <v>56369</v>
      </c>
      <c r="E14" s="3088">
        <f ca="1">ROUND(D14*10000/B14,0)</f>
        <v>4370</v>
      </c>
      <c r="F14" s="3088">
        <f ca="1">ROUND(D14*10000/C14,0)</f>
        <v>8024</v>
      </c>
      <c r="G14" s="3088">
        <f ca="1">结果表!C44</f>
        <v>56369</v>
      </c>
      <c r="H14" s="3088" t="str">
        <f>结果表!C45</f>
        <v>——</v>
      </c>
      <c r="I14" s="3088" t="str">
        <f>结果表!C46</f>
        <v>——</v>
      </c>
    </row>
    <row r="15" spans="1:9" ht="16.5">
      <c r="A15" s="3091" t="s">
        <v>2877</v>
      </c>
      <c r="B15" s="3092"/>
      <c r="C15" s="3092"/>
      <c r="D15" s="3092"/>
      <c r="E15" s="3088" t="e">
        <f t="shared" ref="E15:E23" si="2">ROUND(D15*10000/B15,0)</f>
        <v>#DIV/0!</v>
      </c>
      <c r="F15" s="3088" t="e">
        <f t="shared" ref="F15:F23" si="3">ROUND(D15*10000/C15,0)</f>
        <v>#DIV/0!</v>
      </c>
      <c r="G15" s="3089"/>
      <c r="H15" s="3089"/>
      <c r="I15" s="3092"/>
    </row>
    <row r="16" spans="1:9" ht="16.5">
      <c r="A16" s="3091" t="s">
        <v>2878</v>
      </c>
      <c r="B16" s="3092"/>
      <c r="C16" s="3092"/>
      <c r="D16" s="3092"/>
      <c r="E16" s="3088" t="e">
        <f t="shared" si="2"/>
        <v>#DIV/0!</v>
      </c>
      <c r="F16" s="3088" t="e">
        <f t="shared" si="3"/>
        <v>#DIV/0!</v>
      </c>
      <c r="G16" s="3089"/>
      <c r="H16" s="3089"/>
      <c r="I16" s="3092"/>
    </row>
    <row r="17" spans="1:9" ht="16.5">
      <c r="A17" s="3091" t="s">
        <v>2879</v>
      </c>
      <c r="B17" s="3092"/>
      <c r="C17" s="3092"/>
      <c r="D17" s="3092"/>
      <c r="E17" s="3088" t="e">
        <f t="shared" si="2"/>
        <v>#DIV/0!</v>
      </c>
      <c r="F17" s="3088" t="e">
        <f t="shared" si="3"/>
        <v>#DIV/0!</v>
      </c>
      <c r="G17" s="3089"/>
      <c r="H17" s="3089"/>
      <c r="I17" s="3092"/>
    </row>
    <row r="18" spans="1:9" ht="16.5">
      <c r="A18" s="3091" t="s">
        <v>2880</v>
      </c>
      <c r="B18" s="3092"/>
      <c r="C18" s="3092"/>
      <c r="D18" s="3092"/>
      <c r="E18" s="3088" t="e">
        <f t="shared" si="2"/>
        <v>#DIV/0!</v>
      </c>
      <c r="F18" s="3088" t="e">
        <f t="shared" si="3"/>
        <v>#DIV/0!</v>
      </c>
      <c r="G18" s="3092"/>
      <c r="H18" s="3092"/>
      <c r="I18" s="3092"/>
    </row>
    <row r="19" spans="1:9" ht="16.5">
      <c r="A19" s="3091" t="s">
        <v>2881</v>
      </c>
      <c r="B19" s="3092"/>
      <c r="C19" s="3092"/>
      <c r="D19" s="3092"/>
      <c r="E19" s="3088" t="e">
        <f t="shared" si="2"/>
        <v>#DIV/0!</v>
      </c>
      <c r="F19" s="3088" t="e">
        <f t="shared" si="3"/>
        <v>#DIV/0!</v>
      </c>
      <c r="G19" s="3092"/>
      <c r="H19" s="3092"/>
      <c r="I19" s="3092"/>
    </row>
    <row r="20" spans="1:9" ht="16.5">
      <c r="A20" s="3091" t="s">
        <v>2882</v>
      </c>
      <c r="B20" s="3092"/>
      <c r="C20" s="3092"/>
      <c r="D20" s="3092"/>
      <c r="E20" s="3088" t="e">
        <f t="shared" si="2"/>
        <v>#DIV/0!</v>
      </c>
      <c r="F20" s="3088" t="e">
        <f t="shared" si="3"/>
        <v>#DIV/0!</v>
      </c>
      <c r="G20" s="3092"/>
      <c r="H20" s="3092"/>
      <c r="I20" s="3092"/>
    </row>
    <row r="21" spans="1:9" ht="16.5">
      <c r="A21" s="3091" t="s">
        <v>2883</v>
      </c>
      <c r="B21" s="3092"/>
      <c r="C21" s="3092"/>
      <c r="D21" s="3092"/>
      <c r="E21" s="3088" t="e">
        <f t="shared" si="2"/>
        <v>#DIV/0!</v>
      </c>
      <c r="F21" s="3088" t="e">
        <f t="shared" si="3"/>
        <v>#DIV/0!</v>
      </c>
      <c r="G21" s="3092"/>
      <c r="H21" s="3092"/>
      <c r="I21" s="3092"/>
    </row>
    <row r="22" spans="1:9" ht="16.5">
      <c r="A22" s="3091" t="s">
        <v>2884</v>
      </c>
      <c r="B22" s="3092"/>
      <c r="C22" s="3092"/>
      <c r="D22" s="3092"/>
      <c r="E22" s="3088" t="e">
        <f t="shared" si="2"/>
        <v>#DIV/0!</v>
      </c>
      <c r="F22" s="3088" t="e">
        <f t="shared" si="3"/>
        <v>#DIV/0!</v>
      </c>
      <c r="G22" s="3092"/>
      <c r="H22" s="3092"/>
      <c r="I22" s="3092"/>
    </row>
    <row r="23" spans="1:9" ht="16.5">
      <c r="A23" s="3091" t="s">
        <v>2885</v>
      </c>
      <c r="B23" s="3092"/>
      <c r="C23" s="3092"/>
      <c r="D23" s="3092"/>
      <c r="E23" s="3084" t="e">
        <f t="shared" si="2"/>
        <v>#DIV/0!</v>
      </c>
      <c r="F23" s="3084" t="e">
        <f t="shared" si="3"/>
        <v>#DIV/0!</v>
      </c>
      <c r="G23" s="3092"/>
      <c r="H23" s="3092"/>
      <c r="I23" s="309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SheetLayoutView="100" zoomScalePageLayoutView="80" workbookViewId="0">
      <selection activeCell="G19" sqref="G19"/>
    </sheetView>
  </sheetViews>
  <sheetFormatPr defaultColWidth="12.625" defaultRowHeight="21.75" customHeight="1"/>
  <cols>
    <col min="1" max="2" width="12.75" style="1253" bestFit="1" customWidth="1"/>
    <col min="3" max="3" width="15.625" style="1253" customWidth="1"/>
    <col min="4" max="4" width="1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2065</v>
      </c>
      <c r="B1" s="1782"/>
      <c r="C1" s="1810" t="s">
        <v>2066</v>
      </c>
      <c r="D1" s="1811"/>
      <c r="E1" s="1810" t="s">
        <v>2067</v>
      </c>
      <c r="F1" s="1812" t="s">
        <v>3156</v>
      </c>
      <c r="G1" s="314"/>
      <c r="H1" s="314"/>
      <c r="I1" s="314"/>
      <c r="J1" s="2034"/>
      <c r="K1" s="2034"/>
      <c r="L1" s="2034"/>
      <c r="M1" s="2034"/>
      <c r="N1" s="2034"/>
      <c r="O1" s="2034"/>
      <c r="P1" s="2034"/>
      <c r="Q1" s="2034"/>
      <c r="R1" s="2034"/>
      <c r="S1" s="2034"/>
      <c r="T1" s="2034"/>
      <c r="U1" s="2034"/>
      <c r="V1" s="2034"/>
    </row>
    <row r="2" spans="1:22" ht="21.75" customHeight="1" thickBot="1">
      <c r="A2" s="3309" t="str">
        <f>项目基本情况!K2</f>
        <v>海口市海南省海口市海甸岛西北部1902地块1宗批发零售用地出让国有建设用地使用权</v>
      </c>
      <c r="B2" s="3310"/>
      <c r="C2" s="3311"/>
      <c r="D2" s="3311"/>
      <c r="E2" s="3311"/>
      <c r="F2" s="3311"/>
      <c r="G2" s="3310"/>
      <c r="H2" s="3310"/>
      <c r="I2" s="3312"/>
      <c r="J2" s="2035"/>
      <c r="K2" s="2034"/>
      <c r="L2" s="2034"/>
      <c r="M2" s="2034"/>
      <c r="N2" s="2034"/>
      <c r="O2" s="2034"/>
      <c r="P2" s="2034"/>
      <c r="Q2" s="2034"/>
      <c r="R2" s="2034"/>
      <c r="S2" s="2034"/>
      <c r="T2" s="2034"/>
      <c r="U2" s="2034"/>
      <c r="V2" s="2034"/>
    </row>
    <row r="3" spans="1:22" ht="14.25">
      <c r="A3" s="3320" t="s">
        <v>298</v>
      </c>
      <c r="B3" s="3321"/>
      <c r="C3" s="3321"/>
      <c r="D3" s="3321"/>
      <c r="E3" s="3321"/>
      <c r="F3" s="3321"/>
      <c r="G3" s="3321"/>
      <c r="H3" s="3321"/>
      <c r="I3" s="3321"/>
      <c r="J3" s="2035"/>
      <c r="K3" s="2034"/>
      <c r="L3" s="2034"/>
      <c r="M3" s="2034"/>
      <c r="N3" s="2034"/>
      <c r="O3" s="2034"/>
      <c r="P3" s="2034"/>
      <c r="Q3" s="2034"/>
      <c r="R3" s="2034"/>
      <c r="S3" s="2034"/>
      <c r="T3" s="2034"/>
      <c r="U3" s="2034"/>
      <c r="V3" s="2034"/>
    </row>
    <row r="4" spans="1:22" ht="14.25">
      <c r="A4" s="258" t="s">
        <v>299</v>
      </c>
      <c r="B4" s="259" t="s">
        <v>300</v>
      </c>
      <c r="C4" s="260" t="s">
        <v>3158</v>
      </c>
      <c r="D4" s="260" t="s">
        <v>3157</v>
      </c>
      <c r="E4" s="3284" t="s">
        <v>301</v>
      </c>
      <c r="F4" s="3326"/>
      <c r="G4" s="3326"/>
      <c r="H4" s="3326"/>
      <c r="I4" s="3285"/>
      <c r="J4" s="2035"/>
      <c r="K4" s="2034"/>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4"/>
      <c r="O4" s="2034"/>
      <c r="P4" s="2034"/>
      <c r="Q4" s="2034"/>
      <c r="R4" s="2034"/>
      <c r="S4" s="2034"/>
      <c r="T4" s="2034"/>
      <c r="U4" s="2034"/>
      <c r="V4" s="2034"/>
    </row>
    <row r="5" spans="1:22" ht="14.25">
      <c r="A5" s="3313" t="s">
        <v>302</v>
      </c>
      <c r="B5" s="3314">
        <v>25</v>
      </c>
      <c r="C5" s="3322"/>
      <c r="D5" s="3325"/>
      <c r="E5" s="261" t="s">
        <v>303</v>
      </c>
      <c r="F5" s="262"/>
      <c r="G5" s="262"/>
      <c r="H5" s="262"/>
      <c r="I5" s="263"/>
      <c r="J5" s="2035"/>
      <c r="K5" s="2034"/>
      <c r="L5" s="2034"/>
      <c r="M5" s="2034"/>
      <c r="N5" s="2034"/>
      <c r="O5" s="2034"/>
      <c r="P5" s="2034"/>
      <c r="Q5" s="2034"/>
      <c r="R5" s="2034"/>
      <c r="S5" s="2034"/>
      <c r="T5" s="2034"/>
      <c r="U5" s="2034"/>
      <c r="V5" s="2034"/>
    </row>
    <row r="6" spans="1:22" ht="14.25">
      <c r="A6" s="3313"/>
      <c r="B6" s="3314"/>
      <c r="C6" s="3323"/>
      <c r="D6" s="3325"/>
      <c r="E6" s="261" t="s">
        <v>304</v>
      </c>
      <c r="F6" s="262"/>
      <c r="G6" s="262"/>
      <c r="H6" s="262"/>
      <c r="I6" s="263"/>
      <c r="J6" s="2035"/>
      <c r="K6" s="2034"/>
      <c r="L6" s="2034"/>
      <c r="M6" s="2034"/>
      <c r="N6" s="2034"/>
      <c r="O6" s="2034"/>
      <c r="P6" s="2034"/>
      <c r="Q6" s="2034"/>
      <c r="R6" s="2034"/>
      <c r="S6" s="2034"/>
      <c r="T6" s="2034"/>
      <c r="U6" s="2034"/>
      <c r="V6" s="2034"/>
    </row>
    <row r="7" spans="1:22" ht="14.25">
      <c r="A7" s="3313"/>
      <c r="B7" s="3314"/>
      <c r="C7" s="3324"/>
      <c r="D7" s="3325"/>
      <c r="E7" s="261" t="s">
        <v>305</v>
      </c>
      <c r="F7" s="262"/>
      <c r="G7" s="262"/>
      <c r="H7" s="262"/>
      <c r="I7" s="263"/>
      <c r="J7" s="2035"/>
      <c r="K7" s="2034"/>
      <c r="L7" s="2034"/>
      <c r="M7" s="2034"/>
      <c r="N7" s="2034"/>
      <c r="O7" s="2034"/>
      <c r="P7" s="2034"/>
      <c r="Q7" s="2034"/>
      <c r="R7" s="2034"/>
      <c r="S7" s="2034"/>
      <c r="T7" s="2034"/>
      <c r="U7" s="2034"/>
      <c r="V7" s="2034"/>
    </row>
    <row r="8" spans="1:22" ht="14.25">
      <c r="A8" s="3313" t="s">
        <v>306</v>
      </c>
      <c r="B8" s="3314">
        <v>15</v>
      </c>
      <c r="C8" s="3322"/>
      <c r="D8" s="3325"/>
      <c r="E8" s="261" t="s">
        <v>307</v>
      </c>
      <c r="F8" s="262"/>
      <c r="G8" s="262"/>
      <c r="H8" s="262"/>
      <c r="I8" s="263"/>
      <c r="J8" s="2035"/>
      <c r="K8" s="2034"/>
      <c r="L8" s="2034"/>
      <c r="M8" s="2034"/>
      <c r="N8" s="2034"/>
      <c r="O8" s="2034"/>
      <c r="P8" s="2034"/>
      <c r="Q8" s="2034"/>
      <c r="R8" s="2034"/>
      <c r="S8" s="2034"/>
      <c r="T8" s="2034"/>
      <c r="U8" s="2034"/>
      <c r="V8" s="2034"/>
    </row>
    <row r="9" spans="1:22" ht="14.25">
      <c r="A9" s="3313"/>
      <c r="B9" s="3314"/>
      <c r="C9" s="3324"/>
      <c r="D9" s="3325"/>
      <c r="E9" s="261" t="s">
        <v>308</v>
      </c>
      <c r="F9" s="262"/>
      <c r="G9" s="262"/>
      <c r="H9" s="262"/>
      <c r="I9" s="263"/>
      <c r="J9" s="2035"/>
      <c r="K9" s="2034"/>
      <c r="L9" s="2034"/>
      <c r="M9" s="2034"/>
      <c r="N9" s="2034"/>
      <c r="O9" s="2034"/>
      <c r="P9" s="2034"/>
      <c r="Q9" s="2034"/>
      <c r="R9" s="2034"/>
      <c r="S9" s="2034"/>
      <c r="T9" s="2034"/>
      <c r="U9" s="2034"/>
      <c r="V9" s="2034"/>
    </row>
    <row r="10" spans="1:22" ht="14.25">
      <c r="A10" s="3313" t="s">
        <v>309</v>
      </c>
      <c r="B10" s="3314">
        <v>15</v>
      </c>
      <c r="C10" s="3322"/>
      <c r="D10" s="3325"/>
      <c r="E10" s="261" t="s">
        <v>310</v>
      </c>
      <c r="F10" s="262"/>
      <c r="G10" s="262"/>
      <c r="H10" s="262"/>
      <c r="I10" s="263"/>
      <c r="J10" s="2035"/>
      <c r="K10" s="2034"/>
      <c r="L10" s="2034"/>
      <c r="M10" s="2034"/>
      <c r="N10" s="2034"/>
      <c r="O10" s="2034"/>
      <c r="P10" s="2034"/>
      <c r="Q10" s="2034"/>
      <c r="R10" s="2034"/>
      <c r="S10" s="2034"/>
      <c r="T10" s="2034"/>
      <c r="U10" s="2034"/>
      <c r="V10" s="2034"/>
    </row>
    <row r="11" spans="1:22" ht="14.25">
      <c r="A11" s="3313"/>
      <c r="B11" s="3314"/>
      <c r="C11" s="3324"/>
      <c r="D11" s="3325"/>
      <c r="E11" s="261" t="s">
        <v>311</v>
      </c>
      <c r="F11" s="262"/>
      <c r="G11" s="262"/>
      <c r="H11" s="262"/>
      <c r="I11" s="263"/>
      <c r="J11" s="2035"/>
      <c r="K11" s="2034"/>
      <c r="L11" s="2034"/>
      <c r="M11" s="2034"/>
      <c r="N11" s="2034"/>
      <c r="O11" s="2034"/>
      <c r="P11" s="2034"/>
      <c r="Q11" s="2034"/>
      <c r="R11" s="2034"/>
      <c r="S11" s="2034"/>
      <c r="T11" s="2034"/>
      <c r="U11" s="2034"/>
      <c r="V11" s="2034"/>
    </row>
    <row r="12" spans="1:22" ht="14.25">
      <c r="A12" s="3313" t="s">
        <v>312</v>
      </c>
      <c r="B12" s="3314">
        <v>15</v>
      </c>
      <c r="C12" s="3322"/>
      <c r="D12" s="3325"/>
      <c r="E12" s="261" t="s">
        <v>313</v>
      </c>
      <c r="F12" s="262"/>
      <c r="G12" s="262"/>
      <c r="H12" s="262"/>
      <c r="I12" s="263"/>
      <c r="J12" s="2035"/>
      <c r="K12" s="2034"/>
      <c r="L12" s="2034"/>
      <c r="M12" s="2034"/>
      <c r="N12" s="2034"/>
      <c r="O12" s="2034"/>
      <c r="P12" s="2034"/>
      <c r="Q12" s="2034"/>
      <c r="R12" s="2034"/>
      <c r="S12" s="2034"/>
      <c r="T12" s="2034"/>
      <c r="U12" s="2034"/>
      <c r="V12" s="2034"/>
    </row>
    <row r="13" spans="1:22" ht="14.25">
      <c r="A13" s="3313"/>
      <c r="B13" s="3314"/>
      <c r="C13" s="3324"/>
      <c r="D13" s="3325"/>
      <c r="E13" s="261" t="s">
        <v>314</v>
      </c>
      <c r="F13" s="262"/>
      <c r="G13" s="262"/>
      <c r="H13" s="262"/>
      <c r="I13" s="263"/>
      <c r="J13" s="2035"/>
      <c r="K13" s="2034"/>
      <c r="L13" s="2034"/>
      <c r="M13" s="2034"/>
      <c r="N13" s="2034"/>
      <c r="O13" s="2034"/>
      <c r="P13" s="2034"/>
      <c r="Q13" s="2034"/>
      <c r="R13" s="2034"/>
      <c r="S13" s="2034"/>
      <c r="T13" s="2034"/>
      <c r="U13" s="2034"/>
      <c r="V13" s="2034"/>
    </row>
    <row r="14" spans="1:22" ht="14.25">
      <c r="A14" s="3313" t="s">
        <v>315</v>
      </c>
      <c r="B14" s="3314">
        <v>30</v>
      </c>
      <c r="C14" s="3322">
        <v>5</v>
      </c>
      <c r="D14" s="3325">
        <v>5</v>
      </c>
      <c r="E14" s="261" t="s">
        <v>316</v>
      </c>
      <c r="F14" s="262"/>
      <c r="G14" s="262"/>
      <c r="H14" s="262"/>
      <c r="I14" s="263"/>
      <c r="J14" s="2035"/>
      <c r="K14" s="2034"/>
      <c r="L14" s="2034"/>
      <c r="M14" s="2034"/>
      <c r="N14" s="2034"/>
      <c r="O14" s="2034"/>
      <c r="P14" s="2034"/>
      <c r="Q14" s="2034"/>
      <c r="R14" s="2034"/>
      <c r="S14" s="2034"/>
      <c r="T14" s="2034"/>
      <c r="U14" s="2034"/>
      <c r="V14" s="2034"/>
    </row>
    <row r="15" spans="1:22" ht="14.25">
      <c r="A15" s="3313"/>
      <c r="B15" s="3314"/>
      <c r="C15" s="3323"/>
      <c r="D15" s="3325"/>
      <c r="E15" s="261" t="s">
        <v>317</v>
      </c>
      <c r="F15" s="262"/>
      <c r="G15" s="262"/>
      <c r="H15" s="262"/>
      <c r="I15" s="263"/>
      <c r="J15" s="2035"/>
      <c r="K15" s="2034"/>
      <c r="L15" s="2034"/>
      <c r="M15" s="2034"/>
      <c r="N15" s="2034"/>
      <c r="O15" s="2034"/>
      <c r="P15" s="2034"/>
      <c r="Q15" s="2034"/>
      <c r="R15" s="2034"/>
      <c r="S15" s="2034"/>
      <c r="T15" s="2034"/>
      <c r="U15" s="2034"/>
      <c r="V15" s="2034"/>
    </row>
    <row r="16" spans="1:22" ht="14.25">
      <c r="A16" s="3313"/>
      <c r="B16" s="3314"/>
      <c r="C16" s="3324"/>
      <c r="D16" s="3325"/>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5</v>
      </c>
      <c r="D17" s="265">
        <f>SUM(D5:D16)</f>
        <v>5</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f>ROUND(C17/SUM(C17:D17),2)</f>
        <v>0.5</v>
      </c>
      <c r="D18" s="267">
        <f>1-C18</f>
        <v>0.5</v>
      </c>
      <c r="E18" s="314"/>
      <c r="F18" s="314"/>
      <c r="G18" s="314"/>
      <c r="H18" s="314"/>
      <c r="I18" s="314"/>
      <c r="J18" s="2034"/>
      <c r="K18" s="3159" t="s">
        <v>3159</v>
      </c>
      <c r="L18" s="2034"/>
      <c r="M18" s="2034"/>
      <c r="N18" s="2034"/>
      <c r="O18" s="2034"/>
      <c r="P18" s="2034"/>
      <c r="Q18" s="2034"/>
      <c r="R18" s="2034"/>
      <c r="S18" s="2034"/>
      <c r="T18" s="2034"/>
      <c r="U18" s="2034"/>
      <c r="V18" s="2034"/>
    </row>
    <row r="19" spans="1:26" ht="15">
      <c r="A19" s="268" t="s">
        <v>321</v>
      </c>
      <c r="B19" s="269" t="s">
        <v>322</v>
      </c>
      <c r="C19" s="270">
        <f ca="1">SUMIF(INDIRECT("'"&amp;C4&amp;"'"&amp;"!A:A"),结果表!B19,INDIRECT("'"&amp;C4&amp;"'"&amp;"!B:B"))</f>
        <v>50587</v>
      </c>
      <c r="D19" s="271">
        <f ca="1">SUMIF(INDIRECT("'"&amp;D4&amp;"'"&amp;"!A:A"),结果表!B19,INDIRECT("'"&amp;D4&amp;"'"&amp;"!B:B"))</f>
        <v>62151</v>
      </c>
      <c r="E19" s="268" t="s">
        <v>323</v>
      </c>
      <c r="F19" s="269" t="s">
        <v>322</v>
      </c>
      <c r="G19" s="272">
        <f ca="1">ROUND(C19*$C$18+D19*$D$18,0)</f>
        <v>56369</v>
      </c>
      <c r="H19" s="273" t="s">
        <v>324</v>
      </c>
      <c r="I19" s="314"/>
      <c r="J19" s="2034"/>
      <c r="K19" s="2034">
        <v>53659</v>
      </c>
      <c r="L19" s="2034"/>
      <c r="M19" s="2034"/>
      <c r="N19" s="2034"/>
      <c r="O19" s="2034"/>
      <c r="P19" s="2034"/>
      <c r="Q19" s="2034"/>
      <c r="R19" s="2034"/>
      <c r="S19" s="2034"/>
      <c r="T19" s="2034"/>
      <c r="U19" s="2034"/>
      <c r="V19" s="2034"/>
    </row>
    <row r="20" spans="1:26" ht="15">
      <c r="A20" s="274"/>
      <c r="B20" s="275" t="s">
        <v>325</v>
      </c>
      <c r="C20" s="276">
        <f ca="1">SUMIF(INDIRECT("'"&amp;C4&amp;"'"&amp;"!A:A"),结果表!B20,INDIRECT("'"&amp;C4&amp;"'"&amp;"!B:B"))</f>
        <v>3921</v>
      </c>
      <c r="D20" s="277">
        <f ca="1">SUMIF(INDIRECT("'"&amp;D4&amp;"'"&amp;"!A:A"),结果表!B20,INDIRECT("'"&amp;D4&amp;"'"&amp;"!B:B"))</f>
        <v>9305</v>
      </c>
      <c r="E20" s="274"/>
      <c r="F20" s="275" t="s">
        <v>325</v>
      </c>
      <c r="G20" s="278">
        <f ca="1">ROUND(C20*$C$18+D20*$D$18,0)</f>
        <v>6613</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f ca="1">SUMIF(INDIRECT("'"&amp;C4&amp;"'"&amp;"!A:A"),结果表!B21,INDIRECT("'"&amp;C4&amp;"'"&amp;"!B:B"))</f>
        <v>7201</v>
      </c>
      <c r="D21" s="151">
        <f ca="1">SUMIF(INDIRECT("'"&amp;D4&amp;"'"&amp;"!A:A"),结果表!B21,INDIRECT("'"&amp;D4&amp;"'"&amp;"!B:B"))</f>
        <v>8847</v>
      </c>
      <c r="E21" s="274"/>
      <c r="F21" s="280" t="s">
        <v>327</v>
      </c>
      <c r="G21" s="282">
        <f ca="1">ROUND(C21*$C$18+D21*$D$18,0)</f>
        <v>8024</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f ca="1">IF(C19&lt;D19,D19/C19-1,C19/D19-1)</f>
        <v>0.22859627967659679</v>
      </c>
      <c r="E22" s="284"/>
      <c r="F22" s="285"/>
      <c r="G22" s="286">
        <f ca="1">ROUND(G19/('数据-汇总表'!D3/666.67),0)</f>
        <v>535</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286" t="s">
        <v>330</v>
      </c>
      <c r="B24" s="269" t="s">
        <v>322</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328"/>
      <c r="B25" s="1324" t="s">
        <v>331</v>
      </c>
      <c r="C25" s="290">
        <f>IF(B30=0,0,C30)</f>
        <v>0</v>
      </c>
      <c r="D25" s="291"/>
      <c r="E25" s="314"/>
      <c r="F25" s="314"/>
      <c r="G25" s="314"/>
      <c r="H25" s="314"/>
      <c r="I25" s="314"/>
      <c r="J25" s="2034"/>
      <c r="K25" s="1258" t="str">
        <f ca="1">项目基本情况!B16&amp;"国有建设用地使用权价格："&amp;O38&amp;"万元"</f>
        <v>出让国有建设用地使用权价格：56369万元</v>
      </c>
      <c r="L25" s="1259"/>
      <c r="M25" s="1259"/>
      <c r="N25" s="1259"/>
      <c r="O25" s="1260"/>
      <c r="P25" s="2034"/>
      <c r="Q25" s="2034"/>
      <c r="R25" s="2034"/>
      <c r="S25" s="2034"/>
      <c r="T25" s="2034"/>
      <c r="U25" s="2034"/>
      <c r="V25" s="2034"/>
    </row>
    <row r="26" spans="1:26" s="1257" customFormat="1" ht="18">
      <c r="A26" s="293" t="s">
        <v>332</v>
      </c>
      <c r="B26" s="294" t="s">
        <v>333</v>
      </c>
      <c r="C26" s="294" t="s">
        <v>334</v>
      </c>
      <c r="D26" s="295" t="s">
        <v>335</v>
      </c>
      <c r="E26" s="314"/>
      <c r="F26" s="314"/>
      <c r="G26" s="314"/>
      <c r="H26" s="314"/>
      <c r="I26" s="314"/>
      <c r="J26" s="2034"/>
      <c r="K26" s="1261" t="str">
        <f ca="1">"大写金额：人民币"&amp;NUMBERSTRING(INT(O38*10000),2)&amp;"元整"</f>
        <v>大写金额：人民币伍亿陆仟叁佰陆拾玖万元整</v>
      </c>
      <c r="L26" s="1255"/>
      <c r="M26" s="1255"/>
      <c r="N26" s="1255"/>
      <c r="O26" s="1254"/>
      <c r="P26" s="2034"/>
      <c r="Q26" s="2034"/>
      <c r="R26" s="2034"/>
      <c r="S26" s="2034"/>
      <c r="T26" s="2034"/>
      <c r="U26" s="2034"/>
      <c r="V26" s="2034"/>
      <c r="W26" s="292"/>
      <c r="X26" s="292"/>
      <c r="Y26" s="292"/>
      <c r="Z26" s="292"/>
    </row>
    <row r="27" spans="1:26" ht="18">
      <c r="A27" s="293"/>
      <c r="B27" s="294"/>
      <c r="C27" s="294"/>
      <c r="D27" s="295"/>
      <c r="E27" s="314"/>
      <c r="F27" s="314"/>
      <c r="G27" s="314"/>
      <c r="H27" s="314"/>
      <c r="I27" s="314"/>
      <c r="J27" s="2034"/>
      <c r="K27" s="1261" t="str">
        <f ca="1">"单位面积地价："&amp;M38&amp;"元/平方米"</f>
        <v>单位面积地价：8024元/平方米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楼面地价：4370元/平方米</v>
      </c>
      <c r="L28" s="1255"/>
      <c r="M28" s="1255"/>
      <c r="N28" s="1255"/>
      <c r="O28" s="1254"/>
      <c r="P28" s="2034"/>
      <c r="V28" s="2034"/>
    </row>
    <row r="29" spans="1:26" ht="18">
      <c r="A29" s="293"/>
      <c r="B29" s="294"/>
      <c r="C29" s="294"/>
      <c r="D29" s="295"/>
      <c r="E29" s="314"/>
      <c r="F29" s="314"/>
      <c r="G29" s="314"/>
      <c r="H29" s="314"/>
      <c r="I29" s="314"/>
      <c r="J29" s="2034"/>
      <c r="K29" s="1261" t="str">
        <f ca="1">IF(OR(项目基本情况!E8="抵押价格",项目基本情况!E8="已注销及未注销"),"抵押价格："&amp;O39&amp;"万元","——")</f>
        <v>抵押价格：56369万元</v>
      </c>
      <c r="L29" s="1255"/>
      <c r="M29" s="1255"/>
      <c r="N29" s="1255"/>
      <c r="O29" s="1254"/>
      <c r="P29" s="2034"/>
      <c r="V29" s="2034"/>
    </row>
    <row r="30" spans="1:26" ht="18.75" thickBot="1">
      <c r="A30" s="296" t="s">
        <v>336</v>
      </c>
      <c r="B30" s="297">
        <f>SUM(B27:B29)</f>
        <v>0</v>
      </c>
      <c r="C30" s="297" t="e">
        <f>ROUND(D30*10000/B30,0)</f>
        <v>#DIV/0!</v>
      </c>
      <c r="D30" s="298">
        <f>SUM(D27:D29)</f>
        <v>0</v>
      </c>
      <c r="E30" s="314"/>
      <c r="F30" s="314"/>
      <c r="G30" s="314"/>
      <c r="H30" s="314"/>
      <c r="I30" s="314"/>
      <c r="J30" s="2034"/>
      <c r="K30" s="1261" t="str">
        <f ca="1">IF(K29="——","——","大写金额：人民币"&amp;NUMBERSTRING(INT(O39*10000),2)&amp;"元整")</f>
        <v>大写金额：人民币伍亿陆仟叁佰陆拾玖万元整</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v>
      </c>
      <c r="L31" s="2499"/>
      <c r="M31" s="2499"/>
      <c r="N31" s="2499"/>
      <c r="O31" s="2500"/>
      <c r="P31" s="2034"/>
      <c r="V31" s="2034"/>
    </row>
    <row r="32" spans="1:26" ht="18.75" thickBot="1">
      <c r="A32" s="268" t="s">
        <v>337</v>
      </c>
      <c r="B32" s="1386" t="s">
        <v>1691</v>
      </c>
      <c r="C32" s="1387">
        <f ca="1">G19-C24</f>
        <v>56369</v>
      </c>
      <c r="D32" s="1388" t="s">
        <v>1692</v>
      </c>
      <c r="E32" s="314"/>
      <c r="F32" s="314"/>
      <c r="G32" s="314"/>
      <c r="H32" s="314"/>
      <c r="I32" s="314"/>
      <c r="J32" s="2034"/>
      <c r="K32" s="2498" t="str">
        <f>IF(K31="——","——","大写金额：人民币"&amp;NUMBERSTRING(INT(O40*10000),2)&amp;"元整")</f>
        <v>——</v>
      </c>
      <c r="L32" s="2501"/>
      <c r="M32" s="2501"/>
      <c r="N32" s="2501"/>
      <c r="O32" s="2502"/>
      <c r="P32" s="2034"/>
      <c r="V32" s="2034"/>
    </row>
    <row r="33" spans="1:26" ht="18.75" thickBot="1">
      <c r="A33" s="301" t="s">
        <v>340</v>
      </c>
      <c r="B33" s="1389" t="s">
        <v>1693</v>
      </c>
      <c r="C33" s="264">
        <f ca="1">ROUND(C32*10000/'数据-汇总表'!E3,0)</f>
        <v>4370</v>
      </c>
      <c r="D33" s="1390" t="s">
        <v>1694</v>
      </c>
      <c r="E33" s="3286" t="s">
        <v>338</v>
      </c>
      <c r="F33" s="299" t="s">
        <v>339</v>
      </c>
      <c r="G33" s="300"/>
      <c r="H33" s="983"/>
      <c r="I33" s="1262"/>
      <c r="J33" s="2034"/>
      <c r="K33" s="1261" t="str">
        <f>IF(项目基本情况!E9="——","——","抵押净值："&amp;C46&amp;"万元")</f>
        <v>——</v>
      </c>
      <c r="L33" s="1255"/>
      <c r="M33" s="1255"/>
      <c r="N33" s="1255"/>
      <c r="O33" s="1254"/>
      <c r="P33" s="2034"/>
      <c r="V33" s="2034"/>
    </row>
    <row r="34" spans="1:26" s="1257" customFormat="1" ht="18.75" thickBot="1">
      <c r="A34" s="303"/>
      <c r="B34" s="1391" t="s">
        <v>1695</v>
      </c>
      <c r="C34" s="264">
        <f ca="1">ROUND(C32*10000/'数据-汇总表'!D3,0)</f>
        <v>8024</v>
      </c>
      <c r="D34" s="1392" t="s">
        <v>1694</v>
      </c>
      <c r="E34" s="3287"/>
      <c r="F34" s="127" t="s">
        <v>341</v>
      </c>
      <c r="G34" s="302"/>
      <c r="H34" s="105"/>
      <c r="I34" s="314"/>
      <c r="J34" s="2034"/>
      <c r="K34" s="1264" t="str">
        <f>IF(K33="——","——","大写金额：人民币"&amp;NUMBERSTRING(INT(O41*10000),2)&amp;"元整")</f>
        <v>——</v>
      </c>
      <c r="L34" s="1265"/>
      <c r="M34" s="1265"/>
      <c r="N34" s="1265"/>
      <c r="O34" s="1266"/>
      <c r="P34" s="2034"/>
      <c r="Q34" s="292"/>
      <c r="R34" s="292"/>
      <c r="S34" s="292"/>
      <c r="T34" s="292"/>
      <c r="U34" s="292"/>
      <c r="V34" s="2034"/>
      <c r="W34" s="292"/>
      <c r="X34" s="292"/>
      <c r="Y34" s="292"/>
      <c r="Z34" s="292"/>
    </row>
    <row r="35" spans="1:26" ht="15.75" thickBot="1">
      <c r="A35" s="284"/>
      <c r="B35" s="1393"/>
      <c r="C35" s="1394">
        <f ca="1">ROUND(C32/('数据-汇总表'!D3/666.67),0)</f>
        <v>535</v>
      </c>
      <c r="D35" s="1395" t="s">
        <v>1696</v>
      </c>
      <c r="E35" s="3288"/>
      <c r="F35" s="304" t="s">
        <v>342</v>
      </c>
      <c r="G35" s="985"/>
      <c r="H35" s="984" t="s">
        <v>343</v>
      </c>
      <c r="I35" s="314"/>
      <c r="J35" s="2034"/>
      <c r="K35" s="3292" t="s">
        <v>350</v>
      </c>
      <c r="L35" s="3292" t="s">
        <v>351</v>
      </c>
      <c r="M35" s="1267" t="s">
        <v>352</v>
      </c>
      <c r="N35" s="3292" t="s">
        <v>353</v>
      </c>
      <c r="O35" s="3292" t="s">
        <v>354</v>
      </c>
      <c r="P35" s="2034"/>
      <c r="V35" s="2034"/>
    </row>
    <row r="36" spans="1:26" ht="16.5" customHeight="1">
      <c r="A36" s="306" t="s">
        <v>344</v>
      </c>
      <c r="B36" s="307" t="s">
        <v>333</v>
      </c>
      <c r="C36" s="308" t="s">
        <v>345</v>
      </c>
      <c r="D36" s="308" t="s">
        <v>346</v>
      </c>
      <c r="E36" s="309" t="s">
        <v>347</v>
      </c>
      <c r="F36" s="314"/>
      <c r="G36" s="314"/>
      <c r="H36" s="314"/>
      <c r="I36" s="314"/>
      <c r="J36" s="2036"/>
      <c r="K36" s="3293"/>
      <c r="L36" s="3293"/>
      <c r="M36" s="1269" t="s">
        <v>355</v>
      </c>
      <c r="N36" s="3293"/>
      <c r="O36" s="3293"/>
      <c r="P36" s="2034"/>
      <c r="V36" s="2034"/>
    </row>
    <row r="37" spans="1:26" ht="16.5" customHeight="1" thickBot="1">
      <c r="A37" s="1263" t="s">
        <v>348</v>
      </c>
      <c r="B37" s="310"/>
      <c r="C37" s="294"/>
      <c r="D37" s="294"/>
      <c r="E37" s="295"/>
      <c r="F37" s="314"/>
      <c r="G37" s="314"/>
      <c r="H37" s="314"/>
      <c r="I37" s="314"/>
      <c r="J37" s="2036"/>
      <c r="K37" s="3294"/>
      <c r="L37" s="3294"/>
      <c r="M37" s="1270"/>
      <c r="N37" s="3294"/>
      <c r="O37" s="3294"/>
      <c r="P37" s="2034"/>
      <c r="V37" s="2034"/>
    </row>
    <row r="38" spans="1:26" ht="16.5" customHeight="1" thickBot="1">
      <c r="A38" s="1263" t="s">
        <v>349</v>
      </c>
      <c r="B38" s="310"/>
      <c r="C38" s="294"/>
      <c r="D38" s="294"/>
      <c r="E38" s="295"/>
      <c r="F38" s="314"/>
      <c r="G38" s="314"/>
      <c r="H38" s="314"/>
      <c r="I38" s="314"/>
      <c r="J38" s="2036"/>
      <c r="K38" s="1271">
        <f>'数据-汇总表'!D3</f>
        <v>70250.03</v>
      </c>
      <c r="L38" s="1272">
        <f>'数据-汇总表'!E3</f>
        <v>129001.58</v>
      </c>
      <c r="M38" s="1272">
        <f ca="1">C34</f>
        <v>8024</v>
      </c>
      <c r="N38" s="1272">
        <f ca="1">C33</f>
        <v>4370</v>
      </c>
      <c r="O38" s="1273">
        <f ca="1">C32</f>
        <v>56369</v>
      </c>
      <c r="P38" s="2034"/>
      <c r="V38" s="2034"/>
    </row>
    <row r="39" spans="1:26" ht="16.5" customHeight="1" thickBot="1">
      <c r="A39" s="1268"/>
      <c r="B39" s="311"/>
      <c r="C39" s="312"/>
      <c r="D39" s="312"/>
      <c r="E39" s="313"/>
      <c r="F39" s="314"/>
      <c r="G39" s="314"/>
      <c r="H39" s="314"/>
      <c r="I39" s="314"/>
      <c r="J39" s="2036"/>
      <c r="K39" s="3269" t="str">
        <f>MID(A44,3,LEN(A44)-2)</f>
        <v>抵押价格</v>
      </c>
      <c r="L39" s="3270"/>
      <c r="M39" s="3270"/>
      <c r="N39" s="3271"/>
      <c r="O39" s="1397">
        <f ca="1">C44</f>
        <v>56369</v>
      </c>
      <c r="P39" s="2034"/>
      <c r="V39" s="2034"/>
    </row>
    <row r="40" spans="1:26" ht="19.5" thickBot="1">
      <c r="A40" s="104" t="s">
        <v>875</v>
      </c>
      <c r="B40" s="314"/>
      <c r="C40" s="314"/>
      <c r="D40" s="314"/>
      <c r="E40" s="314"/>
      <c r="F40" s="314"/>
      <c r="G40" s="314"/>
      <c r="H40" s="314"/>
      <c r="I40" s="314"/>
      <c r="J40" s="2036"/>
      <c r="K40" s="3269" t="str">
        <f t="shared" ref="K40:K41" si="0">MID(A45,3,LEN(A45)-2)</f>
        <v/>
      </c>
      <c r="L40" s="3270"/>
      <c r="M40" s="3270"/>
      <c r="N40" s="3271"/>
      <c r="O40" s="1397" t="str">
        <f>C45</f>
        <v>——</v>
      </c>
      <c r="P40" s="2034"/>
      <c r="V40" s="2034"/>
    </row>
    <row r="41" spans="1:26" ht="16.5" thickBot="1">
      <c r="A41" s="315" t="s">
        <v>356</v>
      </c>
      <c r="B41" s="316"/>
      <c r="C41" s="317" t="s">
        <v>357</v>
      </c>
      <c r="D41" s="318" t="s">
        <v>358</v>
      </c>
      <c r="E41" s="318" t="s">
        <v>359</v>
      </c>
      <c r="F41" s="319" t="s">
        <v>360</v>
      </c>
      <c r="G41" s="314"/>
      <c r="H41" s="314"/>
      <c r="I41" s="314"/>
      <c r="J41" s="2036"/>
      <c r="K41" s="3269" t="str">
        <f t="shared" si="0"/>
        <v/>
      </c>
      <c r="L41" s="3270"/>
      <c r="M41" s="3270"/>
      <c r="N41" s="3271"/>
      <c r="O41" s="1397" t="str">
        <f>C46</f>
        <v>——</v>
      </c>
      <c r="P41" s="2034"/>
      <c r="V41" s="2034"/>
    </row>
    <row r="42" spans="1:26" ht="29.25">
      <c r="A42" s="3329" t="s">
        <v>2077</v>
      </c>
      <c r="B42" s="3330"/>
      <c r="C42" s="264">
        <f ca="1">C32</f>
        <v>56369</v>
      </c>
      <c r="D42" s="320">
        <f ca="1">C33</f>
        <v>4370</v>
      </c>
      <c r="E42" s="320">
        <f ca="1">C34</f>
        <v>8024</v>
      </c>
      <c r="F42" s="321">
        <f ca="1">C35</f>
        <v>535</v>
      </c>
      <c r="G42" s="314"/>
      <c r="H42" s="314"/>
      <c r="I42" s="322"/>
      <c r="J42" s="2036"/>
      <c r="K42" s="1274" t="s">
        <v>361</v>
      </c>
      <c r="L42" s="2053" t="s">
        <v>362</v>
      </c>
      <c r="M42" s="1275" t="s">
        <v>363</v>
      </c>
      <c r="N42" s="2054" t="s">
        <v>364</v>
      </c>
      <c r="O42" s="2055" t="s">
        <v>365</v>
      </c>
      <c r="P42" s="2034"/>
      <c r="V42" s="2034"/>
    </row>
    <row r="43" spans="1:26" ht="30">
      <c r="A43" s="3339" t="s">
        <v>2746</v>
      </c>
      <c r="B43" s="3340"/>
      <c r="C43" s="264">
        <f>IF(H33="正常操作",G33+G34+G35,G34+G35)</f>
        <v>0</v>
      </c>
      <c r="D43" s="320" t="s">
        <v>43</v>
      </c>
      <c r="E43" s="320" t="s">
        <v>44</v>
      </c>
      <c r="F43" s="321" t="s">
        <v>44</v>
      </c>
      <c r="G43" s="2905" t="s">
        <v>954</v>
      </c>
      <c r="H43" s="314"/>
      <c r="I43" s="322"/>
      <c r="J43" s="2036"/>
      <c r="K43" s="1276" t="str">
        <f>C4</f>
        <v>比较法-住宅、综合</v>
      </c>
      <c r="L43" s="1277">
        <f ca="1">IF(L42="估价结果/万元",C19,C20)</f>
        <v>50587</v>
      </c>
      <c r="M43" s="1278">
        <f>C18</f>
        <v>0.5</v>
      </c>
      <c r="N43" s="1279">
        <f ca="1">IF(N42="测算结果/万元",G19,G20)</f>
        <v>56369</v>
      </c>
      <c r="O43" s="1280">
        <f ca="1">IF(O42="最终结果/万元",C32,C33)</f>
        <v>56369</v>
      </c>
      <c r="P43" s="2034"/>
      <c r="V43" s="2034"/>
    </row>
    <row r="44" spans="1:26" ht="30.75" thickBot="1">
      <c r="A44" s="3329" t="str">
        <f>IF(OR(项目基本情况!E8="抵押价格",项目基本情况!E8="已注销及未注销"),"3.抵押价格","——")</f>
        <v>3.抵押价格</v>
      </c>
      <c r="B44" s="3330"/>
      <c r="C44" s="264">
        <f ca="1">IF(A44="——","——",C42-C43)</f>
        <v>56369</v>
      </c>
      <c r="D44" s="320">
        <f ca="1">ROUND(C44*10000/'数据-汇总表'!E3,0)</f>
        <v>4370</v>
      </c>
      <c r="E44" s="320">
        <f ca="1">ROUND(C44*10000/'数据-汇总表'!D3,0)</f>
        <v>8024</v>
      </c>
      <c r="F44" s="321">
        <f ca="1">ROUND(C44/('数据-汇总表'!D3/666.67),0)</f>
        <v>535</v>
      </c>
      <c r="G44" s="314"/>
      <c r="H44" s="314"/>
      <c r="I44" s="322"/>
      <c r="J44" s="2036"/>
      <c r="K44" s="1281" t="str">
        <f>D4</f>
        <v>剩余法-待开发</v>
      </c>
      <c r="L44" s="1282">
        <f ca="1">IF(L42="估价结果/万元",D19,D20)</f>
        <v>62151</v>
      </c>
      <c r="M44" s="1283">
        <f>D18</f>
        <v>0.5</v>
      </c>
      <c r="N44" s="1284"/>
      <c r="O44" s="1285"/>
      <c r="P44" s="2034"/>
      <c r="V44" s="2034"/>
    </row>
    <row r="45" spans="1:26" ht="15">
      <c r="A45" s="3334" t="str">
        <f>IF(项目基本情况!E8="已注销及未注销","4.抵押担保权已注销时的抵押价格",IF(项目基本情况!E8="已注销","3.抵押担保权已注销时的抵押价格","——"))</f>
        <v>——</v>
      </c>
      <c r="B45" s="3335"/>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331" t="str">
        <f>IF(项目基本情况!E9="抵押净值",IF(A45="——","4.抵押净值","5.抵押净值"),"——")</f>
        <v>——</v>
      </c>
      <c r="B46" s="3332"/>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hidden="1">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hidden="1" customHeight="1" thickBot="1">
      <c r="A63" s="3297" t="s">
        <v>374</v>
      </c>
      <c r="B63" s="3298"/>
      <c r="C63" s="3299"/>
      <c r="D63" s="344">
        <f ca="1">ROUND(C42*F63,0)</f>
        <v>33821</v>
      </c>
      <c r="E63" s="305" t="s">
        <v>375</v>
      </c>
      <c r="F63" s="345">
        <v>0.6</v>
      </c>
      <c r="G63" s="346" t="s">
        <v>376</v>
      </c>
      <c r="H63" s="314"/>
      <c r="I63" s="314"/>
      <c r="J63" s="2034"/>
      <c r="K63" s="2034"/>
      <c r="L63" s="2034"/>
      <c r="M63" s="2034"/>
      <c r="N63" s="2034"/>
      <c r="O63" s="2034"/>
      <c r="P63" s="314"/>
      <c r="Q63" s="2034"/>
      <c r="R63" s="2034"/>
      <c r="S63" s="2034"/>
      <c r="T63" s="2034"/>
      <c r="U63" s="2034"/>
      <c r="V63" s="2034"/>
    </row>
    <row r="64" spans="1:22" ht="14.25" hidden="1" customHeight="1">
      <c r="A64" s="3336" t="s">
        <v>378</v>
      </c>
      <c r="B64" s="3337"/>
      <c r="C64" s="3337"/>
      <c r="D64" s="3337"/>
      <c r="E64" s="3337"/>
      <c r="F64" s="3337"/>
      <c r="G64" s="3338"/>
      <c r="H64" s="1291"/>
      <c r="I64" s="951"/>
      <c r="J64" s="1996"/>
      <c r="K64" s="1567" t="s">
        <v>377</v>
      </c>
      <c r="L64" s="11"/>
      <c r="M64" s="11"/>
      <c r="N64" s="11"/>
      <c r="O64" s="11"/>
      <c r="P64" s="314"/>
      <c r="Q64" s="2034"/>
      <c r="R64" s="2034"/>
      <c r="S64" s="2034"/>
      <c r="T64" s="2034"/>
      <c r="U64" s="2034"/>
      <c r="V64" s="2034"/>
    </row>
    <row r="65" spans="1:22" ht="12" hidden="1"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hidden="1">
      <c r="A66" s="3333" t="s">
        <v>386</v>
      </c>
      <c r="B66" s="3304"/>
      <c r="C66" s="3304"/>
      <c r="D66" s="261">
        <f ca="1">IF(H66="情况1",0,IF(H66="情况2",D70,IF(H66="情况3",D71,IF(H66="情况4",D72))))</f>
        <v>1804</v>
      </c>
      <c r="E66" s="996" t="str">
        <f>IF(H66="情况4","(销售额-原购置价)×税（费）率","销售额×税（费）率")</f>
        <v>销售额×税（费）率</v>
      </c>
      <c r="F66" s="353">
        <f>IF(H66="情况1","免征",'数据-取费表'!B41)</f>
        <v>5.6000000000000001E-2</v>
      </c>
      <c r="G66" s="354" t="s">
        <v>387</v>
      </c>
      <c r="H66" s="191" t="s">
        <v>388</v>
      </c>
      <c r="I66" s="1291"/>
      <c r="J66" s="2040"/>
      <c r="K66" s="1294">
        <v>1</v>
      </c>
      <c r="L66" s="3273" t="s">
        <v>385</v>
      </c>
      <c r="M66" s="3274"/>
      <c r="N66" s="2493"/>
      <c r="O66" s="2494"/>
      <c r="P66" s="2495"/>
      <c r="Q66" s="2034"/>
      <c r="R66" s="2034"/>
      <c r="S66" s="2034"/>
      <c r="T66" s="2034"/>
      <c r="U66" s="2034"/>
      <c r="V66" s="2034"/>
    </row>
    <row r="67" spans="1:22" ht="25.5" hidden="1" customHeight="1">
      <c r="A67" s="355" t="s">
        <v>390</v>
      </c>
      <c r="B67" s="3316" t="s">
        <v>391</v>
      </c>
      <c r="C67" s="3316"/>
      <c r="D67" s="356">
        <v>0</v>
      </c>
      <c r="E67" s="41" t="s">
        <v>392</v>
      </c>
      <c r="F67" s="62" t="s">
        <v>21</v>
      </c>
      <c r="G67" s="3300"/>
      <c r="H67" s="314"/>
      <c r="I67" s="1295"/>
      <c r="J67" s="2041"/>
      <c r="K67" s="1982">
        <v>2</v>
      </c>
      <c r="L67" s="3272" t="s">
        <v>389</v>
      </c>
      <c r="M67" s="3272"/>
      <c r="N67" s="1328">
        <f>'数据-取费表'!B2</f>
        <v>42912</v>
      </c>
      <c r="O67" s="1328"/>
      <c r="P67" s="1328"/>
      <c r="Q67" s="2034"/>
      <c r="R67" s="2034"/>
      <c r="S67" s="2034"/>
      <c r="T67" s="2034"/>
      <c r="U67" s="2034"/>
      <c r="V67" s="2034"/>
    </row>
    <row r="68" spans="1:22" ht="25.5" hidden="1" customHeight="1">
      <c r="A68" s="357"/>
      <c r="B68" s="3316" t="s">
        <v>394</v>
      </c>
      <c r="C68" s="3316"/>
      <c r="D68" s="358"/>
      <c r="E68" s="77"/>
      <c r="F68" s="359"/>
      <c r="G68" s="3301"/>
      <c r="H68" s="314"/>
      <c r="I68" s="1295"/>
      <c r="J68" s="2041"/>
      <c r="K68" s="1982">
        <v>3</v>
      </c>
      <c r="L68" s="3272" t="s">
        <v>393</v>
      </c>
      <c r="M68" s="3272"/>
      <c r="N68" s="1296">
        <f ca="1">C42</f>
        <v>56369</v>
      </c>
      <c r="O68" s="1296"/>
      <c r="P68" s="1296"/>
      <c r="Q68" s="2034"/>
      <c r="R68" s="2034"/>
      <c r="S68" s="2034"/>
      <c r="T68" s="2034"/>
      <c r="U68" s="2034"/>
      <c r="V68" s="2034"/>
    </row>
    <row r="69" spans="1:22" ht="12" hidden="1" customHeight="1">
      <c r="A69" s="360"/>
      <c r="B69" s="3316" t="s">
        <v>395</v>
      </c>
      <c r="C69" s="3316"/>
      <c r="D69" s="361"/>
      <c r="E69" s="73"/>
      <c r="F69" s="359"/>
      <c r="G69" s="3302"/>
      <c r="H69" s="314"/>
      <c r="I69" s="1295"/>
      <c r="J69" s="2041"/>
      <c r="K69" s="1297">
        <v>4</v>
      </c>
      <c r="L69" s="3278" t="s">
        <v>2899</v>
      </c>
      <c r="M69" s="3279"/>
      <c r="N69" s="1298">
        <f ca="1">C44</f>
        <v>56369</v>
      </c>
      <c r="O69" s="1298"/>
      <c r="P69" s="1298"/>
      <c r="Q69" s="2034"/>
      <c r="R69" s="2034"/>
      <c r="S69" s="2034"/>
      <c r="T69" s="2034"/>
      <c r="U69" s="2034"/>
      <c r="V69" s="2034"/>
    </row>
    <row r="70" spans="1:22" ht="24" hidden="1" customHeight="1">
      <c r="A70" s="362" t="s">
        <v>396</v>
      </c>
      <c r="B70" s="3316" t="s">
        <v>397</v>
      </c>
      <c r="C70" s="3316"/>
      <c r="D70" s="361">
        <f ca="1">ROUND(D63*'数据-取费表'!B41/(1+'数据-取费表'!C42),0)</f>
        <v>1804</v>
      </c>
      <c r="E70" s="17" t="s">
        <v>398</v>
      </c>
      <c r="F70" s="363">
        <f>'数据-取费表'!B41</f>
        <v>5.6000000000000001E-2</v>
      </c>
      <c r="G70" s="364"/>
      <c r="H70" s="314"/>
      <c r="I70" s="1295"/>
      <c r="J70" s="2041"/>
      <c r="K70" s="3101"/>
      <c r="L70" s="3102"/>
      <c r="M70" s="3102"/>
      <c r="N70" s="3103" t="s">
        <v>2904</v>
      </c>
      <c r="O70" s="3102"/>
      <c r="P70" s="3104"/>
      <c r="Q70" s="2034"/>
      <c r="R70" s="2034"/>
      <c r="S70" s="2034"/>
      <c r="T70" s="2034"/>
      <c r="U70" s="2034"/>
      <c r="V70" s="2034"/>
    </row>
    <row r="71" spans="1:22" ht="12" hidden="1" customHeight="1">
      <c r="A71" s="362" t="s">
        <v>404</v>
      </c>
      <c r="B71" s="3315" t="s">
        <v>405</v>
      </c>
      <c r="C71" s="3327"/>
      <c r="D71" s="361">
        <f ca="1">ROUND(D63*'数据-取费表'!B41/(1+'数据-取费表'!C42),0)</f>
        <v>1804</v>
      </c>
      <c r="E71" s="17" t="s">
        <v>398</v>
      </c>
      <c r="F71" s="363">
        <f>'数据-取费表'!B41</f>
        <v>5.6000000000000001E-2</v>
      </c>
      <c r="G71" s="364"/>
      <c r="H71" s="314"/>
      <c r="I71" s="1295"/>
      <c r="J71" s="2041"/>
      <c r="K71" s="3100" t="s">
        <v>399</v>
      </c>
      <c r="L71" s="3280" t="s">
        <v>400</v>
      </c>
      <c r="M71" s="3280"/>
      <c r="N71" s="3100" t="s">
        <v>401</v>
      </c>
      <c r="O71" s="3100" t="s">
        <v>402</v>
      </c>
      <c r="P71" s="3100" t="s">
        <v>403</v>
      </c>
      <c r="Q71" s="2034"/>
      <c r="R71" s="2034"/>
      <c r="S71" s="2034"/>
      <c r="T71" s="2034"/>
      <c r="U71" s="2034"/>
      <c r="V71" s="2034"/>
    </row>
    <row r="72" spans="1:22" ht="12" hidden="1" customHeight="1">
      <c r="A72" s="362" t="s">
        <v>407</v>
      </c>
      <c r="B72" s="3315" t="s">
        <v>408</v>
      </c>
      <c r="C72" s="3327"/>
      <c r="D72" s="361">
        <f ca="1">C86</f>
        <v>1692</v>
      </c>
      <c r="E72" s="73" t="s">
        <v>409</v>
      </c>
      <c r="F72" s="363">
        <f>'数据-取费表'!B41</f>
        <v>5.6000000000000001E-2</v>
      </c>
      <c r="G72" s="364"/>
      <c r="H72" s="1301"/>
      <c r="I72" s="1295"/>
      <c r="J72" s="2041"/>
      <c r="K72" s="1982">
        <v>1</v>
      </c>
      <c r="L72" s="3277" t="s">
        <v>406</v>
      </c>
      <c r="M72" s="3277"/>
      <c r="N72" s="1299">
        <f ca="1">D66</f>
        <v>1804</v>
      </c>
      <c r="O72" s="1865" t="str">
        <f>E66</f>
        <v>销售额×税（费）率</v>
      </c>
      <c r="P72" s="1300">
        <f>F66</f>
        <v>5.6000000000000001E-2</v>
      </c>
      <c r="Q72" s="2034"/>
      <c r="R72" s="2034"/>
      <c r="S72" s="2034"/>
      <c r="T72" s="2034"/>
      <c r="U72" s="2034"/>
      <c r="V72" s="2034"/>
    </row>
    <row r="73" spans="1:22" ht="24" hidden="1" customHeight="1">
      <c r="A73" s="3303" t="s">
        <v>411</v>
      </c>
      <c r="B73" s="3304"/>
      <c r="C73" s="3304"/>
      <c r="D73" s="365">
        <f>IF(H73="个人住宅",0,ROUND(D63*I73,0))</f>
        <v>0</v>
      </c>
      <c r="E73" s="17" t="s">
        <v>412</v>
      </c>
      <c r="F73" s="363" t="str">
        <f>IF(H73="正常",I73,"免征")</f>
        <v>免征</v>
      </c>
      <c r="G73" s="364"/>
      <c r="H73" s="191" t="s">
        <v>2468</v>
      </c>
      <c r="I73" s="363">
        <f>'数据-取费表'!B49</f>
        <v>0</v>
      </c>
      <c r="J73" s="2041"/>
      <c r="K73" s="1982">
        <v>2</v>
      </c>
      <c r="L73" s="3277" t="s">
        <v>410</v>
      </c>
      <c r="M73" s="3277"/>
      <c r="N73" s="1299">
        <f t="shared" ref="N73:P74" si="1">D73</f>
        <v>0</v>
      </c>
      <c r="O73" s="1865" t="str">
        <f t="shared" si="1"/>
        <v>销售额×税（费）率</v>
      </c>
      <c r="P73" s="1300" t="str">
        <f t="shared" si="1"/>
        <v>免征</v>
      </c>
      <c r="Q73" s="2034"/>
      <c r="R73" s="2034"/>
      <c r="S73" s="2034"/>
      <c r="T73" s="2034"/>
      <c r="U73" s="2034"/>
      <c r="V73" s="2034"/>
    </row>
    <row r="74" spans="1:22" ht="24.75" hidden="1">
      <c r="A74" s="3303" t="s">
        <v>415</v>
      </c>
      <c r="B74" s="3304"/>
      <c r="C74" s="3304"/>
      <c r="D74" s="365">
        <f ca="1">IF(H74="个人住宅",D75,D76)</f>
        <v>18505</v>
      </c>
      <c r="E74" s="17" t="s">
        <v>416</v>
      </c>
      <c r="F74" s="363" t="str">
        <f>IF(H74="正常",F76,"免征")</f>
        <v>——</v>
      </c>
      <c r="G74" s="986" t="s">
        <v>417</v>
      </c>
      <c r="H74" s="366" t="s">
        <v>413</v>
      </c>
      <c r="I74" s="42"/>
      <c r="J74" s="2041"/>
      <c r="K74" s="1982">
        <v>3</v>
      </c>
      <c r="L74" s="3277" t="s">
        <v>414</v>
      </c>
      <c r="M74" s="3277"/>
      <c r="N74" s="1299">
        <f t="shared" ca="1" si="1"/>
        <v>18505</v>
      </c>
      <c r="O74" s="1865" t="str">
        <f t="shared" si="1"/>
        <v>增值额×税（费）率</v>
      </c>
      <c r="P74" s="1302" t="str">
        <f t="shared" si="1"/>
        <v>——</v>
      </c>
      <c r="Q74" s="2034"/>
      <c r="R74" s="2034"/>
      <c r="S74" s="2034"/>
      <c r="T74" s="2034"/>
      <c r="U74" s="2034"/>
      <c r="V74" s="2034"/>
    </row>
    <row r="75" spans="1:22" ht="24" hidden="1">
      <c r="A75" s="362" t="s">
        <v>418</v>
      </c>
      <c r="B75" s="3284" t="s">
        <v>419</v>
      </c>
      <c r="C75" s="3285"/>
      <c r="D75" s="367">
        <v>0</v>
      </c>
      <c r="E75" s="41" t="s">
        <v>420</v>
      </c>
      <c r="F75" s="368"/>
      <c r="G75" s="364"/>
      <c r="H75" s="42"/>
      <c r="I75" s="42"/>
      <c r="J75" s="2041"/>
      <c r="K75" s="3093">
        <f>IF(H77="非个人房产","",4)</f>
        <v>4</v>
      </c>
      <c r="L75" s="3277" t="str">
        <f>IF(H77="非个人房产","——","个人所得税")</f>
        <v>个人所得税</v>
      </c>
      <c r="M75" s="3277"/>
      <c r="N75" s="1303">
        <f ca="1">D77</f>
        <v>338</v>
      </c>
      <c r="O75" s="1878" t="str">
        <f>E77</f>
        <v>销售额×税（费）率</v>
      </c>
      <c r="P75" s="1304">
        <f>F77</f>
        <v>0.01</v>
      </c>
      <c r="Q75" s="2034"/>
      <c r="R75" s="2034"/>
      <c r="S75" s="2034"/>
      <c r="T75" s="2034"/>
      <c r="U75" s="2034"/>
      <c r="V75" s="2034"/>
    </row>
    <row r="76" spans="1:22" ht="24.75" hidden="1">
      <c r="A76" s="362" t="s">
        <v>396</v>
      </c>
      <c r="B76" s="3284" t="s">
        <v>422</v>
      </c>
      <c r="C76" s="3326"/>
      <c r="D76" s="365">
        <f ca="1">IF(H76="转让取得",C99,C115)</f>
        <v>18505</v>
      </c>
      <c r="E76" s="17" t="s">
        <v>423</v>
      </c>
      <c r="F76" s="53" t="s">
        <v>21</v>
      </c>
      <c r="G76" s="364"/>
      <c r="H76" s="366" t="s">
        <v>424</v>
      </c>
      <c r="I76" s="42"/>
      <c r="J76" s="2041"/>
      <c r="K76" s="3093" t="str">
        <f>IF(项目基本情况!K6="上海银行",IF(K75="",4,K75+1),"")</f>
        <v/>
      </c>
      <c r="L76" s="3265" t="str">
        <f>IF(项目基本情况!K6="上海银行","其他处置费用","")</f>
        <v/>
      </c>
      <c r="M76" s="3266"/>
      <c r="N76" s="1299" t="str">
        <f>IF(项目基本情况!K6="上海银行",N89,"")</f>
        <v/>
      </c>
      <c r="O76" s="3267" t="str">
        <f>IF(项目基本情况!K6="上海银行","包含处置中涉及的律师、诉讼、拍卖、评估等费用","")</f>
        <v/>
      </c>
      <c r="P76" s="3268"/>
      <c r="Q76" s="2034"/>
      <c r="R76" s="2034"/>
      <c r="S76" s="2034"/>
      <c r="T76" s="2034"/>
      <c r="U76" s="2034"/>
      <c r="V76" s="2034"/>
    </row>
    <row r="77" spans="1:22" ht="26.25" hidden="1" thickBot="1">
      <c r="A77" s="3295" t="s">
        <v>426</v>
      </c>
      <c r="B77" s="3296"/>
      <c r="C77" s="3296"/>
      <c r="D77" s="369">
        <f ca="1">IF(H77="非个人房产","——",IF(H77="个人住宅",0,ROUND(D63*I77,0)))</f>
        <v>338</v>
      </c>
      <c r="E77" s="370" t="str">
        <f>IF(H77="非个人房产","——","销售额×税（费）率")</f>
        <v>销售额×税（费）率</v>
      </c>
      <c r="F77" s="371">
        <f>IF(H77="非个人房产","——",IF(H77="个人住宅","免征",I77))</f>
        <v>0.01</v>
      </c>
      <c r="G77" s="987" t="s">
        <v>417</v>
      </c>
      <c r="H77" s="366" t="s">
        <v>2900</v>
      </c>
      <c r="I77" s="372">
        <v>0.01</v>
      </c>
      <c r="J77" s="2041"/>
      <c r="K77" s="3291">
        <f>IF(AND(K75="",K76=""),4,IF(项目基本情况!K6="上海银行",K76+1,K75+1))</f>
        <v>5</v>
      </c>
      <c r="L77" s="3277" t="s">
        <v>2901</v>
      </c>
      <c r="M77" s="3099" t="s">
        <v>421</v>
      </c>
      <c r="N77" s="1305"/>
      <c r="O77" s="1306">
        <f ca="1">SUMIF(N72:N76,"&lt;9e307")</f>
        <v>20647</v>
      </c>
      <c r="P77" s="1307"/>
      <c r="Q77" s="3097">
        <f ca="1">O77/N69</f>
        <v>0.36628288598343062</v>
      </c>
      <c r="R77" s="2034"/>
      <c r="S77" s="2034"/>
      <c r="T77" s="2034"/>
      <c r="U77" s="2034"/>
      <c r="V77" s="2034"/>
    </row>
    <row r="78" spans="1:22" ht="12" hidden="1" customHeight="1">
      <c r="A78" s="1308"/>
      <c r="B78" s="314"/>
      <c r="C78" s="314"/>
      <c r="D78" s="314"/>
      <c r="E78" s="42"/>
      <c r="F78" s="42"/>
      <c r="G78" s="42"/>
      <c r="H78" s="1006"/>
      <c r="I78" s="314"/>
      <c r="J78" s="2041"/>
      <c r="K78" s="3291"/>
      <c r="L78" s="3277"/>
      <c r="M78" s="3099" t="s">
        <v>425</v>
      </c>
      <c r="N78" s="1305"/>
      <c r="O78" s="1306" t="str">
        <f ca="1">NUMBERSTRING(INT(O77*10000),2)&amp;"元整"</f>
        <v>贰亿零陆佰肆拾柒万元整</v>
      </c>
      <c r="P78" s="1307"/>
      <c r="Q78" s="2034"/>
      <c r="R78" s="2034"/>
      <c r="S78" s="2034"/>
      <c r="T78" s="2034"/>
      <c r="U78" s="2034"/>
      <c r="V78" s="2034"/>
    </row>
    <row r="79" spans="1:22" ht="13.5" hidden="1" thickBot="1">
      <c r="A79" s="3281" t="s">
        <v>427</v>
      </c>
      <c r="B79" s="3281"/>
      <c r="C79" s="3281"/>
      <c r="D79" s="3281"/>
      <c r="E79" s="3281"/>
      <c r="F79" s="42"/>
      <c r="G79" s="42"/>
      <c r="H79" s="1006"/>
      <c r="I79" s="314"/>
      <c r="J79" s="2041"/>
      <c r="K79" s="3275">
        <f>K77+1</f>
        <v>6</v>
      </c>
      <c r="L79" s="3277" t="s">
        <v>2902</v>
      </c>
      <c r="M79" s="3099" t="s">
        <v>421</v>
      </c>
      <c r="N79" s="1305"/>
      <c r="O79" s="1306">
        <f ca="1">N69-O77</f>
        <v>35722</v>
      </c>
      <c r="P79" s="1307"/>
      <c r="Q79" s="2034"/>
      <c r="R79" s="2034"/>
      <c r="S79" s="2034"/>
      <c r="T79" s="2034"/>
      <c r="U79" s="2034"/>
      <c r="V79" s="2034"/>
    </row>
    <row r="80" spans="1:22" ht="25.5" hidden="1">
      <c r="A80" s="3282" t="s">
        <v>428</v>
      </c>
      <c r="B80" s="3283"/>
      <c r="C80" s="997"/>
      <c r="D80" s="997" t="s">
        <v>429</v>
      </c>
      <c r="E80" s="373" t="s">
        <v>430</v>
      </c>
      <c r="F80" s="42"/>
      <c r="G80" s="42"/>
      <c r="H80" s="1006"/>
      <c r="I80" s="314"/>
      <c r="J80" s="2034"/>
      <c r="K80" s="3276"/>
      <c r="L80" s="3277"/>
      <c r="M80" s="3099" t="s">
        <v>425</v>
      </c>
      <c r="N80" s="1305"/>
      <c r="O80" s="1306" t="str">
        <f ca="1">NUMBERSTRING(INT(O79*10000),2)&amp;"元整"</f>
        <v>叁亿伍仟柒佰贰拾贰万元整</v>
      </c>
      <c r="P80" s="1307"/>
      <c r="Q80" s="2034"/>
      <c r="R80" s="2034"/>
      <c r="S80" s="2034"/>
      <c r="T80" s="2034"/>
      <c r="U80" s="2034"/>
      <c r="V80" s="2034"/>
    </row>
    <row r="81" spans="1:26" ht="13.5" hidden="1" thickBot="1">
      <c r="A81" s="384" t="s">
        <v>1827</v>
      </c>
      <c r="B81" s="374" t="s">
        <v>431</v>
      </c>
      <c r="C81" s="375">
        <f ca="1">ROUND((C82+C83)/(1+'数据-取费表'!C42),0)</f>
        <v>32210</v>
      </c>
      <c r="D81" s="376"/>
      <c r="E81" s="377"/>
      <c r="F81" s="42"/>
      <c r="G81" s="42"/>
      <c r="H81" s="1006"/>
      <c r="I81" s="314"/>
      <c r="J81" s="2034"/>
      <c r="K81" s="3093">
        <f>K79+1</f>
        <v>7</v>
      </c>
      <c r="L81" s="3289" t="s">
        <v>2903</v>
      </c>
      <c r="M81" s="3290"/>
      <c r="N81" s="1309"/>
      <c r="O81" s="1310">
        <f ca="1">ROUND(O79*10000/'数据-汇总表'!E3,0)</f>
        <v>2769</v>
      </c>
      <c r="P81" s="1311"/>
      <c r="Q81" s="2034"/>
      <c r="R81" s="2034"/>
      <c r="S81" s="2034"/>
      <c r="T81" s="2034"/>
      <c r="U81" s="2034"/>
      <c r="V81" s="2034"/>
    </row>
    <row r="82" spans="1:26" ht="13.5" hidden="1" thickTop="1">
      <c r="A82" s="378" t="s">
        <v>1828</v>
      </c>
      <c r="B82" s="379" t="s">
        <v>432</v>
      </c>
      <c r="C82" s="380">
        <f ca="1">D63</f>
        <v>33821</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hidden="1">
      <c r="A83" s="378" t="s">
        <v>1829</v>
      </c>
      <c r="B83" s="379" t="s">
        <v>433</v>
      </c>
      <c r="C83" s="383">
        <v>0</v>
      </c>
      <c r="D83" s="381"/>
      <c r="E83" s="382"/>
      <c r="F83" s="42"/>
      <c r="G83" s="42"/>
      <c r="H83" s="1006"/>
      <c r="I83" s="314"/>
      <c r="J83" s="2034"/>
      <c r="K83" s="3264" t="s">
        <v>2890</v>
      </c>
      <c r="L83" s="3105" t="s">
        <v>2891</v>
      </c>
      <c r="M83" s="3095">
        <f ca="1">IF(N69&gt;10000,N69*0.5%,IF(AND(N69&gt;1000,N69&lt;=10000),N69*1%,IF(AND(N69&gt;100,N69&lt;=1000),N69*3%,IF(AND(N69&gt;10,N69&lt;=100),N69*5%,N69*8%))))</f>
        <v>281.84500000000003</v>
      </c>
      <c r="N83" s="53">
        <f ca="1">ROUND(M83,1)</f>
        <v>281.8</v>
      </c>
      <c r="O83" s="3098"/>
      <c r="P83" s="2034"/>
      <c r="Q83" s="2034"/>
      <c r="R83" s="2034"/>
      <c r="S83" s="2034"/>
      <c r="T83" s="2034"/>
      <c r="U83" s="2034"/>
      <c r="V83" s="2034"/>
    </row>
    <row r="84" spans="1:26" ht="12.75" hidden="1">
      <c r="A84" s="384" t="s">
        <v>1830</v>
      </c>
      <c r="B84" s="385" t="s">
        <v>434</v>
      </c>
      <c r="C84" s="386">
        <v>2000</v>
      </c>
      <c r="D84" s="387" t="s">
        <v>19</v>
      </c>
      <c r="E84" s="3139" t="s">
        <v>2955</v>
      </c>
      <c r="F84" s="42"/>
      <c r="G84" s="42"/>
      <c r="H84" s="1006"/>
      <c r="I84" s="314"/>
      <c r="J84" s="2034"/>
      <c r="K84" s="3264"/>
      <c r="L84" s="3105" t="s">
        <v>2892</v>
      </c>
      <c r="M84" s="3095">
        <f ca="1">IF(N69&gt;2000,N69*0.5%,IF(AND(N69&gt;1000,N69&lt;=2000),N69*0.6%,IF(AND(N69&gt;500,N69&lt;=1000),N69*0.7%,IF(AND(N69&gt;200,N69&lt;=500),N69*0.8%,IF(AND(N69&gt;100,N69&lt;=200),N69*0.9%,IF(AND(N69&gt;50,N69&lt;=100),N69*1%,IF(AND(N69&gt;20,N69&lt;=50),N69*1.5%,IF(AND(N69&gt;10,N69&lt;=20),N69*2%,IF(AND(N69&gt;1,N69&lt;=10),N69*2.5%)))))))))</f>
        <v>281.84500000000003</v>
      </c>
      <c r="N84" s="53">
        <f t="shared" ref="N84:N85" ca="1" si="2">ROUND(M84,1)</f>
        <v>281.8</v>
      </c>
      <c r="O84" s="2034" t="s">
        <v>2893</v>
      </c>
      <c r="P84" s="2034"/>
      <c r="Q84" s="2034"/>
      <c r="R84" s="2034"/>
      <c r="S84" s="2034"/>
      <c r="T84" s="2034"/>
      <c r="U84" s="2034"/>
      <c r="V84" s="2034"/>
    </row>
    <row r="85" spans="1:26" ht="12.75" hidden="1">
      <c r="A85" s="384" t="s">
        <v>1831</v>
      </c>
      <c r="B85" s="385" t="s">
        <v>435</v>
      </c>
      <c r="C85" s="388">
        <f ca="1">C81-C84</f>
        <v>30210</v>
      </c>
      <c r="D85" s="381" t="s">
        <v>19</v>
      </c>
      <c r="E85" s="382"/>
      <c r="F85" s="42"/>
      <c r="G85" s="42"/>
      <c r="H85" s="1006"/>
      <c r="I85" s="314"/>
      <c r="J85" s="2034"/>
      <c r="K85" s="3264"/>
      <c r="L85" s="3105" t="s">
        <v>2894</v>
      </c>
      <c r="M85" s="3095">
        <f ca="1">IF(N69&gt;1000,N69*0.1%,IF(AND(N69&gt;500,N69&lt;=1000),N69*0.5%,IF(AND(N69&gt;50,N69&lt;=500),N69*1%,IF(AND(N69&gt;1,N69&lt;=50),N69*1.5%))))</f>
        <v>56.369</v>
      </c>
      <c r="N85" s="53">
        <f t="shared" ca="1" si="2"/>
        <v>56.4</v>
      </c>
      <c r="O85" s="2034" t="s">
        <v>2893</v>
      </c>
      <c r="P85" s="2034"/>
      <c r="Q85" s="2034"/>
      <c r="R85" s="2034"/>
      <c r="S85" s="2034"/>
      <c r="T85" s="2034"/>
      <c r="U85" s="2034"/>
      <c r="V85" s="2034"/>
    </row>
    <row r="86" spans="1:26" ht="13.5" hidden="1" thickBot="1">
      <c r="A86" s="389" t="s">
        <v>1832</v>
      </c>
      <c r="B86" s="390" t="s">
        <v>436</v>
      </c>
      <c r="C86" s="391">
        <f ca="1">IF(C85&lt;=0,0,ROUND(C85*D86,0))</f>
        <v>1692</v>
      </c>
      <c r="D86" s="392">
        <f>'数据-取费表'!B41</f>
        <v>5.6000000000000001E-2</v>
      </c>
      <c r="E86" s="393"/>
      <c r="F86" s="42"/>
      <c r="G86" s="42"/>
      <c r="H86" s="1006"/>
      <c r="I86" s="314"/>
      <c r="J86" s="2034"/>
      <c r="K86" s="3264"/>
      <c r="L86" s="3105" t="s">
        <v>2895</v>
      </c>
      <c r="M86" s="3095">
        <f ca="1">N69*0.5%</f>
        <v>281.84500000000003</v>
      </c>
      <c r="N86" s="53">
        <f ca="1">IF(M86&gt;0.5,0.5,ROUND(M86,0))</f>
        <v>0.5</v>
      </c>
      <c r="O86" s="2034" t="s">
        <v>2896</v>
      </c>
      <c r="P86" s="2034"/>
      <c r="Q86" s="2034"/>
      <c r="R86" s="2034"/>
      <c r="S86" s="2034"/>
      <c r="T86" s="2034"/>
      <c r="U86" s="2034"/>
      <c r="V86" s="2034"/>
    </row>
    <row r="87" spans="1:26" s="1257" customFormat="1" ht="14.25" hidden="1" customHeight="1">
      <c r="A87" s="1312"/>
      <c r="B87" s="1313"/>
      <c r="C87" s="1314"/>
      <c r="D87" s="1315"/>
      <c r="E87" s="1316"/>
      <c r="F87" s="42"/>
      <c r="G87" s="42"/>
      <c r="H87" s="1006"/>
      <c r="I87" s="314"/>
      <c r="J87" s="2034"/>
      <c r="K87" s="3264"/>
      <c r="L87" s="3105" t="s">
        <v>2897</v>
      </c>
      <c r="M87" s="3095">
        <f ca="1">IF(N69&gt;=10000,(8.25+(N69-10000)*0.01%),IF(AND(N69&gt;=8000,N69&lt;10000),(7.85+(N69-8000)*0.02%),IF(AND(N69&gt;=5000,N69&lt;8000),(6.65+(N69-5000)*0.04%),IF(AND(N69&gt;=2000,N69&lt;5000),(4.25+(PN69-2000)*0.08%),IF(AND(N69&gt;=1000,N69&lt;2000),(2.75+(N69-1000)*0.15%),IF(AND(N69&gt;=100,N69&lt;1000),(0.5+(N69-100)*0.25%),IF(AND(N69&gt;0,N69&lt;100),N69*0.5%)))))))</f>
        <v>12.886900000000001</v>
      </c>
      <c r="N87" s="53">
        <f ca="1">ROUND(M87*0.9,1)</f>
        <v>11.6</v>
      </c>
      <c r="O87" s="3098"/>
      <c r="P87" s="314"/>
      <c r="Q87" s="2034"/>
      <c r="R87" s="2034"/>
      <c r="S87" s="2034"/>
      <c r="T87" s="2034"/>
      <c r="U87" s="2034"/>
      <c r="V87" s="2034"/>
      <c r="W87" s="292"/>
      <c r="X87" s="292"/>
      <c r="Y87" s="292"/>
      <c r="Z87" s="292"/>
    </row>
    <row r="88" spans="1:26" s="1317" customFormat="1" ht="15" hidden="1" thickBot="1">
      <c r="A88" s="3318" t="s">
        <v>437</v>
      </c>
      <c r="B88" s="3319"/>
      <c r="C88" s="3319"/>
      <c r="D88" s="3319"/>
      <c r="E88" s="3319"/>
      <c r="F88" s="3319"/>
      <c r="G88" s="3319"/>
      <c r="H88" s="3319"/>
      <c r="I88" s="1318"/>
      <c r="J88" s="2042"/>
      <c r="K88" s="3264"/>
      <c r="L88" s="3105" t="s">
        <v>2898</v>
      </c>
      <c r="M88" s="3095">
        <f ca="1">IF(N69&gt;10000,N69*0.5%,IF(AND(N69&gt;5000,N69&lt;=10000),N69*1%,IF(AND(N69&gt;1000,N69&lt;=5000),N69*2%,IF(AND(N69&gt;200,N69&lt;=1000),N69*3%,N69*5%))))</f>
        <v>281.84500000000003</v>
      </c>
      <c r="N88" s="53">
        <f ca="1">ROUND(M88,1)</f>
        <v>281.8</v>
      </c>
      <c r="O88" s="3098"/>
      <c r="P88" s="11"/>
      <c r="Q88" s="2039"/>
      <c r="R88" s="2039"/>
      <c r="S88" s="2039"/>
      <c r="T88" s="2039"/>
      <c r="U88" s="2039"/>
      <c r="V88" s="2039"/>
      <c r="W88" s="2043"/>
      <c r="X88" s="2043"/>
      <c r="Y88" s="2043"/>
      <c r="Z88" s="2043"/>
    </row>
    <row r="89" spans="1:26" s="1317" customFormat="1" ht="14.25" hidden="1">
      <c r="A89" s="3282" t="s">
        <v>428</v>
      </c>
      <c r="B89" s="3283"/>
      <c r="C89" s="997"/>
      <c r="D89" s="997" t="s">
        <v>429</v>
      </c>
      <c r="E89" s="394" t="s">
        <v>438</v>
      </c>
      <c r="F89" s="395"/>
      <c r="G89" s="395"/>
      <c r="H89" s="396"/>
      <c r="I89" s="1319"/>
      <c r="J89" s="2044"/>
      <c r="K89" s="3264"/>
      <c r="L89" s="3105" t="s">
        <v>27</v>
      </c>
      <c r="M89" s="3096"/>
      <c r="N89" s="53">
        <f ca="1">ROUND(SUM(N83:N88),0)</f>
        <v>914</v>
      </c>
      <c r="O89" s="3106">
        <f ca="1">N89/N69</f>
        <v>1.6214586031329276E-2</v>
      </c>
      <c r="P89" s="2039"/>
      <c r="Q89" s="2039"/>
      <c r="R89" s="2039"/>
      <c r="S89" s="2039"/>
      <c r="T89" s="2039"/>
      <c r="U89" s="2039"/>
      <c r="V89" s="2039"/>
      <c r="W89" s="2043"/>
      <c r="X89" s="2043"/>
      <c r="Y89" s="2043"/>
      <c r="Z89" s="2043"/>
    </row>
    <row r="90" spans="1:26" s="1317" customFormat="1" ht="14.25" hidden="1">
      <c r="A90" s="384" t="s">
        <v>1827</v>
      </c>
      <c r="B90" s="385" t="s">
        <v>439</v>
      </c>
      <c r="C90" s="388">
        <f ca="1">ROUND(D63/(1+'数据-取费表'!C42),0)</f>
        <v>32210</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hidden="1">
      <c r="A91" s="384" t="s">
        <v>1833</v>
      </c>
      <c r="B91" s="351" t="s">
        <v>440</v>
      </c>
      <c r="C91" s="388">
        <f ca="1">C92+C96</f>
        <v>2693</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hidden="1">
      <c r="A92" s="398" t="s">
        <v>1834</v>
      </c>
      <c r="B92" s="379" t="s">
        <v>441</v>
      </c>
      <c r="C92" s="381">
        <f>ROUND(IF(G95="2016年5月1日后购买",C93/(1+'数据-取费表'!C30)+C94+C95,C93+C94+C95),0)</f>
        <v>2500</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hidden="1">
      <c r="A93" s="398" t="s">
        <v>1835</v>
      </c>
      <c r="B93" s="379" t="s">
        <v>442</v>
      </c>
      <c r="C93" s="399">
        <v>2000</v>
      </c>
      <c r="D93" s="381" t="s">
        <v>19</v>
      </c>
      <c r="E93" s="400" t="s">
        <v>443</v>
      </c>
      <c r="F93" s="401" t="s">
        <v>444</v>
      </c>
      <c r="G93" s="400" t="s">
        <v>445</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hidden="1" customHeight="1">
      <c r="A94" s="398" t="s">
        <v>1836</v>
      </c>
      <c r="B94" s="403" t="s">
        <v>446</v>
      </c>
      <c r="C94" s="381">
        <f>IF(F93="购房发票",ROUND(C93*H93*5%,0),0)</f>
        <v>500</v>
      </c>
      <c r="D94" s="404">
        <v>0.05</v>
      </c>
      <c r="E94" s="3315" t="s">
        <v>447</v>
      </c>
      <c r="F94" s="3316"/>
      <c r="G94" s="3316"/>
      <c r="H94" s="3317"/>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hidden="1" customHeight="1">
      <c r="A95" s="398" t="s">
        <v>1837</v>
      </c>
      <c r="B95" s="379" t="s">
        <v>448</v>
      </c>
      <c r="C95" s="381">
        <f>ROUND(IF(G95="个人买卖住房",0,IF(G95="2016年5月1日前购买",C93*D95,C93*D95/(1+'数据-取费表'!C42))),0)</f>
        <v>0</v>
      </c>
      <c r="D95" s="405">
        <f>'数据-取费表'!B48+'数据-取费表'!B49</f>
        <v>0</v>
      </c>
      <c r="E95" s="26" t="s">
        <v>449</v>
      </c>
      <c r="F95" s="406"/>
      <c r="G95" s="407" t="s">
        <v>2441</v>
      </c>
      <c r="H95" s="1002" t="str">
        <f>IF(G95="个人买卖住房","免征印花税"," ")</f>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hidden="1" customHeight="1">
      <c r="A96" s="398" t="s">
        <v>1838</v>
      </c>
      <c r="B96" s="379" t="s">
        <v>450</v>
      </c>
      <c r="C96" s="408">
        <f ca="1">ROUND(D63*D96/(1+'数据-取费表'!C42),0)</f>
        <v>193</v>
      </c>
      <c r="D96" s="409">
        <f>'数据-取费表'!B43</f>
        <v>6.000000000000001E-3</v>
      </c>
      <c r="E96" s="3305" t="s">
        <v>2440</v>
      </c>
      <c r="F96" s="3306"/>
      <c r="G96" s="3306"/>
      <c r="H96" s="3307"/>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hidden="1">
      <c r="A97" s="1623" t="s">
        <v>1839</v>
      </c>
      <c r="B97" s="385" t="s">
        <v>451</v>
      </c>
      <c r="C97" s="388">
        <f ca="1">C90-C91</f>
        <v>29517</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hidden="1">
      <c r="A98" s="1623" t="s">
        <v>1840</v>
      </c>
      <c r="B98" s="385" t="s">
        <v>452</v>
      </c>
      <c r="C98" s="410">
        <f ca="1">IF(C97&lt;=0,0,C97/C91)</f>
        <v>10.960638692907539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hidden="1" thickBot="1">
      <c r="A99" s="1624" t="s">
        <v>1841</v>
      </c>
      <c r="B99" s="390" t="s">
        <v>453</v>
      </c>
      <c r="C99" s="411">
        <f ca="1">ROUND(IF(C97&lt;=0,0,IF(C98&gt;=200%,C97*60%-C91*35%,IF(C98&gt;=100%,C97*50%-C91*15%,IF(C98&gt;=50%,C97*40%-C91*5%,IF(C98&lt;50%,C97*30%,0))))),0)</f>
        <v>16768</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hidden="1"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hidden="1" thickBot="1">
      <c r="A101" s="3318" t="s">
        <v>454</v>
      </c>
      <c r="B101" s="3319"/>
      <c r="C101" s="3319"/>
      <c r="D101" s="3319"/>
      <c r="E101" s="3319"/>
      <c r="F101" s="3319"/>
      <c r="G101" s="3319"/>
      <c r="H101" s="3319"/>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hidden="1">
      <c r="A102" s="3282" t="s">
        <v>428</v>
      </c>
      <c r="B102" s="3283"/>
      <c r="C102" s="997"/>
      <c r="D102" s="997" t="s">
        <v>429</v>
      </c>
      <c r="E102" s="394" t="s">
        <v>438</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hidden="1">
      <c r="A103" s="384" t="s">
        <v>1827</v>
      </c>
      <c r="B103" s="385" t="s">
        <v>439</v>
      </c>
      <c r="C103" s="388">
        <f ca="1">ROUND(D63/(1+'数据-取费表'!C42),0)</f>
        <v>32210</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hidden="1">
      <c r="A104" s="384" t="s">
        <v>1833</v>
      </c>
      <c r="B104" s="351" t="s">
        <v>440</v>
      </c>
      <c r="C104" s="388">
        <f ca="1">IF(H106="仅含出让金",C105+C108+C109+C110+C111+C112,C105+C109+C110+C111+C112)</f>
        <v>864</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hidden="1">
      <c r="A105" s="398" t="s">
        <v>1834</v>
      </c>
      <c r="B105" s="379" t="s">
        <v>455</v>
      </c>
      <c r="C105" s="408">
        <f>C106+C107</f>
        <v>555</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hidden="1">
      <c r="A106" s="398" t="s">
        <v>1835</v>
      </c>
      <c r="B106" s="379" t="s">
        <v>456</v>
      </c>
      <c r="C106" s="419">
        <v>555</v>
      </c>
      <c r="D106" s="409"/>
      <c r="E106" s="420" t="s">
        <v>457</v>
      </c>
      <c r="F106" s="989"/>
      <c r="G106" s="421" t="s">
        <v>458</v>
      </c>
      <c r="H106" s="422" t="s">
        <v>2451</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hidden="1">
      <c r="A107" s="398" t="s">
        <v>1836</v>
      </c>
      <c r="B107" s="379" t="s">
        <v>448</v>
      </c>
      <c r="C107" s="408">
        <f>ROUND(C106*D107,0)</f>
        <v>0</v>
      </c>
      <c r="D107" s="409">
        <f>'数据-取费表'!B48+'数据-取费表'!B49</f>
        <v>0</v>
      </c>
      <c r="E107" s="420" t="s">
        <v>459</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hidden="1">
      <c r="A108" s="398" t="s">
        <v>1838</v>
      </c>
      <c r="B108" s="379" t="s">
        <v>460</v>
      </c>
      <c r="C108" s="419"/>
      <c r="D108" s="409"/>
      <c r="E108" s="420" t="str">
        <f>IF(H106="-","土地取得成本中已包含该笔费用"," ")</f>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hidden="1" customHeight="1">
      <c r="A109" s="1625" t="s">
        <v>1842</v>
      </c>
      <c r="B109" s="379" t="s">
        <v>461</v>
      </c>
      <c r="C109" s="408">
        <f>IF(H109="——",IF(F1="现房",'剩余法-现房'!C18,'剩余法-待开发'!C18),I109)</f>
        <v>55</v>
      </c>
      <c r="D109" s="409"/>
      <c r="E109" s="3308" t="s">
        <v>462</v>
      </c>
      <c r="F109" s="3306"/>
      <c r="G109" s="3306"/>
      <c r="H109" s="1947" t="s">
        <v>2289</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hidden="1" customHeight="1">
      <c r="A110" s="1625" t="s">
        <v>1843</v>
      </c>
      <c r="B110" s="379" t="s">
        <v>463</v>
      </c>
      <c r="C110" s="408">
        <f>ROUND((C105+C108+C109)*D110,0)</f>
        <v>61</v>
      </c>
      <c r="D110" s="409">
        <v>0.1</v>
      </c>
      <c r="E110" s="3308" t="s">
        <v>464</v>
      </c>
      <c r="F110" s="3306"/>
      <c r="G110" s="3306"/>
      <c r="H110" s="3307"/>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hidden="1" customHeight="1">
      <c r="A111" s="1625" t="s">
        <v>1844</v>
      </c>
      <c r="B111" s="379" t="s">
        <v>450</v>
      </c>
      <c r="C111" s="408">
        <f ca="1">ROUND(D63*D111/(1+'数据-取费表'!C42),0)</f>
        <v>193</v>
      </c>
      <c r="D111" s="409">
        <f>'数据-取费表'!B43</f>
        <v>6.000000000000001E-3</v>
      </c>
      <c r="E111" s="3305" t="s">
        <v>2440</v>
      </c>
      <c r="F111" s="3306"/>
      <c r="G111" s="3306"/>
      <c r="H111" s="3307"/>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hidden="1" customHeight="1">
      <c r="A112" s="1625" t="s">
        <v>1845</v>
      </c>
      <c r="B112" s="379" t="s">
        <v>465</v>
      </c>
      <c r="C112" s="408">
        <f>ROUND(C108*D112,0)</f>
        <v>0</v>
      </c>
      <c r="D112" s="409">
        <v>0.2</v>
      </c>
      <c r="E112" s="3308" t="s">
        <v>2465</v>
      </c>
      <c r="F112" s="3306"/>
      <c r="G112" s="3306"/>
      <c r="H112" s="3307"/>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hidden="1">
      <c r="A113" s="1623" t="s">
        <v>1839</v>
      </c>
      <c r="B113" s="385" t="s">
        <v>451</v>
      </c>
      <c r="C113" s="388">
        <f ca="1">ROUND(C103-C104,0)</f>
        <v>31346</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hidden="1">
      <c r="A114" s="1623" t="s">
        <v>1840</v>
      </c>
      <c r="B114" s="385" t="s">
        <v>452</v>
      </c>
      <c r="C114" s="410">
        <f ca="1">IF(C113&lt;=0,0,C113/C104)</f>
        <v>36.280092592592595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hidden="1" thickBot="1">
      <c r="A115" s="1624" t="s">
        <v>1841</v>
      </c>
      <c r="B115" s="390" t="s">
        <v>453</v>
      </c>
      <c r="C115" s="411">
        <f ca="1">ROUND(IF(C113&lt;=0,0,IF(C114&gt;=200%,C113*60%-C104*35%,IF(C114&gt;=100%,C113*50%-C104*15%,IF(C114&gt;=50%,C113*40%-C104*5%,IF(C114&lt;50%,C113*30%,0))))),0)</f>
        <v>18505</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B10" zoomScale="80" zoomScaleNormal="95" zoomScaleSheetLayoutView="80" workbookViewId="0">
      <selection activeCell="K30" sqref="K30"/>
    </sheetView>
  </sheetViews>
  <sheetFormatPr defaultRowHeight="14.25"/>
  <cols>
    <col min="1" max="1" width="15.625" style="1340" customWidth="1"/>
    <col min="2" max="2" width="15.75" style="1340" customWidth="1"/>
    <col min="3" max="3" width="23.75" style="1340" customWidth="1"/>
    <col min="4" max="4" width="12.25" style="1340" customWidth="1"/>
    <col min="5" max="5" width="20.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f>F68</f>
        <v>50587</v>
      </c>
      <c r="C2" s="2137"/>
      <c r="D2" s="2137"/>
      <c r="E2" s="2138"/>
      <c r="F2" s="2139"/>
      <c r="G2" s="2138"/>
      <c r="H2" s="2138"/>
      <c r="I2" s="2138"/>
      <c r="J2" s="2138"/>
      <c r="K2" s="2140"/>
      <c r="L2" s="2141"/>
      <c r="M2" s="2142"/>
      <c r="N2" s="2142"/>
      <c r="O2" s="2142"/>
      <c r="P2" s="1570"/>
      <c r="Q2" s="1570"/>
      <c r="R2" s="1570"/>
      <c r="S2" s="1570"/>
      <c r="T2" s="1570"/>
      <c r="U2" s="1570"/>
      <c r="V2" s="1570"/>
      <c r="W2" s="1570"/>
      <c r="X2" s="1570"/>
      <c r="Y2" s="1570"/>
      <c r="Z2" s="1570"/>
      <c r="AA2" s="1570"/>
      <c r="AB2" s="1570"/>
      <c r="AC2" s="1571"/>
      <c r="AD2" s="1338"/>
    </row>
    <row r="3" spans="1:30" s="1339" customFormat="1" ht="28.5" customHeight="1">
      <c r="A3" s="1384" t="s">
        <v>1687</v>
      </c>
      <c r="B3" s="513">
        <f>ROUND(B2*10000/'数据-汇总表'!E3,0)</f>
        <v>3921</v>
      </c>
      <c r="C3" s="2068"/>
      <c r="D3" s="2605"/>
      <c r="E3" s="2068"/>
      <c r="F3" s="2068"/>
      <c r="G3" s="2138"/>
      <c r="H3" s="2138"/>
      <c r="I3" s="2138"/>
      <c r="J3" s="2138"/>
      <c r="K3" s="2140"/>
      <c r="L3" s="2141"/>
      <c r="M3" s="2142"/>
      <c r="N3" s="2142"/>
      <c r="O3" s="2142"/>
      <c r="P3" s="1570"/>
      <c r="Q3" s="1570"/>
      <c r="R3" s="1570"/>
      <c r="S3" s="1570"/>
      <c r="T3" s="1570"/>
      <c r="U3" s="1570"/>
      <c r="V3" s="1570"/>
      <c r="W3" s="1570"/>
      <c r="X3" s="1570"/>
      <c r="Y3" s="1570"/>
      <c r="Z3" s="1570"/>
      <c r="AA3" s="1570"/>
      <c r="AB3" s="1572"/>
      <c r="AC3" s="431"/>
    </row>
    <row r="4" spans="1:30" s="1339" customFormat="1" ht="28.5" customHeight="1">
      <c r="A4" s="514" t="s">
        <v>521</v>
      </c>
      <c r="B4" s="430">
        <f>IF(B48="单位面积地价",C50,ROUND(B2*10000/'数据-汇总表'!D3,0))</f>
        <v>7201</v>
      </c>
      <c r="C4" s="2068"/>
      <c r="D4" s="2605"/>
      <c r="E4" s="2068"/>
      <c r="F4" s="2068"/>
      <c r="G4" s="2138"/>
      <c r="H4" s="2138"/>
      <c r="I4" s="2138"/>
      <c r="J4" s="2138"/>
      <c r="K4" s="2140"/>
      <c r="L4" s="2141"/>
      <c r="M4" s="2142"/>
      <c r="N4" s="2142"/>
      <c r="O4" s="2142"/>
      <c r="P4" s="1570"/>
      <c r="Q4" s="1570"/>
      <c r="R4" s="1570"/>
      <c r="S4" s="1570"/>
      <c r="T4" s="1570"/>
      <c r="U4" s="1570"/>
      <c r="V4" s="1570"/>
      <c r="W4" s="1570"/>
      <c r="X4" s="1570"/>
      <c r="Y4" s="1570"/>
      <c r="Z4" s="1570"/>
      <c r="AA4" s="1570"/>
      <c r="AB4" s="1570"/>
      <c r="AC4" s="431"/>
    </row>
    <row r="5" spans="1:30" s="1339" customFormat="1" ht="28.5" customHeight="1" thickBot="1">
      <c r="A5" s="432"/>
      <c r="B5" s="433">
        <f>ROUND(B2/('数据-汇总表'!D3/666.67),0)</f>
        <v>480</v>
      </c>
      <c r="C5" s="434" t="s">
        <v>469</v>
      </c>
      <c r="D5" s="2068"/>
      <c r="E5" s="2068"/>
      <c r="F5" s="2068"/>
      <c r="G5" s="2138"/>
      <c r="H5" s="2138"/>
      <c r="I5" s="2138"/>
      <c r="J5" s="2138"/>
      <c r="K5" s="2140"/>
      <c r="L5" s="2141"/>
      <c r="M5" s="2142"/>
      <c r="N5" s="2142"/>
      <c r="O5" s="2142"/>
      <c r="P5" s="1570"/>
      <c r="Q5" s="1570"/>
      <c r="R5" s="1570"/>
      <c r="S5" s="1570"/>
      <c r="T5" s="1570"/>
      <c r="U5" s="1570"/>
      <c r="V5" s="1570"/>
      <c r="W5" s="1570"/>
      <c r="X5" s="1570"/>
      <c r="Y5" s="1570"/>
      <c r="Z5" s="1570"/>
      <c r="AA5" s="1570"/>
      <c r="AB5" s="1570"/>
      <c r="AC5" s="431"/>
    </row>
    <row r="6" spans="1:30" ht="20.25">
      <c r="A6" s="515" t="s">
        <v>522</v>
      </c>
      <c r="B6" s="516"/>
      <c r="C6" s="3363" t="s">
        <v>523</v>
      </c>
      <c r="D6" s="3364"/>
      <c r="E6" s="3363" t="s">
        <v>524</v>
      </c>
      <c r="F6" s="3364"/>
      <c r="G6" s="3363" t="s">
        <v>525</v>
      </c>
      <c r="H6" s="3364"/>
      <c r="I6" s="3363" t="s">
        <v>526</v>
      </c>
      <c r="J6" s="3364"/>
      <c r="K6" s="517" t="s">
        <v>527</v>
      </c>
      <c r="L6" s="2143"/>
      <c r="M6" s="2142"/>
      <c r="N6" s="2142"/>
      <c r="O6" s="2144"/>
      <c r="P6" s="3365" t="s">
        <v>528</v>
      </c>
      <c r="Q6" s="3366"/>
      <c r="R6" s="3351" t="s">
        <v>524</v>
      </c>
      <c r="S6" s="3352"/>
      <c r="T6" s="3351" t="s">
        <v>525</v>
      </c>
      <c r="U6" s="3352"/>
      <c r="V6" s="3371" t="s">
        <v>526</v>
      </c>
      <c r="W6" s="3371"/>
      <c r="X6" s="1573"/>
      <c r="Y6" s="3351" t="s">
        <v>528</v>
      </c>
      <c r="Z6" s="3352"/>
      <c r="AA6" s="3346" t="s">
        <v>524</v>
      </c>
      <c r="AB6" s="3347" t="s">
        <v>525</v>
      </c>
      <c r="AC6" s="3346" t="s">
        <v>526</v>
      </c>
    </row>
    <row r="7" spans="1:30" ht="27" customHeight="1">
      <c r="A7" s="518"/>
      <c r="B7" s="519"/>
      <c r="C7" s="3374" t="s">
        <v>2942</v>
      </c>
      <c r="D7" s="3375"/>
      <c r="E7" s="3374" t="str">
        <f>案例!A1</f>
        <v>海甸岛沿江西路南侧(海南省海口市美兰区 )</v>
      </c>
      <c r="F7" s="3375"/>
      <c r="G7" s="3374" t="str">
        <f>案例!A28</f>
        <v>海口市滨海大道南侧长流起步区内(海南省海口市龙华区 )</v>
      </c>
      <c r="H7" s="3375"/>
      <c r="I7" s="3374" t="str">
        <f>案例!A52</f>
        <v>海口市秀英港(海南省海口市秀英区 )</v>
      </c>
      <c r="J7" s="3375"/>
      <c r="K7" s="517"/>
      <c r="L7" s="2143"/>
      <c r="M7" s="2142"/>
      <c r="N7" s="2142"/>
      <c r="O7" s="2144"/>
      <c r="P7" s="3367"/>
      <c r="Q7" s="3368"/>
      <c r="R7" s="3353"/>
      <c r="S7" s="3354"/>
      <c r="T7" s="3353"/>
      <c r="U7" s="3354"/>
      <c r="V7" s="3371"/>
      <c r="W7" s="3371"/>
      <c r="X7" s="1573"/>
      <c r="Y7" s="3353"/>
      <c r="Z7" s="3354"/>
      <c r="AA7" s="3347"/>
      <c r="AB7" s="3347"/>
      <c r="AC7" s="3347"/>
    </row>
    <row r="8" spans="1:30" ht="21" thickBot="1">
      <c r="A8" s="518"/>
      <c r="B8" s="519"/>
      <c r="C8" s="3376" t="s">
        <v>2946</v>
      </c>
      <c r="D8" s="3377"/>
      <c r="E8" s="3376" t="str">
        <f>案例!B2</f>
        <v>海甸岛沿江西路南侧</v>
      </c>
      <c r="F8" s="3377"/>
      <c r="G8" s="3372" t="str">
        <f>案例!B29</f>
        <v>海口市滨海大道南侧长流起步区内</v>
      </c>
      <c r="H8" s="3373"/>
      <c r="I8" s="3372" t="str">
        <f>案例!B53</f>
        <v>海口市秀英港</v>
      </c>
      <c r="J8" s="3373"/>
      <c r="K8" s="517" t="s">
        <v>529</v>
      </c>
      <c r="L8" s="2143"/>
      <c r="M8" s="2142"/>
      <c r="N8" s="2142"/>
      <c r="O8" s="2144"/>
      <c r="P8" s="3369"/>
      <c r="Q8" s="3370"/>
      <c r="R8" s="3353"/>
      <c r="S8" s="3354"/>
      <c r="T8" s="3355"/>
      <c r="U8" s="3356"/>
      <c r="V8" s="3371"/>
      <c r="W8" s="3371"/>
      <c r="X8" s="1573"/>
      <c r="Y8" s="3355"/>
      <c r="Z8" s="3356"/>
      <c r="AA8" s="3348"/>
      <c r="AB8" s="3348"/>
      <c r="AC8" s="3348"/>
    </row>
    <row r="9" spans="1:30" s="1223" customFormat="1" ht="21" thickBot="1">
      <c r="A9" s="2951"/>
      <c r="B9" s="2958" t="s">
        <v>530</v>
      </c>
      <c r="C9" s="2950">
        <f>'数据-取费表'!B2</f>
        <v>42912</v>
      </c>
      <c r="D9" s="523">
        <v>100</v>
      </c>
      <c r="E9" s="524">
        <f>案例!F5</f>
        <v>42652</v>
      </c>
      <c r="F9" s="525">
        <f>SUMIF(72:72,YEAR(E9)&amp;"-"&amp;INT((MONTH(E9)+2)/3),73:73)</f>
        <v>99</v>
      </c>
      <c r="G9" s="526">
        <f>案例!F32</f>
        <v>42073</v>
      </c>
      <c r="H9" s="523">
        <f>SUMIF(72:72,YEAR(G9)&amp;"-"&amp;INT((MONTH(G9)+2)/3),73:73)</f>
        <v>95.5</v>
      </c>
      <c r="I9" s="526">
        <f>案例!F56</f>
        <v>41922</v>
      </c>
      <c r="J9" s="523">
        <f>SUMIF(72:72,YEAR(I9)&amp;"-"&amp;INT((MONTH(I9)+2)/3),73:73)</f>
        <v>95</v>
      </c>
      <c r="K9" s="527"/>
      <c r="L9" s="2145"/>
      <c r="M9" s="2142"/>
      <c r="N9" s="2142"/>
      <c r="O9" s="2146"/>
      <c r="P9" s="3349" t="s">
        <v>531</v>
      </c>
      <c r="Q9" s="3358"/>
      <c r="R9" s="1574" t="s">
        <v>8</v>
      </c>
      <c r="S9" s="1575">
        <f t="shared" ref="S9:S17" si="0">F9</f>
        <v>99</v>
      </c>
      <c r="T9" s="1574" t="s">
        <v>8</v>
      </c>
      <c r="U9" s="1575">
        <f t="shared" ref="U9:U17" si="1">H9</f>
        <v>95.5</v>
      </c>
      <c r="V9" s="1574" t="s">
        <v>8</v>
      </c>
      <c r="W9" s="1575">
        <f t="shared" ref="W9:W17" si="2">J9</f>
        <v>95</v>
      </c>
      <c r="X9" s="1576"/>
      <c r="Y9" s="3349" t="s">
        <v>531</v>
      </c>
      <c r="Z9" s="3350"/>
      <c r="AA9" s="1577">
        <f>D9/F9</f>
        <v>1.0101010101010102</v>
      </c>
      <c r="AB9" s="1577">
        <f>D9/H9</f>
        <v>1.0471204188481675</v>
      </c>
      <c r="AC9" s="1577">
        <f>D9/J9</f>
        <v>1.0526315789473684</v>
      </c>
    </row>
    <row r="10" spans="1:30" s="1223" customFormat="1" ht="21" thickBot="1">
      <c r="A10" s="2952"/>
      <c r="B10" s="2959" t="s">
        <v>532</v>
      </c>
      <c r="C10" s="859" t="s">
        <v>533</v>
      </c>
      <c r="D10" s="523">
        <v>100</v>
      </c>
      <c r="E10" s="528" t="s">
        <v>3061</v>
      </c>
      <c r="F10" s="525">
        <f>SUMIF(75:75,E10,76:76)-SUMIF(75:75,C10,76:76)+100</f>
        <v>100</v>
      </c>
      <c r="G10" s="528" t="s">
        <v>3061</v>
      </c>
      <c r="H10" s="523">
        <f>SUMIF(75:75,G10,76:76)-SUMIF(75:75,C10,76:76)+100</f>
        <v>100</v>
      </c>
      <c r="I10" s="528" t="s">
        <v>3061</v>
      </c>
      <c r="J10" s="523">
        <f>SUMIF(75:75,I10,76:76)-SUMIF(75:75,C10,76:76)+100</f>
        <v>100</v>
      </c>
      <c r="K10" s="527"/>
      <c r="L10" s="2145"/>
      <c r="M10" s="2142"/>
      <c r="N10" s="2142"/>
      <c r="O10" s="2146"/>
      <c r="P10" s="3349" t="s">
        <v>534</v>
      </c>
      <c r="Q10" s="3350"/>
      <c r="R10" s="1574" t="s">
        <v>8</v>
      </c>
      <c r="S10" s="1575">
        <f t="shared" si="0"/>
        <v>100</v>
      </c>
      <c r="T10" s="1574" t="s">
        <v>8</v>
      </c>
      <c r="U10" s="1575">
        <f t="shared" si="1"/>
        <v>100</v>
      </c>
      <c r="V10" s="1574" t="s">
        <v>8</v>
      </c>
      <c r="W10" s="1575">
        <f t="shared" si="2"/>
        <v>100</v>
      </c>
      <c r="X10" s="1576"/>
      <c r="Y10" s="3349" t="s">
        <v>534</v>
      </c>
      <c r="Z10" s="3350"/>
      <c r="AA10" s="1577">
        <f t="shared" ref="AA10:AA47" si="3">D10/F10</f>
        <v>1</v>
      </c>
      <c r="AB10" s="1577">
        <f t="shared" ref="AB10:AB47" si="4">D10/H10</f>
        <v>1</v>
      </c>
      <c r="AC10" s="1577">
        <f t="shared" ref="AC10:AC47" si="5">D10/J10</f>
        <v>1</v>
      </c>
    </row>
    <row r="11" spans="1:30" s="1223" customFormat="1" ht="28.5">
      <c r="A11" s="2953"/>
      <c r="B11" s="2960" t="s">
        <v>2772</v>
      </c>
      <c r="C11" s="2947" t="s">
        <v>3090</v>
      </c>
      <c r="D11" s="254">
        <v>100</v>
      </c>
      <c r="E11" s="529" t="s">
        <v>2962</v>
      </c>
      <c r="F11" s="254">
        <f>SUMIF(77:77,E11,78:78)-SUMIF(77:77,C11,78:78)+100</f>
        <v>100</v>
      </c>
      <c r="G11" s="529" t="s">
        <v>3025</v>
      </c>
      <c r="H11" s="254">
        <f>SUMIF(77:77,G11,78:78)-SUMIF(77:77,C11,78:78)+100</f>
        <v>100</v>
      </c>
      <c r="I11" s="529" t="s">
        <v>3045</v>
      </c>
      <c r="J11" s="254">
        <f>SUMIF(77:77,I11,78:78)-SUMIF(77:77,C11,78:78)+100</f>
        <v>100</v>
      </c>
      <c r="K11" s="527"/>
      <c r="L11" s="2145"/>
      <c r="M11" s="2142"/>
      <c r="N11" s="2142"/>
      <c r="O11" s="2147"/>
      <c r="P11" s="3357" t="s">
        <v>536</v>
      </c>
      <c r="Q11" s="1154" t="str">
        <f t="shared" ref="Q11:Q17" si="6">B11</f>
        <v>用途</v>
      </c>
      <c r="R11" s="1574" t="s">
        <v>8</v>
      </c>
      <c r="S11" s="1575">
        <f t="shared" si="0"/>
        <v>100</v>
      </c>
      <c r="T11" s="1574" t="s">
        <v>8</v>
      </c>
      <c r="U11" s="1575">
        <f t="shared" si="1"/>
        <v>100</v>
      </c>
      <c r="V11" s="1574" t="s">
        <v>8</v>
      </c>
      <c r="W11" s="1575">
        <f t="shared" si="2"/>
        <v>100</v>
      </c>
      <c r="X11" s="1576"/>
      <c r="Y11" s="3314" t="s">
        <v>537</v>
      </c>
      <c r="Z11" s="1153" t="str">
        <f t="shared" ref="Z11:Z17" si="7">Q11</f>
        <v>用途</v>
      </c>
      <c r="AA11" s="1577">
        <f t="shared" si="3"/>
        <v>1</v>
      </c>
      <c r="AB11" s="1577">
        <f t="shared" si="4"/>
        <v>1</v>
      </c>
      <c r="AC11" s="1577">
        <f t="shared" si="5"/>
        <v>1</v>
      </c>
    </row>
    <row r="12" spans="1:30" s="1341" customFormat="1" ht="27">
      <c r="A12" s="2954"/>
      <c r="B12" s="2959" t="s">
        <v>2773</v>
      </c>
      <c r="C12" s="913">
        <v>28</v>
      </c>
      <c r="D12" s="255">
        <v>100</v>
      </c>
      <c r="E12" s="531" t="str">
        <f>案例!B17</f>
        <v>40年</v>
      </c>
      <c r="F12" s="255">
        <f>ROUND(100/'数据-取费表'!G16,0)</f>
        <v>113</v>
      </c>
      <c r="G12" s="913">
        <v>40</v>
      </c>
      <c r="H12" s="255">
        <f>ROUND(100/'数据-取费表'!G16,0)</f>
        <v>113</v>
      </c>
      <c r="I12" s="913">
        <v>40</v>
      </c>
      <c r="J12" s="255">
        <f>ROUND(100/'数据-取费表'!G16,0)</f>
        <v>113</v>
      </c>
      <c r="K12" s="534"/>
      <c r="L12" s="2148"/>
      <c r="M12" s="2142"/>
      <c r="N12" s="2142"/>
      <c r="O12" s="2149"/>
      <c r="P12" s="3357"/>
      <c r="Q12" s="1154" t="str">
        <f t="shared" si="6"/>
        <v>土地使用年限（年）</v>
      </c>
      <c r="R12" s="1574" t="s">
        <v>8</v>
      </c>
      <c r="S12" s="1575">
        <f t="shared" si="0"/>
        <v>113</v>
      </c>
      <c r="T12" s="1574" t="s">
        <v>8</v>
      </c>
      <c r="U12" s="1575">
        <f t="shared" si="1"/>
        <v>113</v>
      </c>
      <c r="V12" s="1574" t="s">
        <v>8</v>
      </c>
      <c r="W12" s="1575">
        <f t="shared" si="2"/>
        <v>113</v>
      </c>
      <c r="X12" s="1576"/>
      <c r="Y12" s="3314"/>
      <c r="Z12" s="1153" t="str">
        <f t="shared" si="7"/>
        <v>土地使用年限（年）</v>
      </c>
      <c r="AA12" s="1577">
        <f t="shared" si="3"/>
        <v>0.88495575221238942</v>
      </c>
      <c r="AB12" s="1577">
        <f t="shared" si="4"/>
        <v>0.88495575221238942</v>
      </c>
      <c r="AC12" s="1577">
        <f t="shared" si="5"/>
        <v>0.88495575221238942</v>
      </c>
    </row>
    <row r="13" spans="1:30" ht="20.25">
      <c r="A13" s="2955"/>
      <c r="B13" s="2959" t="s">
        <v>2774</v>
      </c>
      <c r="C13" s="537">
        <f>'数据-汇总表'!I7</f>
        <v>0.95</v>
      </c>
      <c r="D13" s="255">
        <v>100</v>
      </c>
      <c r="E13" s="536">
        <f>ROUND(案例!B10/案例!B9,2)</f>
        <v>2.5</v>
      </c>
      <c r="F13" s="255">
        <f>LOOKUP(E13,82:82,83:83)-LOOKUP(C13,82:82,83:83)+100</f>
        <v>102</v>
      </c>
      <c r="G13" s="536">
        <f>ROUND(案例!B37/案例!B36,2)</f>
        <v>3.23</v>
      </c>
      <c r="H13" s="255">
        <f>LOOKUP(G13,82:82,83:83)-LOOKUP(C13,82:82,83:83)+100</f>
        <v>103</v>
      </c>
      <c r="I13" s="536">
        <f>ROUND(案例!B61/案例!B60,2)</f>
        <v>0.5</v>
      </c>
      <c r="J13" s="255">
        <f>LOOKUP(I13,82:82,83:83)-LOOKUP(C13,82:82,83:83)+100</f>
        <v>100</v>
      </c>
      <c r="K13" s="538">
        <v>1</v>
      </c>
      <c r="L13" s="2150"/>
      <c r="M13" s="2142"/>
      <c r="N13" s="2142"/>
      <c r="O13" s="2151"/>
      <c r="P13" s="3357"/>
      <c r="Q13" s="1154" t="str">
        <f t="shared" si="6"/>
        <v>容积率</v>
      </c>
      <c r="R13" s="1574" t="s">
        <v>8</v>
      </c>
      <c r="S13" s="1575">
        <f t="shared" si="0"/>
        <v>102</v>
      </c>
      <c r="T13" s="1574" t="s">
        <v>8</v>
      </c>
      <c r="U13" s="1575">
        <f t="shared" si="1"/>
        <v>103</v>
      </c>
      <c r="V13" s="1574" t="s">
        <v>8</v>
      </c>
      <c r="W13" s="1575">
        <f t="shared" si="2"/>
        <v>100</v>
      </c>
      <c r="X13" s="1576"/>
      <c r="Y13" s="3314"/>
      <c r="Z13" s="1153" t="str">
        <f t="shared" si="7"/>
        <v>容积率</v>
      </c>
      <c r="AA13" s="1577">
        <f t="shared" si="3"/>
        <v>0.98039215686274506</v>
      </c>
      <c r="AB13" s="1577">
        <f t="shared" si="4"/>
        <v>0.970873786407767</v>
      </c>
      <c r="AC13" s="1577">
        <f t="shared" si="5"/>
        <v>1</v>
      </c>
    </row>
    <row r="14" spans="1:30" s="1223" customFormat="1" ht="20.25">
      <c r="A14" s="2952"/>
      <c r="B14" s="2961" t="s">
        <v>2775</v>
      </c>
      <c r="C14" s="2948"/>
      <c r="D14" s="541">
        <v>100</v>
      </c>
      <c r="E14" s="1379"/>
      <c r="F14" s="255">
        <f>SUMIF(84:84,E14,85:85)-SUMIF(84:84,C14,85:85)+100</f>
        <v>100</v>
      </c>
      <c r="G14" s="533"/>
      <c r="H14" s="255">
        <f>SUMIF(84:84,G14,85:85)-SUMIF(84:84,C14,85:85)+100</f>
        <v>100</v>
      </c>
      <c r="I14" s="532"/>
      <c r="J14" s="255">
        <f>SUMIF(84:84,I14,85:85)-SUMIF(84:84,C14,85:85)+100</f>
        <v>100</v>
      </c>
      <c r="K14" s="534"/>
      <c r="L14" s="2145"/>
      <c r="M14" s="2142"/>
      <c r="N14" s="2142"/>
      <c r="O14" s="2147"/>
      <c r="P14" s="3357"/>
      <c r="Q14" s="1154" t="str">
        <f t="shared" si="6"/>
        <v>配建</v>
      </c>
      <c r="R14" s="1574" t="s">
        <v>8</v>
      </c>
      <c r="S14" s="1575">
        <f t="shared" si="0"/>
        <v>100</v>
      </c>
      <c r="T14" s="1574" t="s">
        <v>8</v>
      </c>
      <c r="U14" s="1575">
        <f t="shared" si="1"/>
        <v>100</v>
      </c>
      <c r="V14" s="1574" t="s">
        <v>8</v>
      </c>
      <c r="W14" s="1575">
        <f t="shared" si="2"/>
        <v>100</v>
      </c>
      <c r="X14" s="1576"/>
      <c r="Y14" s="3314"/>
      <c r="Z14" s="1153" t="str">
        <f t="shared" si="7"/>
        <v>配建</v>
      </c>
      <c r="AA14" s="1577">
        <f>D14/F14</f>
        <v>1</v>
      </c>
      <c r="AB14" s="1577">
        <f>D14/H14</f>
        <v>1</v>
      </c>
      <c r="AC14" s="1577">
        <f>D14/J14</f>
        <v>1</v>
      </c>
    </row>
    <row r="15" spans="1:30" ht="20.25">
      <c r="A15" s="2956"/>
      <c r="B15" s="2962">
        <v>111</v>
      </c>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57"/>
      <c r="Q15" s="1154">
        <f t="shared" si="6"/>
        <v>111</v>
      </c>
      <c r="R15" s="1574" t="s">
        <v>8</v>
      </c>
      <c r="S15" s="1575">
        <f t="shared" si="0"/>
        <v>100</v>
      </c>
      <c r="T15" s="1574" t="s">
        <v>8</v>
      </c>
      <c r="U15" s="1575">
        <f t="shared" si="1"/>
        <v>100</v>
      </c>
      <c r="V15" s="1574" t="s">
        <v>8</v>
      </c>
      <c r="W15" s="1575">
        <f t="shared" si="2"/>
        <v>100</v>
      </c>
      <c r="X15" s="1576"/>
      <c r="Y15" s="3314"/>
      <c r="Z15" s="1153">
        <f t="shared" si="7"/>
        <v>111</v>
      </c>
      <c r="AA15" s="1577">
        <f>D15/F15</f>
        <v>1</v>
      </c>
      <c r="AB15" s="1577">
        <f>D15/H15</f>
        <v>1</v>
      </c>
      <c r="AC15" s="1577">
        <f>D15/J15</f>
        <v>1</v>
      </c>
    </row>
    <row r="16" spans="1:30" ht="21" thickBot="1">
      <c r="A16" s="2957"/>
      <c r="B16" s="2963">
        <v>111</v>
      </c>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57"/>
      <c r="Q16" s="1154">
        <f t="shared" si="6"/>
        <v>111</v>
      </c>
      <c r="R16" s="1574" t="s">
        <v>8</v>
      </c>
      <c r="S16" s="1575">
        <f t="shared" si="0"/>
        <v>100</v>
      </c>
      <c r="T16" s="1574" t="s">
        <v>8</v>
      </c>
      <c r="U16" s="1575">
        <f t="shared" si="1"/>
        <v>100</v>
      </c>
      <c r="V16" s="1574" t="s">
        <v>8</v>
      </c>
      <c r="W16" s="1575">
        <f t="shared" si="2"/>
        <v>100</v>
      </c>
      <c r="X16" s="1576"/>
      <c r="Y16" s="3314"/>
      <c r="Z16" s="1153">
        <f t="shared" si="7"/>
        <v>111</v>
      </c>
      <c r="AA16" s="1577">
        <f>D16/F16</f>
        <v>1</v>
      </c>
      <c r="AB16" s="1577">
        <f>D16/H16</f>
        <v>1</v>
      </c>
      <c r="AC16" s="1577">
        <f>D16/J16</f>
        <v>1</v>
      </c>
    </row>
    <row r="17" spans="1:29" ht="20.25" hidden="1">
      <c r="A17" s="2949" t="s">
        <v>2770</v>
      </c>
      <c r="B17" s="581" t="s">
        <v>295</v>
      </c>
      <c r="C17" s="551">
        <f>估价对象房地状况!C15</f>
        <v>0</v>
      </c>
      <c r="D17" s="554">
        <v>100</v>
      </c>
      <c r="E17" s="555"/>
      <c r="F17" s="552">
        <f>SUMIF(90:90,E18,91:91)-SUMIF(90:90,C18,91:91)+100</f>
        <v>100</v>
      </c>
      <c r="G17" s="553"/>
      <c r="H17" s="552">
        <f>SUMIF(90:90,G18,91:91)-SUMIF(90:90,C18,91:91)+100</f>
        <v>100</v>
      </c>
      <c r="I17" s="555"/>
      <c r="J17" s="552">
        <f>SUMIF(90:90,I18,91:91)-SUMIF(90:90,C18,91:91)+100</f>
        <v>100</v>
      </c>
      <c r="K17" s="538"/>
      <c r="L17" s="2152"/>
      <c r="M17" s="2142"/>
      <c r="N17" s="2142"/>
      <c r="O17" s="2151"/>
      <c r="P17" s="3359" t="s">
        <v>541</v>
      </c>
      <c r="Q17" s="1578" t="str">
        <f t="shared" si="6"/>
        <v>居住社区成熟度</v>
      </c>
      <c r="R17" s="1579" t="s">
        <v>8</v>
      </c>
      <c r="S17" s="1580">
        <f t="shared" si="0"/>
        <v>100</v>
      </c>
      <c r="T17" s="1579" t="s">
        <v>8</v>
      </c>
      <c r="U17" s="1580">
        <f t="shared" si="1"/>
        <v>100</v>
      </c>
      <c r="V17" s="1579" t="s">
        <v>8</v>
      </c>
      <c r="W17" s="1580">
        <f t="shared" si="2"/>
        <v>100</v>
      </c>
      <c r="X17" s="1573"/>
      <c r="Y17" s="3359" t="s">
        <v>541</v>
      </c>
      <c r="Z17" s="1581" t="str">
        <f t="shared" si="7"/>
        <v>居住社区成熟度</v>
      </c>
      <c r="AA17" s="1582">
        <f t="shared" si="3"/>
        <v>1</v>
      </c>
      <c r="AB17" s="1582">
        <f t="shared" si="4"/>
        <v>1</v>
      </c>
      <c r="AC17" s="1582">
        <f t="shared" si="5"/>
        <v>1</v>
      </c>
    </row>
    <row r="18" spans="1:29" ht="20.25" hidden="1">
      <c r="A18" s="535"/>
      <c r="B18" s="556"/>
      <c r="C18" s="557"/>
      <c r="D18" s="560"/>
      <c r="E18" s="561"/>
      <c r="F18" s="558"/>
      <c r="G18" s="559"/>
      <c r="H18" s="562"/>
      <c r="I18" s="561"/>
      <c r="J18" s="558"/>
      <c r="K18" s="534"/>
      <c r="L18" s="2152"/>
      <c r="M18" s="2142"/>
      <c r="N18" s="2142"/>
      <c r="O18" s="2151"/>
      <c r="P18" s="3360"/>
      <c r="Q18" s="1578"/>
      <c r="R18" s="1579"/>
      <c r="S18" s="1580"/>
      <c r="T18" s="1579"/>
      <c r="U18" s="1580"/>
      <c r="V18" s="1579"/>
      <c r="W18" s="1580"/>
      <c r="X18" s="1573"/>
      <c r="Y18" s="3360"/>
      <c r="Z18" s="1581"/>
      <c r="AA18" s="1582">
        <v>1</v>
      </c>
      <c r="AB18" s="1582">
        <v>1</v>
      </c>
      <c r="AC18" s="1582">
        <v>1</v>
      </c>
    </row>
    <row r="19" spans="1:29" ht="96">
      <c r="A19" s="535"/>
      <c r="B19" s="563" t="s">
        <v>542</v>
      </c>
      <c r="C19" s="564" t="str">
        <f>估价对象房地状况!C16</f>
        <v>估价对象位于美兰区海甸岛，周边2公里范围内有恒福居商业广场、 美丽沙花园底商等，由于估价对象位于海甸岛北侧，人流量较大，商服繁华度较好。</v>
      </c>
      <c r="D19" s="566">
        <v>100</v>
      </c>
      <c r="E19" s="567" t="s">
        <v>3084</v>
      </c>
      <c r="F19" s="562">
        <f>SUMIF(92:92,E20,93:93)-SUMIF(92:92,C20,93:93)+100</f>
        <v>105</v>
      </c>
      <c r="G19" s="565" t="s">
        <v>3112</v>
      </c>
      <c r="H19" s="568">
        <f>SUMIF(92:92,G20,93:93)-SUMIF(92:92,C20,93:93)+100</f>
        <v>95</v>
      </c>
      <c r="I19" s="567" t="s">
        <v>3113</v>
      </c>
      <c r="J19" s="568">
        <f>SUMIF(92:92,I20,93:93)-SUMIF(92:92,C20,93:93)+100</f>
        <v>95</v>
      </c>
      <c r="K19" s="538">
        <v>5</v>
      </c>
      <c r="L19" s="2152"/>
      <c r="M19" s="2142"/>
      <c r="N19" s="2142"/>
      <c r="O19" s="2151"/>
      <c r="P19" s="3360"/>
      <c r="Q19" s="1578" t="str">
        <f>B19</f>
        <v>商业繁华度</v>
      </c>
      <c r="R19" s="1579" t="s">
        <v>8</v>
      </c>
      <c r="S19" s="1580">
        <f>F19</f>
        <v>105</v>
      </c>
      <c r="T19" s="1579" t="s">
        <v>8</v>
      </c>
      <c r="U19" s="1580">
        <f>H19</f>
        <v>95</v>
      </c>
      <c r="V19" s="1579" t="s">
        <v>8</v>
      </c>
      <c r="W19" s="1580">
        <f>J19</f>
        <v>95</v>
      </c>
      <c r="X19" s="1573"/>
      <c r="Y19" s="3360"/>
      <c r="Z19" s="1581" t="str">
        <f>Q19</f>
        <v>商业繁华度</v>
      </c>
      <c r="AA19" s="1582">
        <f t="shared" si="3"/>
        <v>0.95238095238095233</v>
      </c>
      <c r="AB19" s="1582">
        <f t="shared" si="4"/>
        <v>1.0526315789473684</v>
      </c>
      <c r="AC19" s="1582">
        <f t="shared" si="5"/>
        <v>1.0526315789473684</v>
      </c>
    </row>
    <row r="20" spans="1:29" ht="20.25">
      <c r="A20" s="535"/>
      <c r="B20" s="569"/>
      <c r="C20" s="570" t="s">
        <v>3081</v>
      </c>
      <c r="D20" s="566"/>
      <c r="E20" s="572" t="s">
        <v>3082</v>
      </c>
      <c r="F20" s="562"/>
      <c r="G20" s="571" t="s">
        <v>3083</v>
      </c>
      <c r="H20" s="558"/>
      <c r="I20" s="572" t="s">
        <v>3083</v>
      </c>
      <c r="J20" s="558"/>
      <c r="K20" s="534"/>
      <c r="L20" s="2152"/>
      <c r="M20" s="2142"/>
      <c r="N20" s="2142"/>
      <c r="O20" s="2151"/>
      <c r="P20" s="3360"/>
      <c r="Q20" s="1578"/>
      <c r="R20" s="1579"/>
      <c r="S20" s="1580"/>
      <c r="T20" s="1579"/>
      <c r="U20" s="1580"/>
      <c r="V20" s="1579"/>
      <c r="W20" s="1580"/>
      <c r="X20" s="1573"/>
      <c r="Y20" s="3360"/>
      <c r="Z20" s="1581"/>
      <c r="AA20" s="1582">
        <v>1</v>
      </c>
      <c r="AB20" s="1582">
        <v>1</v>
      </c>
      <c r="AC20" s="1582">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52"/>
      <c r="M21" s="2142"/>
      <c r="N21" s="2142"/>
      <c r="O21" s="2151"/>
      <c r="P21" s="3360"/>
      <c r="Q21" s="1578" t="str">
        <f>B21</f>
        <v>办公集聚程度</v>
      </c>
      <c r="R21" s="1579" t="s">
        <v>8</v>
      </c>
      <c r="S21" s="1580">
        <f>F21</f>
        <v>100</v>
      </c>
      <c r="T21" s="1579" t="s">
        <v>8</v>
      </c>
      <c r="U21" s="1580">
        <f>H21</f>
        <v>100</v>
      </c>
      <c r="V21" s="1579" t="s">
        <v>8</v>
      </c>
      <c r="W21" s="1580">
        <f>J21</f>
        <v>100</v>
      </c>
      <c r="X21" s="1573"/>
      <c r="Y21" s="3360"/>
      <c r="Z21" s="1581" t="str">
        <f>Q21</f>
        <v>办公集聚程度</v>
      </c>
      <c r="AA21" s="1582">
        <f t="shared" si="3"/>
        <v>1</v>
      </c>
      <c r="AB21" s="1582">
        <f t="shared" si="4"/>
        <v>1</v>
      </c>
      <c r="AC21" s="1582">
        <f t="shared" si="5"/>
        <v>1</v>
      </c>
    </row>
    <row r="22" spans="1:29" ht="20.25" hidden="1">
      <c r="A22" s="535"/>
      <c r="B22" s="569"/>
      <c r="C22" s="557"/>
      <c r="D22" s="560"/>
      <c r="E22" s="561"/>
      <c r="F22" s="558"/>
      <c r="G22" s="559"/>
      <c r="H22" s="558"/>
      <c r="I22" s="561"/>
      <c r="J22" s="558"/>
      <c r="K22" s="534"/>
      <c r="L22" s="2152"/>
      <c r="M22" s="2142"/>
      <c r="N22" s="2142"/>
      <c r="O22" s="2151"/>
      <c r="P22" s="3360"/>
      <c r="Q22" s="1578"/>
      <c r="R22" s="1579"/>
      <c r="S22" s="1580"/>
      <c r="T22" s="1579"/>
      <c r="U22" s="1580"/>
      <c r="V22" s="1579"/>
      <c r="W22" s="1580"/>
      <c r="X22" s="1573"/>
      <c r="Y22" s="3360"/>
      <c r="Z22" s="1581"/>
      <c r="AA22" s="1582">
        <v>1</v>
      </c>
      <c r="AB22" s="1582">
        <v>1</v>
      </c>
      <c r="AC22" s="1582">
        <v>1</v>
      </c>
    </row>
    <row r="23" spans="1:29" ht="99.75">
      <c r="A23" s="535"/>
      <c r="B23" s="563" t="s">
        <v>544</v>
      </c>
      <c r="C23" s="576" t="str">
        <f>估价对象房地状况!C18</f>
        <v>估价对象位于美兰区，东距甸昆路约800米，南面邻近琼州海峡。周边2公里范围内有5、20、26路等公交线路，路网密集度一般，交通便捷度一般。</v>
      </c>
      <c r="D23" s="566">
        <v>100</v>
      </c>
      <c r="E23" s="567" t="s">
        <v>3074</v>
      </c>
      <c r="F23" s="568">
        <f>SUMIF(96:96,E24,97:97)-SUMIF(96:96,C24,97:97)+100</f>
        <v>100</v>
      </c>
      <c r="G23" s="565" t="s">
        <v>3119</v>
      </c>
      <c r="H23" s="562">
        <f>SUMIF(96:96,G24,97:97)-SUMIF(96:96,C24,97:97)+100</f>
        <v>100</v>
      </c>
      <c r="I23" s="567" t="s">
        <v>3114</v>
      </c>
      <c r="J23" s="562">
        <f>SUMIF(96:96,I24,97:97)-SUMIF(96:96,C24,97:97)+100</f>
        <v>100</v>
      </c>
      <c r="K23" s="538">
        <v>5</v>
      </c>
      <c r="L23" s="2152"/>
      <c r="M23" s="2142"/>
      <c r="N23" s="2142"/>
      <c r="O23" s="2151"/>
      <c r="P23" s="3360"/>
      <c r="Q23" s="1578" t="str">
        <f>B23</f>
        <v>交通便捷度</v>
      </c>
      <c r="R23" s="1579" t="s">
        <v>8</v>
      </c>
      <c r="S23" s="1580">
        <f>F23</f>
        <v>100</v>
      </c>
      <c r="T23" s="1579" t="s">
        <v>8</v>
      </c>
      <c r="U23" s="1580">
        <f>H23</f>
        <v>100</v>
      </c>
      <c r="V23" s="1579" t="s">
        <v>8</v>
      </c>
      <c r="W23" s="1580">
        <f>J23</f>
        <v>100</v>
      </c>
      <c r="X23" s="1573"/>
      <c r="Y23" s="3360"/>
      <c r="Z23" s="1581" t="str">
        <f>Q23</f>
        <v>交通便捷度</v>
      </c>
      <c r="AA23" s="1582">
        <f t="shared" si="3"/>
        <v>1</v>
      </c>
      <c r="AB23" s="1582">
        <f t="shared" si="4"/>
        <v>1</v>
      </c>
      <c r="AC23" s="1582">
        <f t="shared" si="5"/>
        <v>1</v>
      </c>
    </row>
    <row r="24" spans="1:29" ht="20.25">
      <c r="A24" s="535"/>
      <c r="B24" s="581"/>
      <c r="C24" s="3173" t="s">
        <v>3083</v>
      </c>
      <c r="D24" s="560"/>
      <c r="E24" s="561" t="s">
        <v>3083</v>
      </c>
      <c r="F24" s="558"/>
      <c r="G24" s="559" t="s">
        <v>3083</v>
      </c>
      <c r="H24" s="558"/>
      <c r="I24" s="561" t="s">
        <v>3083</v>
      </c>
      <c r="J24" s="558"/>
      <c r="K24" s="534"/>
      <c r="L24" s="2152"/>
      <c r="M24" s="2142"/>
      <c r="N24" s="2142"/>
      <c r="O24" s="2151"/>
      <c r="P24" s="3360"/>
      <c r="Q24" s="1578"/>
      <c r="R24" s="1579"/>
      <c r="S24" s="1580"/>
      <c r="T24" s="1579"/>
      <c r="U24" s="1580"/>
      <c r="V24" s="1579"/>
      <c r="W24" s="1580"/>
      <c r="X24" s="1573"/>
      <c r="Y24" s="3360"/>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2"/>
      <c r="M25" s="2142"/>
      <c r="N25" s="2142"/>
      <c r="O25" s="2151"/>
      <c r="P25" s="3360"/>
      <c r="Q25" s="1578" t="str">
        <f t="shared" ref="Q25:Q39" si="8">B25</f>
        <v>区域土地利用方向</v>
      </c>
      <c r="R25" s="1579" t="s">
        <v>8</v>
      </c>
      <c r="S25" s="1580">
        <f>F25</f>
        <v>100</v>
      </c>
      <c r="T25" s="1579" t="s">
        <v>8</v>
      </c>
      <c r="U25" s="1580">
        <f>H25</f>
        <v>100</v>
      </c>
      <c r="V25" s="1579" t="s">
        <v>8</v>
      </c>
      <c r="W25" s="1580">
        <f>J25</f>
        <v>100</v>
      </c>
      <c r="X25" s="1573"/>
      <c r="Y25" s="3360"/>
      <c r="Z25" s="1581" t="str">
        <f>Q25</f>
        <v>区域土地利用方向</v>
      </c>
      <c r="AA25" s="1582">
        <f t="shared" si="3"/>
        <v>1</v>
      </c>
      <c r="AB25" s="1582">
        <f t="shared" si="4"/>
        <v>1</v>
      </c>
      <c r="AC25" s="1582">
        <f t="shared" si="5"/>
        <v>1</v>
      </c>
    </row>
    <row r="26" spans="1:29" ht="20.25">
      <c r="A26" s="518"/>
      <c r="B26" s="1010"/>
      <c r="C26" s="557" t="s">
        <v>3081</v>
      </c>
      <c r="D26" s="560"/>
      <c r="E26" s="561" t="s">
        <v>3081</v>
      </c>
      <c r="F26" s="558"/>
      <c r="G26" s="559" t="s">
        <v>3081</v>
      </c>
      <c r="H26" s="558"/>
      <c r="I26" s="561" t="s">
        <v>3081</v>
      </c>
      <c r="J26" s="558"/>
      <c r="K26" s="534"/>
      <c r="L26" s="2152"/>
      <c r="M26" s="2142"/>
      <c r="N26" s="2142"/>
      <c r="O26" s="2151"/>
      <c r="P26" s="3360"/>
      <c r="Q26" s="1578"/>
      <c r="R26" s="1579"/>
      <c r="S26" s="1580"/>
      <c r="T26" s="1579"/>
      <c r="U26" s="1580"/>
      <c r="V26" s="1579"/>
      <c r="W26" s="1580"/>
      <c r="X26" s="1573"/>
      <c r="Y26" s="3360"/>
      <c r="Z26" s="1581"/>
      <c r="AA26" s="1582"/>
      <c r="AB26" s="1582"/>
      <c r="AC26" s="1582"/>
    </row>
    <row r="27" spans="1:29" ht="67.5" customHeight="1">
      <c r="A27" s="518"/>
      <c r="B27" s="581" t="s">
        <v>546</v>
      </c>
      <c r="C27" s="564" t="str">
        <f>估价对象房地状况!C20</f>
        <v>估价对象所处区域土地利用类型以住宅用地为主；周边2公里范围内有海南大学、邻近琼州海峡，自然及人文环境好。</v>
      </c>
      <c r="D27" s="566">
        <v>100</v>
      </c>
      <c r="E27" s="567" t="s">
        <v>3121</v>
      </c>
      <c r="F27" s="562">
        <f>SUMIF(100:100,E28,101:101)-SUMIF(100:100,C28,101:101)+100</f>
        <v>100</v>
      </c>
      <c r="G27" s="565" t="s">
        <v>3120</v>
      </c>
      <c r="H27" s="562">
        <f>SUMIF(100:100,G28,101:101)-SUMIF(100:100,C28,101:101)+100</f>
        <v>100</v>
      </c>
      <c r="I27" s="567" t="s">
        <v>3116</v>
      </c>
      <c r="J27" s="562">
        <f>SUMIF(100:100,I28,101:101)-SUMIF(100:100,C28,101:101)+100</f>
        <v>90</v>
      </c>
      <c r="K27" s="538">
        <v>5</v>
      </c>
      <c r="L27" s="2152"/>
      <c r="M27" s="2142"/>
      <c r="N27" s="2142"/>
      <c r="O27" s="2151"/>
      <c r="P27" s="3360"/>
      <c r="Q27" s="1578" t="str">
        <f t="shared" si="8"/>
        <v>自然及人文环境状况</v>
      </c>
      <c r="R27" s="1579" t="s">
        <v>8</v>
      </c>
      <c r="S27" s="1580">
        <f>F27</f>
        <v>100</v>
      </c>
      <c r="T27" s="1579" t="s">
        <v>8</v>
      </c>
      <c r="U27" s="1580">
        <f>H27</f>
        <v>100</v>
      </c>
      <c r="V27" s="1579" t="s">
        <v>8</v>
      </c>
      <c r="W27" s="1580">
        <f>J27</f>
        <v>90</v>
      </c>
      <c r="X27" s="1573"/>
      <c r="Y27" s="3360"/>
      <c r="Z27" s="1581" t="str">
        <f>Q27</f>
        <v>自然及人文环境状况</v>
      </c>
      <c r="AA27" s="1582">
        <f t="shared" si="3"/>
        <v>1</v>
      </c>
      <c r="AB27" s="1582">
        <f t="shared" si="4"/>
        <v>1</v>
      </c>
      <c r="AC27" s="1582">
        <f t="shared" si="5"/>
        <v>1.1111111111111112</v>
      </c>
    </row>
    <row r="28" spans="1:29" ht="20.25">
      <c r="A28" s="518"/>
      <c r="B28" s="569"/>
      <c r="C28" s="557" t="s">
        <v>3082</v>
      </c>
      <c r="D28" s="560"/>
      <c r="E28" s="579" t="s">
        <v>3082</v>
      </c>
      <c r="F28" s="558"/>
      <c r="G28" s="557" t="s">
        <v>3082</v>
      </c>
      <c r="H28" s="558"/>
      <c r="I28" s="579" t="s">
        <v>3083</v>
      </c>
      <c r="J28" s="558"/>
      <c r="K28" s="534"/>
      <c r="L28" s="2152"/>
      <c r="M28" s="2142"/>
      <c r="N28" s="2142"/>
      <c r="O28" s="2151"/>
      <c r="P28" s="3360"/>
      <c r="Q28" s="1578"/>
      <c r="R28" s="1579"/>
      <c r="S28" s="1580"/>
      <c r="T28" s="1579"/>
      <c r="U28" s="1580"/>
      <c r="V28" s="1579"/>
      <c r="W28" s="1580"/>
      <c r="X28" s="1573"/>
      <c r="Y28" s="3360"/>
      <c r="Z28" s="1581"/>
      <c r="AA28" s="1582">
        <v>1</v>
      </c>
      <c r="AB28" s="1582">
        <v>1</v>
      </c>
      <c r="AC28" s="1582">
        <v>1</v>
      </c>
    </row>
    <row r="29" spans="1:29" s="1223" customFormat="1" ht="104.25" customHeight="1">
      <c r="A29" s="580"/>
      <c r="B29" s="2626" t="s">
        <v>2562</v>
      </c>
      <c r="C29" s="576" t="str">
        <f>估价对象房地状况!C21</f>
        <v>周边2公里范围内有海口实验幼儿园、海口景山学校海淀分校等学校；有中国建设银行、中国工商银行等金融机构；公共配套设施情况较好。</v>
      </c>
      <c r="D29" s="566">
        <v>100</v>
      </c>
      <c r="E29" s="567" t="s">
        <v>3078</v>
      </c>
      <c r="F29" s="562">
        <f>SUMIF(102:102,E30,103:103)-SUMIF(102:102,C30,103:103)+100</f>
        <v>100</v>
      </c>
      <c r="G29" s="565" t="s">
        <v>3118</v>
      </c>
      <c r="H29" s="562">
        <f>SUMIF(102:102,G30,103:103)-SUMIF(102:102,C30,103:103)+100</f>
        <v>95</v>
      </c>
      <c r="I29" s="3151" t="s">
        <v>3117</v>
      </c>
      <c r="J29" s="562">
        <f>SUMIF(102:102,I30,103:103)-SUMIF(102:102,C30,103:103)+100</f>
        <v>100</v>
      </c>
      <c r="K29" s="538">
        <v>5</v>
      </c>
      <c r="L29" s="2145"/>
      <c r="M29" s="2142"/>
      <c r="N29" s="2142"/>
      <c r="O29" s="2147"/>
      <c r="P29" s="3360"/>
      <c r="Q29" s="1154" t="str">
        <f t="shared" si="8"/>
        <v>公共配套设施</v>
      </c>
      <c r="R29" s="1574" t="s">
        <v>8</v>
      </c>
      <c r="S29" s="1575">
        <f>F29</f>
        <v>100</v>
      </c>
      <c r="T29" s="1574" t="s">
        <v>8</v>
      </c>
      <c r="U29" s="1575">
        <f>H29</f>
        <v>95</v>
      </c>
      <c r="V29" s="1574" t="s">
        <v>8</v>
      </c>
      <c r="W29" s="1575">
        <f>J29</f>
        <v>100</v>
      </c>
      <c r="X29" s="1576"/>
      <c r="Y29" s="3360"/>
      <c r="Z29" s="1153" t="str">
        <f>Q29</f>
        <v>公共配套设施</v>
      </c>
      <c r="AA29" s="1582">
        <f>D29/F29</f>
        <v>1</v>
      </c>
      <c r="AB29" s="1582">
        <f>D29/H29</f>
        <v>1.0526315789473684</v>
      </c>
      <c r="AC29" s="1582">
        <f>D29/J29</f>
        <v>1</v>
      </c>
    </row>
    <row r="30" spans="1:29" s="1223" customFormat="1" ht="20.25">
      <c r="A30" s="580"/>
      <c r="B30" s="569"/>
      <c r="C30" s="582" t="s">
        <v>3081</v>
      </c>
      <c r="D30" s="560"/>
      <c r="E30" s="579" t="s">
        <v>3081</v>
      </c>
      <c r="F30" s="558"/>
      <c r="G30" s="557" t="s">
        <v>3083</v>
      </c>
      <c r="H30" s="558"/>
      <c r="I30" s="579" t="s">
        <v>3081</v>
      </c>
      <c r="J30" s="558"/>
      <c r="K30" s="534"/>
      <c r="L30" s="2145"/>
      <c r="M30" s="2142"/>
      <c r="N30" s="2142"/>
      <c r="O30" s="2147"/>
      <c r="P30" s="3360"/>
      <c r="Q30" s="1154"/>
      <c r="R30" s="1574"/>
      <c r="S30" s="1575"/>
      <c r="T30" s="1574"/>
      <c r="U30" s="1575"/>
      <c r="V30" s="1574"/>
      <c r="W30" s="1575"/>
      <c r="X30" s="1576"/>
      <c r="Y30" s="3360"/>
      <c r="Z30" s="1153"/>
      <c r="AA30" s="1582">
        <v>1</v>
      </c>
      <c r="AB30" s="1582">
        <v>1</v>
      </c>
      <c r="AC30" s="1582">
        <v>1</v>
      </c>
    </row>
    <row r="31" spans="1:29" s="1223" customFormat="1" ht="28.5">
      <c r="A31" s="580"/>
      <c r="B31" s="2626" t="s">
        <v>2563</v>
      </c>
      <c r="C31" s="576" t="str">
        <f>估价对象房地状况!C22</f>
        <v>估价对象所在区域基础设施水平：六通</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5"/>
      <c r="M31" s="2142"/>
      <c r="N31" s="2142"/>
      <c r="O31" s="2147"/>
      <c r="P31" s="3360"/>
      <c r="Q31" s="2613" t="str">
        <f t="shared" ref="Q31" si="9">B31</f>
        <v>基础设施水平</v>
      </c>
      <c r="R31" s="1574" t="s">
        <v>8</v>
      </c>
      <c r="S31" s="1575">
        <f>F31</f>
        <v>100</v>
      </c>
      <c r="T31" s="1574" t="s">
        <v>8</v>
      </c>
      <c r="U31" s="1575">
        <f>H31</f>
        <v>100</v>
      </c>
      <c r="V31" s="1574" t="s">
        <v>8</v>
      </c>
      <c r="W31" s="1575">
        <f>J31</f>
        <v>100</v>
      </c>
      <c r="X31" s="1576"/>
      <c r="Y31" s="3360"/>
      <c r="Z31" s="2610" t="str">
        <f>Q31</f>
        <v>基础设施水平</v>
      </c>
      <c r="AA31" s="1582">
        <f>D31/F31</f>
        <v>1</v>
      </c>
      <c r="AB31" s="1582">
        <f>D31/H31</f>
        <v>1</v>
      </c>
      <c r="AC31" s="1582">
        <f>D31/J31</f>
        <v>1</v>
      </c>
    </row>
    <row r="32" spans="1:29" s="1223" customFormat="1" ht="20.25">
      <c r="A32" s="580"/>
      <c r="B32" s="569"/>
      <c r="C32" s="582" t="s">
        <v>3085</v>
      </c>
      <c r="D32" s="560"/>
      <c r="E32" s="2627" t="s">
        <v>3085</v>
      </c>
      <c r="F32" s="558"/>
      <c r="G32" s="582" t="s">
        <v>3085</v>
      </c>
      <c r="H32" s="558"/>
      <c r="I32" s="582" t="s">
        <v>3085</v>
      </c>
      <c r="J32" s="558"/>
      <c r="K32" s="534"/>
      <c r="L32" s="2145"/>
      <c r="M32" s="2142"/>
      <c r="N32" s="2142"/>
      <c r="O32" s="2147"/>
      <c r="P32" s="3360"/>
      <c r="Q32" s="2613"/>
      <c r="R32" s="1574"/>
      <c r="S32" s="1575"/>
      <c r="T32" s="1574"/>
      <c r="U32" s="1575"/>
      <c r="V32" s="1574"/>
      <c r="W32" s="1575"/>
      <c r="X32" s="1576"/>
      <c r="Y32" s="3360"/>
      <c r="Z32" s="2610"/>
      <c r="AA32" s="1582">
        <v>1</v>
      </c>
      <c r="AB32" s="1582">
        <v>1</v>
      </c>
      <c r="AC32" s="1582">
        <v>1</v>
      </c>
    </row>
    <row r="33" spans="1:29" ht="20.25">
      <c r="A33" s="535"/>
      <c r="B33" s="569" t="s">
        <v>548</v>
      </c>
      <c r="C33" s="3174" t="s">
        <v>3125</v>
      </c>
      <c r="D33" s="578">
        <v>100</v>
      </c>
      <c r="E33" s="586" t="s">
        <v>3087</v>
      </c>
      <c r="F33" s="543">
        <f>SUMIF(106:106,E33,107:107)-SUMIF(106:106,C33,107:107)+100</f>
        <v>102</v>
      </c>
      <c r="G33" s="583" t="s">
        <v>3087</v>
      </c>
      <c r="H33" s="543">
        <f>SUMIF(106:106,G33,107:107)-SUMIF(106:106,C33,107:107)+100</f>
        <v>102</v>
      </c>
      <c r="I33" s="583" t="s">
        <v>3087</v>
      </c>
      <c r="J33" s="543">
        <f>SUMIF(106:106,I33,107:107)-SUMIF(106:106,C33,107:107)+100</f>
        <v>102</v>
      </c>
      <c r="K33" s="538">
        <v>1</v>
      </c>
      <c r="L33" s="2152"/>
      <c r="M33" s="2142"/>
      <c r="N33" s="2142"/>
      <c r="O33" s="2151"/>
      <c r="P33" s="3360"/>
      <c r="Q33" s="1578" t="str">
        <f t="shared" si="8"/>
        <v>临街状况</v>
      </c>
      <c r="R33" s="1579" t="s">
        <v>8</v>
      </c>
      <c r="S33" s="1580">
        <f t="shared" ref="S33:S47" si="10">F33</f>
        <v>102</v>
      </c>
      <c r="T33" s="1579" t="s">
        <v>8</v>
      </c>
      <c r="U33" s="1580">
        <f t="shared" ref="U33:U47" si="11">H33</f>
        <v>102</v>
      </c>
      <c r="V33" s="1579" t="s">
        <v>8</v>
      </c>
      <c r="W33" s="1580">
        <f t="shared" ref="W33:W47" si="12">J33</f>
        <v>102</v>
      </c>
      <c r="X33" s="1573"/>
      <c r="Y33" s="3360"/>
      <c r="Z33" s="1581" t="str">
        <f t="shared" ref="Z33:Z47" si="13">Q33</f>
        <v>临街状况</v>
      </c>
      <c r="AA33" s="1582">
        <f t="shared" si="3"/>
        <v>0.98039215686274506</v>
      </c>
      <c r="AB33" s="1582">
        <f t="shared" si="4"/>
        <v>0.98039215686274506</v>
      </c>
      <c r="AC33" s="1582">
        <f t="shared" si="5"/>
        <v>0.98039215686274506</v>
      </c>
    </row>
    <row r="34" spans="1:29" ht="27">
      <c r="A34" s="535"/>
      <c r="B34" s="581" t="s">
        <v>549</v>
      </c>
      <c r="C34" s="565"/>
      <c r="D34" s="566">
        <v>100</v>
      </c>
      <c r="E34" s="3151" t="s">
        <v>3099</v>
      </c>
      <c r="F34" s="562">
        <f>SUMIF(108:108,E35,109:109)-SUMIF(108:108,C35,109:109)+100</f>
        <v>100</v>
      </c>
      <c r="G34" s="3153" t="s">
        <v>3115</v>
      </c>
      <c r="H34" s="562">
        <f>SUMIF(108:108,G35,109:109)-SUMIF(108:108,C35,109:109)+100</f>
        <v>100</v>
      </c>
      <c r="I34" s="3153" t="s">
        <v>3115</v>
      </c>
      <c r="J34" s="562">
        <f>SUMIF(108:108,I35,109:109)-SUMIF(108:108,C35,109:109)+100</f>
        <v>100</v>
      </c>
      <c r="K34" s="538">
        <v>2</v>
      </c>
      <c r="L34" s="2152"/>
      <c r="M34" s="2142"/>
      <c r="N34" s="2142"/>
      <c r="O34" s="2151"/>
      <c r="P34" s="3360"/>
      <c r="Q34" s="1578" t="str">
        <f t="shared" si="8"/>
        <v>毗邻道路的类型与等级</v>
      </c>
      <c r="R34" s="1579" t="s">
        <v>8</v>
      </c>
      <c r="S34" s="1580">
        <f t="shared" si="10"/>
        <v>100</v>
      </c>
      <c r="T34" s="1579" t="s">
        <v>8</v>
      </c>
      <c r="U34" s="1580">
        <f t="shared" si="11"/>
        <v>100</v>
      </c>
      <c r="V34" s="1579" t="s">
        <v>8</v>
      </c>
      <c r="W34" s="1580">
        <f t="shared" si="12"/>
        <v>100</v>
      </c>
      <c r="X34" s="1573"/>
      <c r="Y34" s="3360"/>
      <c r="Z34" s="1581" t="str">
        <f t="shared" si="13"/>
        <v>毗邻道路的类型与等级</v>
      </c>
      <c r="AA34" s="1582">
        <f t="shared" si="3"/>
        <v>1</v>
      </c>
      <c r="AB34" s="1582">
        <f t="shared" si="4"/>
        <v>1</v>
      </c>
      <c r="AC34" s="1582">
        <f t="shared" si="5"/>
        <v>1</v>
      </c>
    </row>
    <row r="35" spans="1:29" ht="20.25">
      <c r="A35" s="535"/>
      <c r="B35" s="569"/>
      <c r="C35" s="557" t="s">
        <v>3096</v>
      </c>
      <c r="D35" s="560"/>
      <c r="E35" s="579" t="s">
        <v>3096</v>
      </c>
      <c r="F35" s="558"/>
      <c r="G35" s="557" t="s">
        <v>3096</v>
      </c>
      <c r="H35" s="558"/>
      <c r="I35" s="579" t="s">
        <v>3096</v>
      </c>
      <c r="J35" s="558"/>
      <c r="K35" s="584"/>
      <c r="L35" s="2152"/>
      <c r="M35" s="2142"/>
      <c r="N35" s="2142"/>
      <c r="O35" s="2151"/>
      <c r="P35" s="3360"/>
      <c r="Q35" s="1578"/>
      <c r="R35" s="1579"/>
      <c r="S35" s="1580"/>
      <c r="T35" s="1579"/>
      <c r="U35" s="1580"/>
      <c r="V35" s="1579"/>
      <c r="W35" s="1580"/>
      <c r="X35" s="1573"/>
      <c r="Y35" s="3360"/>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2"/>
      <c r="M36" s="2142"/>
      <c r="N36" s="2142"/>
      <c r="O36" s="2151"/>
      <c r="P36" s="3360"/>
      <c r="Q36" s="1578" t="str">
        <f t="shared" si="8"/>
        <v>土地级别</v>
      </c>
      <c r="R36" s="1579" t="s">
        <v>8</v>
      </c>
      <c r="S36" s="1580">
        <f t="shared" si="10"/>
        <v>100</v>
      </c>
      <c r="T36" s="1579" t="s">
        <v>8</v>
      </c>
      <c r="U36" s="1580">
        <f t="shared" si="11"/>
        <v>100</v>
      </c>
      <c r="V36" s="1579" t="s">
        <v>8</v>
      </c>
      <c r="W36" s="1580">
        <f t="shared" si="12"/>
        <v>100</v>
      </c>
      <c r="X36" s="1573"/>
      <c r="Y36" s="3360"/>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60"/>
      <c r="Q37" s="1578">
        <f t="shared" si="8"/>
        <v>111</v>
      </c>
      <c r="R37" s="1579" t="s">
        <v>8</v>
      </c>
      <c r="S37" s="1580">
        <f t="shared" si="10"/>
        <v>100</v>
      </c>
      <c r="T37" s="1579" t="s">
        <v>8</v>
      </c>
      <c r="U37" s="1580">
        <f t="shared" si="11"/>
        <v>100</v>
      </c>
      <c r="V37" s="1579" t="s">
        <v>8</v>
      </c>
      <c r="W37" s="1580">
        <f t="shared" si="12"/>
        <v>100</v>
      </c>
      <c r="X37" s="1573"/>
      <c r="Y37" s="3360"/>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61" t="s">
        <v>551</v>
      </c>
      <c r="Q38" s="1578">
        <f t="shared" si="8"/>
        <v>111</v>
      </c>
      <c r="R38" s="1579" t="s">
        <v>8</v>
      </c>
      <c r="S38" s="1580">
        <f t="shared" si="10"/>
        <v>100</v>
      </c>
      <c r="T38" s="1579" t="s">
        <v>8</v>
      </c>
      <c r="U38" s="1580">
        <f t="shared" si="11"/>
        <v>100</v>
      </c>
      <c r="V38" s="1579" t="s">
        <v>8</v>
      </c>
      <c r="W38" s="1580">
        <f t="shared" si="12"/>
        <v>100</v>
      </c>
      <c r="X38" s="1573"/>
      <c r="Y38" s="3362"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62"/>
      <c r="Q39" s="1578">
        <f t="shared" si="8"/>
        <v>111</v>
      </c>
      <c r="R39" s="1583" t="s">
        <v>8</v>
      </c>
      <c r="S39" s="1584">
        <f t="shared" si="10"/>
        <v>100</v>
      </c>
      <c r="T39" s="1583" t="s">
        <v>8</v>
      </c>
      <c r="U39" s="1584">
        <f t="shared" si="11"/>
        <v>100</v>
      </c>
      <c r="V39" s="1583" t="s">
        <v>8</v>
      </c>
      <c r="W39" s="1584">
        <f t="shared" si="12"/>
        <v>100</v>
      </c>
      <c r="X39" s="1585"/>
      <c r="Y39" s="3362"/>
      <c r="Z39" s="1586">
        <f t="shared" si="13"/>
        <v>111</v>
      </c>
      <c r="AA39" s="1582">
        <f t="shared" si="3"/>
        <v>1</v>
      </c>
      <c r="AB39" s="1582">
        <f t="shared" si="4"/>
        <v>1</v>
      </c>
      <c r="AC39" s="1582">
        <f t="shared" si="5"/>
        <v>1</v>
      </c>
    </row>
    <row r="40" spans="1:29" ht="20.25">
      <c r="A40" s="2946" t="s">
        <v>2771</v>
      </c>
      <c r="B40" s="598" t="s">
        <v>553</v>
      </c>
      <c r="C40" s="599">
        <f>'数据-汇总表'!D3</f>
        <v>70250.03</v>
      </c>
      <c r="D40" s="600">
        <v>100</v>
      </c>
      <c r="E40" s="599">
        <f>案例!B9</f>
        <v>1331.42</v>
      </c>
      <c r="F40" s="600">
        <f>LOOKUP(E40,119:119,120:120)-LOOKUP(C40,119:119,120:120)+100</f>
        <v>97</v>
      </c>
      <c r="G40" s="599">
        <f>案例!B36</f>
        <v>13766.67</v>
      </c>
      <c r="H40" s="600">
        <f>LOOKUP(G40,119:119,120:120)-LOOKUP(C40,119:119,120:120)+100</f>
        <v>97</v>
      </c>
      <c r="I40" s="601">
        <f>案例!B60</f>
        <v>7053.39</v>
      </c>
      <c r="J40" s="600">
        <f>LOOKUP(I40,119:119,120:120)-LOOKUP(C40,119:119,120:120)+100</f>
        <v>97</v>
      </c>
      <c r="K40" s="584"/>
      <c r="L40" s="2152"/>
      <c r="M40" s="2142"/>
      <c r="N40" s="2142"/>
      <c r="O40" s="2151"/>
      <c r="P40" s="3362"/>
      <c r="Q40" s="1578" t="str">
        <f>B40</f>
        <v>宗地面积</v>
      </c>
      <c r="R40" s="1579" t="s">
        <v>8</v>
      </c>
      <c r="S40" s="1580">
        <f t="shared" si="10"/>
        <v>97</v>
      </c>
      <c r="T40" s="1579" t="s">
        <v>8</v>
      </c>
      <c r="U40" s="1580">
        <f t="shared" si="11"/>
        <v>97</v>
      </c>
      <c r="V40" s="1579" t="s">
        <v>8</v>
      </c>
      <c r="W40" s="1580">
        <f t="shared" si="12"/>
        <v>97</v>
      </c>
      <c r="X40" s="1573"/>
      <c r="Y40" s="3362"/>
      <c r="Z40" s="1581" t="str">
        <f t="shared" si="13"/>
        <v>宗地面积</v>
      </c>
      <c r="AA40" s="1582">
        <f t="shared" si="3"/>
        <v>1.0309278350515463</v>
      </c>
      <c r="AB40" s="1582">
        <f t="shared" si="4"/>
        <v>1.0309278350515463</v>
      </c>
      <c r="AC40" s="1582">
        <f t="shared" si="5"/>
        <v>1.0309278350515463</v>
      </c>
    </row>
    <row r="41" spans="1:29" ht="20.25">
      <c r="A41" s="597"/>
      <c r="B41" s="530" t="s">
        <v>554</v>
      </c>
      <c r="C41" s="602" t="s">
        <v>3101</v>
      </c>
      <c r="D41" s="543">
        <v>100</v>
      </c>
      <c r="E41" s="602" t="s">
        <v>3101</v>
      </c>
      <c r="F41" s="543">
        <f>SUMIF(121:121,E41,122:122)-SUMIF(121:121,C41,122:122)+100</f>
        <v>100</v>
      </c>
      <c r="G41" s="602" t="s">
        <v>3101</v>
      </c>
      <c r="H41" s="543">
        <f>SUMIF(121:121,G41,122:122)-SUMIF(121:121,C41,122:122)+100</f>
        <v>100</v>
      </c>
      <c r="I41" s="602" t="s">
        <v>3101</v>
      </c>
      <c r="J41" s="543">
        <f>SUMIF(121:121,I41,122:122)-SUMIF(121:121,C41,122:122)+100</f>
        <v>100</v>
      </c>
      <c r="K41" s="587"/>
      <c r="L41" s="2152"/>
      <c r="M41" s="2142"/>
      <c r="N41" s="2142"/>
      <c r="O41" s="2151"/>
      <c r="P41" s="3362"/>
      <c r="Q41" s="1578" t="str">
        <f t="shared" ref="Q41:Q47" si="14">B41</f>
        <v>宗地形状</v>
      </c>
      <c r="R41" s="1579" t="s">
        <v>8</v>
      </c>
      <c r="S41" s="1580">
        <f t="shared" si="10"/>
        <v>100</v>
      </c>
      <c r="T41" s="1579" t="s">
        <v>8</v>
      </c>
      <c r="U41" s="1580">
        <f t="shared" si="11"/>
        <v>100</v>
      </c>
      <c r="V41" s="1579" t="s">
        <v>8</v>
      </c>
      <c r="W41" s="1580">
        <f t="shared" si="12"/>
        <v>100</v>
      </c>
      <c r="X41" s="1573"/>
      <c r="Y41" s="3362"/>
      <c r="Z41" s="1581" t="str">
        <f t="shared" si="13"/>
        <v>宗地形状</v>
      </c>
      <c r="AA41" s="1582">
        <f t="shared" si="3"/>
        <v>1</v>
      </c>
      <c r="AB41" s="1582">
        <f t="shared" si="4"/>
        <v>1</v>
      </c>
      <c r="AC41" s="1582">
        <f t="shared" si="5"/>
        <v>1</v>
      </c>
    </row>
    <row r="42" spans="1:29" ht="20.25">
      <c r="A42" s="597"/>
      <c r="B42" s="530" t="s">
        <v>555</v>
      </c>
      <c r="C42" s="602" t="s">
        <v>3106</v>
      </c>
      <c r="D42" s="543">
        <v>100</v>
      </c>
      <c r="E42" s="602" t="s">
        <v>3106</v>
      </c>
      <c r="F42" s="543">
        <f>SUMIF(123:123,E42,124:124)-SUMIF(123:123,C42,124:124)+100</f>
        <v>100</v>
      </c>
      <c r="G42" s="602" t="s">
        <v>3106</v>
      </c>
      <c r="H42" s="543">
        <f>SUMIF(123:123,G42,124:124)-SUMIF(123:123,C42,124:124)+100</f>
        <v>100</v>
      </c>
      <c r="I42" s="602" t="s">
        <v>3106</v>
      </c>
      <c r="J42" s="543">
        <f>SUMIF(123:123,I42,124:124)-SUMIF(123:123,C42,124:124)+100</f>
        <v>100</v>
      </c>
      <c r="K42" s="587"/>
      <c r="L42" s="2152"/>
      <c r="M42" s="2142"/>
      <c r="N42" s="2142"/>
      <c r="O42" s="2151"/>
      <c r="P42" s="3362"/>
      <c r="Q42" s="1578" t="str">
        <f t="shared" si="14"/>
        <v>临街宽度及深度</v>
      </c>
      <c r="R42" s="1579" t="s">
        <v>8</v>
      </c>
      <c r="S42" s="1580">
        <f t="shared" si="10"/>
        <v>100</v>
      </c>
      <c r="T42" s="1579" t="s">
        <v>8</v>
      </c>
      <c r="U42" s="1580">
        <f t="shared" si="11"/>
        <v>100</v>
      </c>
      <c r="V42" s="1579" t="s">
        <v>8</v>
      </c>
      <c r="W42" s="1580">
        <f t="shared" si="12"/>
        <v>100</v>
      </c>
      <c r="X42" s="1573"/>
      <c r="Y42" s="3362"/>
      <c r="Z42" s="1581" t="str">
        <f t="shared" si="13"/>
        <v>临街宽度及深度</v>
      </c>
      <c r="AA42" s="1582">
        <f t="shared" si="3"/>
        <v>1</v>
      </c>
      <c r="AB42" s="1582">
        <f t="shared" si="4"/>
        <v>1</v>
      </c>
      <c r="AC42" s="1582">
        <f t="shared" si="5"/>
        <v>1</v>
      </c>
    </row>
    <row r="43" spans="1:29" s="1223" customFormat="1" ht="20.25">
      <c r="A43" s="603"/>
      <c r="B43" s="1901" t="s">
        <v>2436</v>
      </c>
      <c r="C43" s="3175" t="s">
        <v>3085</v>
      </c>
      <c r="D43" s="255">
        <v>100</v>
      </c>
      <c r="E43" s="604" t="s">
        <v>3085</v>
      </c>
      <c r="F43" s="543">
        <f>SUMIF(125:125,E43,126:126)-SUMIF(125:125,C43,126:126)+100</f>
        <v>100</v>
      </c>
      <c r="G43" s="604" t="s">
        <v>3085</v>
      </c>
      <c r="H43" s="543">
        <f>SUMIF(125:125,G43,126:126)-SUMIF(125:125,C43,126:126)+100</f>
        <v>100</v>
      </c>
      <c r="I43" s="604" t="s">
        <v>3085</v>
      </c>
      <c r="J43" s="543">
        <f>SUMIF(125:125,I43,126:126)-SUMIF(125:125,C43,126:126)+100</f>
        <v>100</v>
      </c>
      <c r="K43" s="587"/>
      <c r="L43" s="2145"/>
      <c r="M43" s="2142"/>
      <c r="N43" s="2142"/>
      <c r="O43" s="2147"/>
      <c r="P43" s="3362"/>
      <c r="Q43" s="1578" t="str">
        <f t="shared" si="14"/>
        <v>宗地开发程度</v>
      </c>
      <c r="R43" s="1574" t="s">
        <v>8</v>
      </c>
      <c r="S43" s="1575">
        <f t="shared" si="10"/>
        <v>100</v>
      </c>
      <c r="T43" s="1574" t="s">
        <v>8</v>
      </c>
      <c r="U43" s="1575">
        <f t="shared" si="11"/>
        <v>100</v>
      </c>
      <c r="V43" s="1574" t="s">
        <v>8</v>
      </c>
      <c r="W43" s="1575">
        <f t="shared" si="12"/>
        <v>100</v>
      </c>
      <c r="X43" s="1576"/>
      <c r="Y43" s="3362"/>
      <c r="Z43" s="1153" t="str">
        <f t="shared" si="13"/>
        <v>宗地开发程度</v>
      </c>
      <c r="AA43" s="1577">
        <f t="shared" si="3"/>
        <v>1</v>
      </c>
      <c r="AB43" s="1577">
        <f t="shared" si="4"/>
        <v>1</v>
      </c>
      <c r="AC43" s="1577">
        <f t="shared" si="5"/>
        <v>1</v>
      </c>
    </row>
    <row r="44" spans="1:29" ht="20.25">
      <c r="A44" s="597"/>
      <c r="B44" s="530" t="s">
        <v>556</v>
      </c>
      <c r="C44" s="602" t="s">
        <v>3081</v>
      </c>
      <c r="D44" s="543">
        <v>100</v>
      </c>
      <c r="E44" s="602" t="s">
        <v>3081</v>
      </c>
      <c r="F44" s="543">
        <f>SUMIF(127:127,E44,128:128)-SUMIF(127:127,C44,128:128)+100</f>
        <v>100</v>
      </c>
      <c r="G44" s="602" t="s">
        <v>3081</v>
      </c>
      <c r="H44" s="543">
        <f>SUMIF(127:127,G44,128:128)-SUMIF(127:127,C44,128:128)+100</f>
        <v>100</v>
      </c>
      <c r="I44" s="602" t="s">
        <v>3081</v>
      </c>
      <c r="J44" s="543">
        <f>SUMIF(127:127,I44,128:128)-SUMIF(127:127,C44,128:128)+100</f>
        <v>100</v>
      </c>
      <c r="K44" s="587"/>
      <c r="L44" s="2152"/>
      <c r="M44" s="2142"/>
      <c r="N44" s="2142"/>
      <c r="O44" s="2151"/>
      <c r="P44" s="3362" t="s">
        <v>551</v>
      </c>
      <c r="Q44" s="1578" t="str">
        <f t="shared" si="14"/>
        <v>工程地质条件</v>
      </c>
      <c r="R44" s="1579" t="s">
        <v>8</v>
      </c>
      <c r="S44" s="1580">
        <f t="shared" si="10"/>
        <v>100</v>
      </c>
      <c r="T44" s="1579" t="s">
        <v>8</v>
      </c>
      <c r="U44" s="1580">
        <f t="shared" si="11"/>
        <v>100</v>
      </c>
      <c r="V44" s="1579" t="s">
        <v>8</v>
      </c>
      <c r="W44" s="1580">
        <f t="shared" si="12"/>
        <v>100</v>
      </c>
      <c r="X44" s="1573"/>
      <c r="Y44" s="3362" t="s">
        <v>551</v>
      </c>
      <c r="Z44" s="1581" t="str">
        <f t="shared" si="13"/>
        <v>工程地质条件</v>
      </c>
      <c r="AA44" s="1582">
        <f t="shared" si="3"/>
        <v>1</v>
      </c>
      <c r="AB44" s="1582">
        <f t="shared" si="4"/>
        <v>1</v>
      </c>
      <c r="AC44" s="1582">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62"/>
      <c r="Q45" s="1578">
        <f t="shared" si="14"/>
        <v>111</v>
      </c>
      <c r="R45" s="1579" t="s">
        <v>8</v>
      </c>
      <c r="S45" s="1580">
        <f t="shared" si="10"/>
        <v>100</v>
      </c>
      <c r="T45" s="1579" t="s">
        <v>8</v>
      </c>
      <c r="U45" s="1580">
        <f t="shared" si="11"/>
        <v>100</v>
      </c>
      <c r="V45" s="1579" t="s">
        <v>8</v>
      </c>
      <c r="W45" s="1580">
        <f t="shared" si="12"/>
        <v>100</v>
      </c>
      <c r="X45" s="1573"/>
      <c r="Y45" s="3362"/>
      <c r="Z45" s="1581">
        <f t="shared" si="13"/>
        <v>111</v>
      </c>
      <c r="AA45" s="1582">
        <f t="shared" si="3"/>
        <v>1</v>
      </c>
      <c r="AB45" s="1582">
        <f t="shared" si="4"/>
        <v>1</v>
      </c>
      <c r="AC45" s="1582">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62"/>
      <c r="Q46" s="1578">
        <f t="shared" si="14"/>
        <v>111</v>
      </c>
      <c r="R46" s="1579" t="s">
        <v>8</v>
      </c>
      <c r="S46" s="1580">
        <f t="shared" si="10"/>
        <v>100</v>
      </c>
      <c r="T46" s="1579" t="s">
        <v>8</v>
      </c>
      <c r="U46" s="1580">
        <f t="shared" si="11"/>
        <v>100</v>
      </c>
      <c r="V46" s="1579" t="s">
        <v>8</v>
      </c>
      <c r="W46" s="1580">
        <f t="shared" si="12"/>
        <v>100</v>
      </c>
      <c r="X46" s="1573"/>
      <c r="Y46" s="3362"/>
      <c r="Z46" s="1581">
        <f t="shared" si="13"/>
        <v>111</v>
      </c>
      <c r="AA46" s="1582">
        <f t="shared" si="3"/>
        <v>1</v>
      </c>
      <c r="AB46" s="1582">
        <f t="shared" si="4"/>
        <v>1</v>
      </c>
      <c r="AC46" s="1582">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62"/>
      <c r="Q47" s="1578">
        <f t="shared" si="14"/>
        <v>111</v>
      </c>
      <c r="R47" s="1583" t="s">
        <v>8</v>
      </c>
      <c r="S47" s="1584">
        <f t="shared" si="10"/>
        <v>100</v>
      </c>
      <c r="T47" s="1583" t="s">
        <v>8</v>
      </c>
      <c r="U47" s="1584">
        <f t="shared" si="11"/>
        <v>100</v>
      </c>
      <c r="V47" s="1583" t="s">
        <v>8</v>
      </c>
      <c r="W47" s="1584">
        <f t="shared" si="12"/>
        <v>100</v>
      </c>
      <c r="X47" s="1585"/>
      <c r="Y47" s="3362"/>
      <c r="Z47" s="1586">
        <f t="shared" si="13"/>
        <v>111</v>
      </c>
      <c r="AA47" s="1582">
        <f t="shared" si="3"/>
        <v>1</v>
      </c>
      <c r="AB47" s="1582">
        <f t="shared" si="4"/>
        <v>1</v>
      </c>
      <c r="AC47" s="1582">
        <f t="shared" si="5"/>
        <v>1</v>
      </c>
    </row>
    <row r="48" spans="1:29" ht="20.25">
      <c r="A48" s="610" t="s">
        <v>557</v>
      </c>
      <c r="B48" s="611" t="s">
        <v>3092</v>
      </c>
      <c r="C48" s="612" t="s">
        <v>1</v>
      </c>
      <c r="D48" s="613"/>
      <c r="E48" s="3148">
        <f>案例!F12</f>
        <v>9000.99</v>
      </c>
      <c r="F48" s="615"/>
      <c r="G48" s="616">
        <f>案例!F39</f>
        <v>7309</v>
      </c>
      <c r="H48" s="617"/>
      <c r="I48" s="3148">
        <f>案例!F63</f>
        <v>6034.77</v>
      </c>
      <c r="J48" s="617"/>
      <c r="K48" s="1343"/>
      <c r="L48" s="2154"/>
      <c r="M48" s="2142"/>
      <c r="N48" s="2142"/>
      <c r="O48" s="2155"/>
      <c r="P48" s="3357" t="str">
        <f>A48</f>
        <v>成交单价</v>
      </c>
      <c r="Q48" s="3357"/>
      <c r="R48" s="3371">
        <f>E48</f>
        <v>9000.99</v>
      </c>
      <c r="S48" s="3371"/>
      <c r="T48" s="3371">
        <f>G48</f>
        <v>7309</v>
      </c>
      <c r="U48" s="3371"/>
      <c r="V48" s="3371">
        <f>I48</f>
        <v>6034.77</v>
      </c>
      <c r="W48" s="3371"/>
      <c r="X48" s="1565"/>
      <c r="Y48" s="1587"/>
      <c r="Z48" s="1565"/>
      <c r="AA48" s="1565"/>
      <c r="AB48" s="1565"/>
      <c r="AC48" s="1565"/>
    </row>
    <row r="49" spans="1:29" ht="21" thickBot="1">
      <c r="A49" s="618" t="s">
        <v>2709</v>
      </c>
      <c r="B49" s="619"/>
      <c r="C49" s="620">
        <f>R50</f>
        <v>7201</v>
      </c>
      <c r="D49" s="621"/>
      <c r="E49" s="620">
        <f>R49</f>
        <v>7593</v>
      </c>
      <c r="F49" s="622"/>
      <c r="G49" s="623">
        <f>T49</f>
        <v>7364</v>
      </c>
      <c r="H49" s="621"/>
      <c r="I49" s="620">
        <f>V49</f>
        <v>6645</v>
      </c>
      <c r="J49" s="621"/>
      <c r="K49" s="1344"/>
      <c r="L49" s="2154"/>
      <c r="M49" s="2142"/>
      <c r="N49" s="2142"/>
      <c r="O49" s="2155"/>
      <c r="P49" s="3357" t="str">
        <f>A49</f>
        <v>比较价格（元/平方米）</v>
      </c>
      <c r="Q49" s="3357"/>
      <c r="R49" s="3381">
        <f>ROUND(PRODUCT(R48,AA9:AA47),0)</f>
        <v>7593</v>
      </c>
      <c r="S49" s="3381"/>
      <c r="T49" s="3381">
        <f>ROUND(PRODUCT(T48,AB9:AB47),0)</f>
        <v>7364</v>
      </c>
      <c r="U49" s="3381"/>
      <c r="V49" s="3381">
        <f>ROUND(PRODUCT(V48,AC9:AC47),0)</f>
        <v>6645</v>
      </c>
      <c r="W49" s="3381"/>
      <c r="X49" s="1565"/>
      <c r="Y49" s="1565"/>
      <c r="Z49" s="1565"/>
      <c r="AA49" s="1565"/>
      <c r="AB49" s="1565"/>
      <c r="AC49" s="1565"/>
    </row>
    <row r="50" spans="1:29" ht="21" thickBot="1">
      <c r="A50" s="624" t="s">
        <v>2948</v>
      </c>
      <c r="B50" s="625"/>
      <c r="C50" s="626">
        <f>R50</f>
        <v>7201</v>
      </c>
      <c r="D50" s="626"/>
      <c r="E50" s="626"/>
      <c r="F50" s="626"/>
      <c r="G50" s="626"/>
      <c r="H50" s="626"/>
      <c r="I50" s="626"/>
      <c r="J50" s="626"/>
      <c r="K50" s="1345"/>
      <c r="L50" s="2154"/>
      <c r="M50" s="2142"/>
      <c r="N50" s="2142"/>
      <c r="O50" s="2155"/>
      <c r="P50" s="3378" t="str">
        <f>A50</f>
        <v>估价对象XX用房的比较价格（楼面单价，元/平方米）</v>
      </c>
      <c r="Q50" s="3379"/>
      <c r="R50" s="3380">
        <f>ROUND(AVERAGE(R49:V49),0)</f>
        <v>7201</v>
      </c>
      <c r="S50" s="3380"/>
      <c r="T50" s="3380"/>
      <c r="U50" s="3380"/>
      <c r="V50" s="3380"/>
      <c r="W50" s="3380"/>
      <c r="X50" s="1565"/>
      <c r="Y50" s="1565"/>
      <c r="Z50" s="1565"/>
      <c r="AA50" s="1565"/>
      <c r="AB50" s="1565"/>
      <c r="AC50" s="1565"/>
    </row>
    <row r="51" spans="1:29" ht="20.25">
      <c r="A51" s="2155"/>
      <c r="B51" s="2155"/>
      <c r="C51" s="2155"/>
      <c r="D51" s="2155"/>
      <c r="E51" s="2155"/>
      <c r="F51" s="2155"/>
      <c r="G51" s="2158"/>
      <c r="H51" s="2155"/>
      <c r="I51" s="2155"/>
      <c r="J51" s="2155"/>
      <c r="K51" s="2159"/>
      <c r="L51" s="2160"/>
      <c r="M51" s="2142"/>
      <c r="N51" s="2142"/>
      <c r="O51" s="2155"/>
      <c r="P51" s="1565"/>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5"/>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f>IF(E48&lt;E49,E49/E48-1,E48/E49-1)</f>
        <v>0.18543263532200704</v>
      </c>
      <c r="F53" s="630" t="str">
        <f>IF(OR(E53&gt;=0.3,E53&lt;=-0.3),"超过30%","")</f>
        <v/>
      </c>
      <c r="G53" s="629">
        <f>IF(G48&lt;G49,G49/G48-1,G48/G49-1)</f>
        <v>7.5249692160350712E-3</v>
      </c>
      <c r="H53" s="630" t="str">
        <f>IF(OR(G53&gt;=0.3,G53&lt;=-0.3),"超过30%","")</f>
        <v/>
      </c>
      <c r="I53" s="629">
        <f>IF(I48&lt;I49,I49/I48-1,I48/I49-1)</f>
        <v>0.10111901530629996</v>
      </c>
      <c r="J53" s="630" t="str">
        <f>IF(OR(I53&gt;=0.3,I53&lt;=-0.3),"超过30%","")</f>
        <v/>
      </c>
      <c r="K53" s="2159"/>
      <c r="L53" s="2160"/>
      <c r="M53" s="2142"/>
      <c r="N53" s="2142"/>
      <c r="O53" s="2155"/>
      <c r="P53" s="1565"/>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f>IF(E49&lt;G49,G49/E49-1,E49/G49-1)</f>
        <v>3.1097229766431367E-2</v>
      </c>
      <c r="F54" s="630" t="str">
        <f>IF(OR(E54&gt;=0.2,E54&lt;=-0.2),"超过20%","")</f>
        <v/>
      </c>
      <c r="G54" s="629">
        <f>IF(G49&lt;I49,I49/G49-1,G49/I49-1)</f>
        <v>0.10820165537998494</v>
      </c>
      <c r="H54" s="630" t="str">
        <f>IF(OR(G54&gt;=0.2,G54&lt;=-0.2),"超过20%","")</f>
        <v/>
      </c>
      <c r="I54" s="629">
        <f>IF(I49&lt;E49,E49/I49-1,I49/E49-1)</f>
        <v>0.14266365688487581</v>
      </c>
      <c r="J54" s="630" t="str">
        <f>IF(OR(I54&gt;=0.2,I54&lt;=-0.2),"超过20%","")</f>
        <v/>
      </c>
      <c r="K54" s="2159"/>
      <c r="L54" s="2160"/>
      <c r="M54" s="2142"/>
      <c r="N54" s="2142"/>
      <c r="O54" s="2155"/>
      <c r="P54" s="1565"/>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f>IF(E48&lt;G48,G48/E48-1,E48/G48-1)</f>
        <v>0.23149404843343824</v>
      </c>
      <c r="F55" s="630" t="str">
        <f>IF(OR(E55&gt;=0.3,E55&lt;=-0.3),"超过30%","")</f>
        <v/>
      </c>
      <c r="G55" s="629">
        <f>IF(G48&lt;I48,I48/G48-1,G48/I48-1)</f>
        <v>0.21114806363788508</v>
      </c>
      <c r="H55" s="630" t="str">
        <f>IF(OR(G55&gt;=0.3,G55&lt;=-0.3),"超过30%","")</f>
        <v/>
      </c>
      <c r="I55" s="629">
        <f>IF(I48&lt;E48,E48/I48-1,I48/E48-1)</f>
        <v>0.49152163214173838</v>
      </c>
      <c r="J55" s="630" t="str">
        <f>IF(OR(I55&gt;=0.3,I55&lt;=-0.3),"超过30%","")</f>
        <v>超过30%</v>
      </c>
      <c r="K55" s="2162"/>
      <c r="L55" s="2163"/>
      <c r="M55" s="2142"/>
      <c r="N55" s="2142"/>
      <c r="O55" s="2156"/>
      <c r="P55" s="1563"/>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3"/>
      <c r="Q56" s="2156"/>
      <c r="R56" s="2156"/>
      <c r="S56" s="2156"/>
      <c r="T56" s="2156"/>
      <c r="U56" s="2156"/>
      <c r="V56" s="2156"/>
      <c r="W56" s="2156"/>
      <c r="X56" s="2156"/>
      <c r="Y56" s="2156"/>
      <c r="Z56" s="2156"/>
      <c r="AA56" s="2156"/>
      <c r="AB56" s="2156"/>
      <c r="AC56" s="2156"/>
    </row>
    <row r="57" spans="1:29" ht="26.25" customHeight="1">
      <c r="A57" s="632" t="s">
        <v>561</v>
      </c>
      <c r="B57" s="633" t="s">
        <v>562</v>
      </c>
      <c r="C57" s="1566" t="s">
        <v>1727</v>
      </c>
      <c r="D57" s="2237" t="s">
        <v>2303</v>
      </c>
      <c r="E57" s="634" t="s">
        <v>563</v>
      </c>
      <c r="F57" s="635" t="s">
        <v>564</v>
      </c>
      <c r="G57" s="3341" t="s">
        <v>2291</v>
      </c>
      <c r="H57" s="3342"/>
      <c r="I57" s="1561" t="s">
        <v>1725</v>
      </c>
      <c r="J57" s="1561" t="str">
        <f>项目基本情况!F41</f>
        <v>海口市</v>
      </c>
      <c r="K57" s="2164" t="s">
        <v>1726</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565</v>
      </c>
      <c r="B58" s="637">
        <f>C50</f>
        <v>7201</v>
      </c>
      <c r="C58" s="638">
        <v>1</v>
      </c>
      <c r="D58" s="2238">
        <v>1</v>
      </c>
      <c r="E58" s="638">
        <f>'数据-汇总表'!E8+'数据-汇总表'!E9</f>
        <v>66791.740000000005</v>
      </c>
      <c r="F58" s="639">
        <f t="shared" ref="F58:F67" si="15">ROUND(B58*E58/10000,0)</f>
        <v>48097</v>
      </c>
      <c r="G58" s="3343"/>
      <c r="H58" s="3344"/>
      <c r="I58" s="1562">
        <v>1</v>
      </c>
      <c r="J58" s="1562">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566</v>
      </c>
      <c r="B59" s="641">
        <f>ROUND($C$50*C59*D59,0)</f>
        <v>0</v>
      </c>
      <c r="C59" s="381">
        <f t="shared" ref="C59:C67" si="16">IF($C$57="北京市系数",I59,J59)</f>
        <v>0</v>
      </c>
      <c r="D59" s="2239">
        <v>0.25</v>
      </c>
      <c r="E59" s="642">
        <v>0</v>
      </c>
      <c r="F59" s="639">
        <f t="shared" si="15"/>
        <v>0</v>
      </c>
      <c r="G59" s="3345" t="s">
        <v>2292</v>
      </c>
      <c r="H59" s="1954">
        <f>项目基本情况!B43</f>
        <v>0</v>
      </c>
      <c r="I59" s="1562">
        <f>SUMIF(修正!$A$45:$A$56,H59,修正!B45:B56)</f>
        <v>0</v>
      </c>
      <c r="J59" s="1564"/>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567</v>
      </c>
      <c r="B60" s="641">
        <f t="shared" ref="B60:B67" si="17">ROUND($C$50*C60*D60,0)</f>
        <v>0</v>
      </c>
      <c r="C60" s="381">
        <f t="shared" si="16"/>
        <v>0</v>
      </c>
      <c r="D60" s="2239">
        <v>0.25</v>
      </c>
      <c r="E60" s="642">
        <v>0</v>
      </c>
      <c r="F60" s="639">
        <f t="shared" si="15"/>
        <v>0</v>
      </c>
      <c r="G60" s="3345"/>
      <c r="H60" s="1954">
        <f>项目基本情况!B43</f>
        <v>0</v>
      </c>
      <c r="I60" s="1562">
        <f>SUMIF(修正!$A$45:$A$56,H60,修正!C45:C56)</f>
        <v>0</v>
      </c>
      <c r="J60" s="1564"/>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568</v>
      </c>
      <c r="B61" s="641">
        <f t="shared" si="17"/>
        <v>0</v>
      </c>
      <c r="C61" s="381">
        <f t="shared" si="16"/>
        <v>0</v>
      </c>
      <c r="D61" s="2239">
        <v>0.25</v>
      </c>
      <c r="E61" s="642">
        <v>0</v>
      </c>
      <c r="F61" s="639">
        <f t="shared" si="15"/>
        <v>0</v>
      </c>
      <c r="G61" s="3345"/>
      <c r="H61" s="1954">
        <f>项目基本情况!B43</f>
        <v>0</v>
      </c>
      <c r="I61" s="1562">
        <f>SUMIF(修正!$A$45:$A$56,H61,修正!D45:D56)</f>
        <v>0</v>
      </c>
      <c r="J61" s="1564"/>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569</v>
      </c>
      <c r="B62" s="641">
        <f t="shared" si="17"/>
        <v>0</v>
      </c>
      <c r="C62" s="381">
        <f t="shared" si="16"/>
        <v>0</v>
      </c>
      <c r="D62" s="2239">
        <v>0.25</v>
      </c>
      <c r="E62" s="642">
        <v>0</v>
      </c>
      <c r="F62" s="639">
        <f t="shared" si="15"/>
        <v>0</v>
      </c>
      <c r="G62" s="3345"/>
      <c r="H62" s="1954">
        <f>项目基本情况!B43</f>
        <v>0</v>
      </c>
      <c r="I62" s="1562">
        <f>SUMIF(修正!$A$45:$A$56,H62,修正!E45:E56)</f>
        <v>0</v>
      </c>
      <c r="J62" s="1564"/>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2339</v>
      </c>
      <c r="B63" s="641">
        <f t="shared" si="17"/>
        <v>0</v>
      </c>
      <c r="C63" s="381">
        <f t="shared" si="16"/>
        <v>0</v>
      </c>
      <c r="D63" s="2239">
        <v>0.25</v>
      </c>
      <c r="E63" s="644">
        <f>'数据-汇总表'!E11</f>
        <v>0</v>
      </c>
      <c r="F63" s="639">
        <f t="shared" si="15"/>
        <v>0</v>
      </c>
      <c r="G63" s="1951" t="s">
        <v>2293</v>
      </c>
      <c r="H63" s="1954">
        <f>项目基本情况!C43</f>
        <v>0</v>
      </c>
      <c r="I63" s="1562">
        <f>SUMIF(修正!$A$45:$A$56,H63,修正!F45:F56)</f>
        <v>0</v>
      </c>
      <c r="J63" s="1564"/>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570</v>
      </c>
      <c r="B64" s="641">
        <f t="shared" si="17"/>
        <v>0</v>
      </c>
      <c r="C64" s="381">
        <f t="shared" si="16"/>
        <v>0</v>
      </c>
      <c r="D64" s="2239">
        <v>0.25</v>
      </c>
      <c r="E64" s="644">
        <f>'数据-汇总表'!E12</f>
        <v>0</v>
      </c>
      <c r="F64" s="639">
        <f t="shared" si="15"/>
        <v>0</v>
      </c>
      <c r="G64" s="1952" t="s">
        <v>1680</v>
      </c>
      <c r="H64" s="1950">
        <f>IF(G64="商业",项目基本情况!B43,IF(G64="办公",项目基本情况!C43,IF(G64="住宅",项目基本情况!D43,项目基本情况!E43)))</f>
        <v>0</v>
      </c>
      <c r="I64" s="1562">
        <f>SUMIF(修正!$A$45:$A$56,H64,修正!G45:G56)</f>
        <v>0</v>
      </c>
      <c r="J64" s="1564"/>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571</v>
      </c>
      <c r="B65" s="641">
        <f t="shared" si="17"/>
        <v>0</v>
      </c>
      <c r="C65" s="381">
        <f t="shared" si="16"/>
        <v>0</v>
      </c>
      <c r="D65" s="2239">
        <v>0.25</v>
      </c>
      <c r="E65" s="644">
        <f>'数据-汇总表'!E13</f>
        <v>0</v>
      </c>
      <c r="F65" s="639">
        <f t="shared" si="15"/>
        <v>0</v>
      </c>
      <c r="G65" s="1952" t="s">
        <v>925</v>
      </c>
      <c r="H65" s="1950">
        <f>IF(G65="商业",项目基本情况!B43,IF(G65="办公",项目基本情况!C43,IF(G65="住宅",项目基本情况!D43,项目基本情况!E43)))</f>
        <v>0</v>
      </c>
      <c r="I65" s="1562">
        <f>SUMIF(修正!$A$45:$A$56,H65,修正!H45:H56)</f>
        <v>0</v>
      </c>
      <c r="J65" s="1564"/>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572</v>
      </c>
      <c r="B66" s="641">
        <f t="shared" si="17"/>
        <v>0</v>
      </c>
      <c r="C66" s="381">
        <f t="shared" si="16"/>
        <v>0</v>
      </c>
      <c r="D66" s="2239">
        <v>0.25</v>
      </c>
      <c r="E66" s="644">
        <f>'数据-汇总表'!E14</f>
        <v>0</v>
      </c>
      <c r="F66" s="639">
        <f t="shared" si="15"/>
        <v>0</v>
      </c>
      <c r="G66" s="1951" t="s">
        <v>2292</v>
      </c>
      <c r="H66" s="1954">
        <f>项目基本情况!B43</f>
        <v>0</v>
      </c>
      <c r="I66" s="1562">
        <f>SUMIF(修正!$A$45:$A$56,H66,修正!H45:H56)</f>
        <v>0</v>
      </c>
      <c r="J66" s="1564"/>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573</v>
      </c>
      <c r="B67" s="641">
        <f t="shared" si="17"/>
        <v>0</v>
      </c>
      <c r="C67" s="381">
        <f t="shared" si="16"/>
        <v>0</v>
      </c>
      <c r="D67" s="2239">
        <v>0.25</v>
      </c>
      <c r="E67" s="644">
        <f>'数据-汇总表'!E15</f>
        <v>0</v>
      </c>
      <c r="F67" s="639">
        <f t="shared" si="15"/>
        <v>0</v>
      </c>
      <c r="G67" s="1953" t="s">
        <v>2293</v>
      </c>
      <c r="H67" s="1955">
        <f>项目基本情况!C43</f>
        <v>0</v>
      </c>
      <c r="I67" s="1562">
        <f>SUMIF(修正!$A$45:$A$56,H67,修正!H45:H56)</f>
        <v>0</v>
      </c>
      <c r="J67" s="1564"/>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574</v>
      </c>
      <c r="B68" s="646" t="s">
        <v>17</v>
      </c>
      <c r="C68" s="646" t="s">
        <v>18</v>
      </c>
      <c r="D68" s="646" t="s">
        <v>2304</v>
      </c>
      <c r="E68" s="646">
        <f>IF(B48="楼面地价",SUM(E58:E67),'数据-汇总表'!D3)</f>
        <v>70250.03</v>
      </c>
      <c r="F68" s="647">
        <f>IF(B48="楼面地价",SUM(F58:F67),ROUND(C50*E68/10000,0))</f>
        <v>50587</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2017-6-1</v>
      </c>
      <c r="D70" s="2838">
        <f>EDATE(C70,-3)</f>
        <v>42795</v>
      </c>
      <c r="E70" s="2838">
        <f t="shared" ref="E70:N70" si="18">EDATE(D70,-3)</f>
        <v>42705</v>
      </c>
      <c r="F70" s="2838">
        <f t="shared" si="18"/>
        <v>42614</v>
      </c>
      <c r="G70" s="2838">
        <f t="shared" si="18"/>
        <v>42522</v>
      </c>
      <c r="H70" s="2838">
        <f t="shared" si="18"/>
        <v>42430</v>
      </c>
      <c r="I70" s="2838">
        <f t="shared" si="18"/>
        <v>42339</v>
      </c>
      <c r="J70" s="2838">
        <f t="shared" si="18"/>
        <v>42248</v>
      </c>
      <c r="K70" s="2838">
        <f t="shared" si="18"/>
        <v>42156</v>
      </c>
      <c r="L70" s="2838">
        <f t="shared" si="18"/>
        <v>42064</v>
      </c>
      <c r="M70" s="2838">
        <f t="shared" si="18"/>
        <v>41974</v>
      </c>
      <c r="N70" s="2838">
        <f t="shared" si="18"/>
        <v>41883</v>
      </c>
      <c r="O70" s="2155"/>
      <c r="P70" s="2155"/>
      <c r="Q70" s="2155"/>
      <c r="R70" s="2155"/>
      <c r="S70" s="2155"/>
      <c r="T70" s="2155"/>
      <c r="U70" s="2155"/>
      <c r="V70" s="2155"/>
      <c r="W70" s="2155"/>
      <c r="X70" s="2155"/>
      <c r="Y70" s="2155"/>
      <c r="Z70" s="2155"/>
      <c r="AA70" s="2155"/>
      <c r="AB70" s="2155"/>
      <c r="AC70" s="2155"/>
    </row>
    <row r="71" spans="1:29" ht="21.75" thickBot="1">
      <c r="A71" s="1590" t="s">
        <v>575</v>
      </c>
      <c r="B71" s="1565"/>
      <c r="C71" s="1589"/>
      <c r="D71" s="1589"/>
      <c r="E71" s="1589"/>
      <c r="F71" s="1591"/>
      <c r="G71" s="1591"/>
      <c r="H71" s="1589"/>
      <c r="I71" s="1589"/>
      <c r="J71" s="1589"/>
      <c r="K71" s="1592"/>
      <c r="L71" s="1588"/>
      <c r="M71" s="1589"/>
      <c r="N71" s="1589"/>
      <c r="O71" s="2167"/>
      <c r="P71" s="2167"/>
      <c r="Q71" s="2168"/>
      <c r="R71" s="2155"/>
      <c r="S71" s="2155"/>
      <c r="T71" s="2155"/>
      <c r="U71" s="2155"/>
      <c r="V71" s="2155"/>
      <c r="W71" s="2155"/>
      <c r="X71" s="2155"/>
      <c r="Y71" s="2155"/>
      <c r="Z71" s="2155"/>
      <c r="AA71" s="2155"/>
      <c r="AB71" s="2155"/>
      <c r="AC71" s="2155"/>
    </row>
    <row r="72" spans="1:29" s="1350" customFormat="1" ht="15">
      <c r="A72" s="2603" t="s">
        <v>2546</v>
      </c>
      <c r="B72" s="2604"/>
      <c r="C72" s="2833" t="str">
        <f>YEAR(C70)&amp;"-"&amp;ROUNDUP(MONTH(C70)/3,0)</f>
        <v>2017-2</v>
      </c>
      <c r="D72" s="2840" t="str">
        <f>YEAR(D70)&amp;"-"&amp;ROUNDUP(MONTH(D70)/3,0)</f>
        <v>2017-1</v>
      </c>
      <c r="E72" s="2840" t="str">
        <f t="shared" ref="E72:N72" si="19">YEAR(E70)&amp;"-"&amp;ROUNDUP(MONTH(E70)/3,0)</f>
        <v>2016-4</v>
      </c>
      <c r="F72" s="2840" t="str">
        <f t="shared" si="19"/>
        <v>2016-3</v>
      </c>
      <c r="G72" s="2840" t="str">
        <f t="shared" si="19"/>
        <v>2016-2</v>
      </c>
      <c r="H72" s="2840" t="str">
        <f t="shared" si="19"/>
        <v>2016-1</v>
      </c>
      <c r="I72" s="2840" t="str">
        <f t="shared" si="19"/>
        <v>2015-4</v>
      </c>
      <c r="J72" s="2840" t="str">
        <f t="shared" si="19"/>
        <v>2015-3</v>
      </c>
      <c r="K72" s="2840" t="str">
        <f t="shared" si="19"/>
        <v>2015-2</v>
      </c>
      <c r="L72" s="2840" t="str">
        <f t="shared" si="19"/>
        <v>2015-1</v>
      </c>
      <c r="M72" s="2840" t="str">
        <f t="shared" si="19"/>
        <v>2014-4</v>
      </c>
      <c r="N72" s="2840" t="str">
        <f t="shared" si="19"/>
        <v>2014-3</v>
      </c>
      <c r="O72" s="2169"/>
      <c r="P72" s="2170"/>
      <c r="Q72" s="2171"/>
      <c r="R72" s="2171"/>
      <c r="S72" s="2171"/>
      <c r="T72" s="2171"/>
      <c r="U72" s="2171"/>
      <c r="V72" s="2171"/>
      <c r="W72" s="2171"/>
      <c r="X72" s="2171"/>
      <c r="Y72" s="2171"/>
      <c r="Z72" s="2171"/>
      <c r="AA72" s="2171"/>
      <c r="AB72" s="2171"/>
      <c r="AC72" s="2171"/>
    </row>
    <row r="73" spans="1:29" s="1223" customFormat="1" ht="27" customHeight="1">
      <c r="A73" s="2845" t="s">
        <v>3062</v>
      </c>
      <c r="B73" s="482" t="str">
        <f>"北京市平均增长率"&amp;TEXT(SUMIF(基准地价!N21:N25,A73,基准地价!P21:P25),"0.00%")</f>
        <v>北京市平均增长率1.57%</v>
      </c>
      <c r="C73" s="897">
        <v>100</v>
      </c>
      <c r="D73" s="733">
        <v>99.5</v>
      </c>
      <c r="E73" s="733">
        <v>99</v>
      </c>
      <c r="F73" s="733">
        <v>98.5</v>
      </c>
      <c r="G73" s="733">
        <v>98</v>
      </c>
      <c r="H73" s="733">
        <v>97.5</v>
      </c>
      <c r="I73" s="733">
        <v>97</v>
      </c>
      <c r="J73" s="733">
        <v>96.5</v>
      </c>
      <c r="K73" s="733">
        <v>96</v>
      </c>
      <c r="L73" s="733">
        <v>95.5</v>
      </c>
      <c r="M73" s="733">
        <v>95</v>
      </c>
      <c r="N73" s="733">
        <v>94.5</v>
      </c>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5" t="s">
        <v>2663</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532</v>
      </c>
      <c r="B75" s="651"/>
      <c r="C75" s="663" t="s">
        <v>577</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ht="28.5">
      <c r="A77" s="667" t="s">
        <v>578</v>
      </c>
      <c r="B77" s="668" t="s">
        <v>535</v>
      </c>
      <c r="C77" s="3149" t="s">
        <v>3091</v>
      </c>
      <c r="D77" s="601" t="s">
        <v>2962</v>
      </c>
      <c r="E77" s="601" t="s">
        <v>3025</v>
      </c>
      <c r="F77" s="601" t="s">
        <v>3045</v>
      </c>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v>100</v>
      </c>
      <c r="D78" s="674">
        <v>100</v>
      </c>
      <c r="E78" s="674">
        <v>100</v>
      </c>
      <c r="F78" s="674">
        <v>100</v>
      </c>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538</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5（含）-6</v>
      </c>
      <c r="I81" s="685" t="str">
        <f t="shared" si="20"/>
        <v>6（含）-7</v>
      </c>
      <c r="J81" s="685" t="str">
        <f t="shared" si="20"/>
        <v>7（含）-8</v>
      </c>
      <c r="K81" s="685" t="str">
        <f t="shared" si="20"/>
        <v>8（含）-</v>
      </c>
      <c r="L81" s="685" t="str">
        <f t="shared" si="20"/>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0</v>
      </c>
      <c r="D82" s="544">
        <v>1</v>
      </c>
      <c r="E82" s="544">
        <v>2</v>
      </c>
      <c r="F82" s="544">
        <v>3</v>
      </c>
      <c r="G82" s="544">
        <v>4</v>
      </c>
      <c r="H82" s="544">
        <v>5</v>
      </c>
      <c r="I82" s="544">
        <v>6</v>
      </c>
      <c r="J82" s="544">
        <v>7</v>
      </c>
      <c r="K82" s="687">
        <v>8</v>
      </c>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101</v>
      </c>
      <c r="E83" s="682">
        <f t="shared" ref="E83:M83" si="21">IF($B$48="单位面积地价",D83+$K13,D83-$K13)</f>
        <v>102</v>
      </c>
      <c r="F83" s="682">
        <f t="shared" si="21"/>
        <v>103</v>
      </c>
      <c r="G83" s="682">
        <f t="shared" si="21"/>
        <v>104</v>
      </c>
      <c r="H83" s="682">
        <f t="shared" si="21"/>
        <v>105</v>
      </c>
      <c r="I83" s="682">
        <f t="shared" si="21"/>
        <v>106</v>
      </c>
      <c r="J83" s="682">
        <f t="shared" si="21"/>
        <v>107</v>
      </c>
      <c r="K83" s="682">
        <f t="shared" si="21"/>
        <v>108</v>
      </c>
      <c r="L83" s="682">
        <f t="shared" si="21"/>
        <v>109</v>
      </c>
      <c r="M83" s="682">
        <f t="shared" si="21"/>
        <v>110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80"/>
      <c r="E84" s="1381"/>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111</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111</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540</v>
      </c>
      <c r="B90" s="668" t="s">
        <v>579</v>
      </c>
      <c r="C90" s="706" t="s">
        <v>580</v>
      </c>
      <c r="D90" s="706" t="s">
        <v>581</v>
      </c>
      <c r="E90" s="706" t="s">
        <v>582</v>
      </c>
      <c r="F90" s="706" t="s">
        <v>583</v>
      </c>
      <c r="G90" s="706" t="s">
        <v>584</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585</v>
      </c>
      <c r="C92" s="711" t="s">
        <v>580</v>
      </c>
      <c r="D92" s="711" t="s">
        <v>581</v>
      </c>
      <c r="E92" s="711" t="s">
        <v>582</v>
      </c>
      <c r="F92" s="711" t="s">
        <v>583</v>
      </c>
      <c r="G92" s="711" t="s">
        <v>584</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95</v>
      </c>
      <c r="E93" s="682">
        <f>D93-$K19</f>
        <v>90</v>
      </c>
      <c r="F93" s="682">
        <f>E93-$K19</f>
        <v>85</v>
      </c>
      <c r="G93" s="682">
        <f>F93-$K19</f>
        <v>80</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586</v>
      </c>
      <c r="C94" s="711" t="s">
        <v>580</v>
      </c>
      <c r="D94" s="711" t="s">
        <v>581</v>
      </c>
      <c r="E94" s="711" t="s">
        <v>582</v>
      </c>
      <c r="F94" s="711" t="s">
        <v>583</v>
      </c>
      <c r="G94" s="711" t="s">
        <v>584</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587</v>
      </c>
      <c r="C96" s="711" t="s">
        <v>580</v>
      </c>
      <c r="D96" s="711" t="s">
        <v>581</v>
      </c>
      <c r="E96" s="711" t="s">
        <v>582</v>
      </c>
      <c r="F96" s="711" t="s">
        <v>583</v>
      </c>
      <c r="G96" s="711" t="s">
        <v>584</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95</v>
      </c>
      <c r="E97" s="682">
        <f>D97-$K23</f>
        <v>90</v>
      </c>
      <c r="F97" s="682">
        <f>E97-$K23</f>
        <v>85</v>
      </c>
      <c r="G97" s="682">
        <f>F97-$K23</f>
        <v>80</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95</v>
      </c>
      <c r="E101" s="682">
        <f>D101-$K27</f>
        <v>90</v>
      </c>
      <c r="F101" s="682">
        <f>E101-$K27</f>
        <v>85</v>
      </c>
      <c r="G101" s="682">
        <f>F101-$K27</f>
        <v>80</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2562</v>
      </c>
      <c r="C102" s="706" t="s">
        <v>580</v>
      </c>
      <c r="D102" s="706" t="s">
        <v>581</v>
      </c>
      <c r="E102" s="706" t="s">
        <v>582</v>
      </c>
      <c r="F102" s="706" t="s">
        <v>583</v>
      </c>
      <c r="G102" s="706" t="s">
        <v>584</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95</v>
      </c>
      <c r="E103" s="682">
        <f>D103-$K29</f>
        <v>90</v>
      </c>
      <c r="F103" s="682">
        <f>E103-$K29</f>
        <v>85</v>
      </c>
      <c r="G103" s="682">
        <f>F103-$K29</f>
        <v>80</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2564</v>
      </c>
      <c r="C104" s="2633" t="s">
        <v>2565</v>
      </c>
      <c r="D104" s="2633" t="s">
        <v>2566</v>
      </c>
      <c r="E104" s="2633" t="s">
        <v>2567</v>
      </c>
      <c r="F104" s="2633" t="s">
        <v>2568</v>
      </c>
      <c r="G104" s="2633" t="s">
        <v>2569</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549</v>
      </c>
      <c r="C108" s="3150" t="s">
        <v>3093</v>
      </c>
      <c r="D108" s="3150" t="s">
        <v>3094</v>
      </c>
      <c r="E108" s="3150" t="s">
        <v>3095</v>
      </c>
      <c r="F108" s="3150" t="s">
        <v>3097</v>
      </c>
      <c r="G108" s="3150" t="s">
        <v>3098</v>
      </c>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550</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111</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111</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111</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35.25" customHeight="1">
      <c r="A118" s="667" t="s">
        <v>552</v>
      </c>
      <c r="B118" s="668" t="s">
        <v>594</v>
      </c>
      <c r="C118" s="707" t="str">
        <f t="shared" ref="C118:L118" si="25">C119&amp;"(含)"&amp;"-"&amp;D119</f>
        <v>0(含)-20000</v>
      </c>
      <c r="D118" s="707" t="str">
        <f t="shared" si="25"/>
        <v>20000(含)-40000</v>
      </c>
      <c r="E118" s="707" t="str">
        <f t="shared" si="25"/>
        <v>40000(含)-60000</v>
      </c>
      <c r="F118" s="707" t="str">
        <f t="shared" si="25"/>
        <v>60000(含)-80000</v>
      </c>
      <c r="G118" s="707" t="str">
        <f t="shared" si="25"/>
        <v>80000(含)-100000</v>
      </c>
      <c r="H118" s="707" t="str">
        <f t="shared" si="25"/>
        <v>100000(含)-120000</v>
      </c>
      <c r="I118" s="707" t="str">
        <f t="shared" si="25"/>
        <v>120000(含)-140000</v>
      </c>
      <c r="J118" s="3131" t="str">
        <f t="shared" si="25"/>
        <v>140000(含)-</v>
      </c>
      <c r="K118" s="3131" t="str">
        <f t="shared" si="25"/>
        <v>(含)-</v>
      </c>
      <c r="L118" s="3132" t="str">
        <f t="shared" si="25"/>
        <v>(含)-</v>
      </c>
      <c r="M118" s="3133"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v>20000</v>
      </c>
      <c r="E119" s="733">
        <v>40000</v>
      </c>
      <c r="F119" s="733">
        <v>60000</v>
      </c>
      <c r="G119" s="733">
        <v>80000</v>
      </c>
      <c r="H119" s="733">
        <v>100000</v>
      </c>
      <c r="I119" s="733">
        <v>120000</v>
      </c>
      <c r="J119" s="733">
        <v>140000</v>
      </c>
      <c r="K119" s="733"/>
      <c r="L119" s="733"/>
      <c r="M119" s="733"/>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97</v>
      </c>
      <c r="D120" s="729">
        <v>98</v>
      </c>
      <c r="E120" s="729">
        <v>99</v>
      </c>
      <c r="F120" s="729">
        <v>100</v>
      </c>
      <c r="G120" s="729">
        <v>101</v>
      </c>
      <c r="H120" s="729">
        <v>102</v>
      </c>
      <c r="I120" s="729">
        <v>103</v>
      </c>
      <c r="J120" s="729">
        <v>104</v>
      </c>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595</v>
      </c>
      <c r="C121" s="3152" t="s">
        <v>3100</v>
      </c>
      <c r="D121" s="3152" t="s">
        <v>3102</v>
      </c>
      <c r="E121" s="3152" t="s">
        <v>3103</v>
      </c>
      <c r="F121" s="721" t="s">
        <v>3104</v>
      </c>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596</v>
      </c>
      <c r="C123" s="3150" t="s">
        <v>3105</v>
      </c>
      <c r="D123" s="3150" t="s">
        <v>3107</v>
      </c>
      <c r="E123" s="3150" t="s">
        <v>3108</v>
      </c>
      <c r="F123" s="3152" t="s">
        <v>3109</v>
      </c>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2437</v>
      </c>
      <c r="C125" s="1380" t="s">
        <v>3177</v>
      </c>
      <c r="D125" s="1380" t="s">
        <v>3178</v>
      </c>
      <c r="E125" s="1380" t="s">
        <v>3179</v>
      </c>
      <c r="F125" s="1380" t="s">
        <v>3180</v>
      </c>
      <c r="G125" s="1380"/>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597</v>
      </c>
      <c r="C127" s="1380" t="s">
        <v>3082</v>
      </c>
      <c r="D127" s="1380" t="s">
        <v>3081</v>
      </c>
      <c r="E127" s="1380" t="s">
        <v>3083</v>
      </c>
      <c r="F127" s="1380" t="s">
        <v>3110</v>
      </c>
      <c r="G127" s="1380" t="s">
        <v>3111</v>
      </c>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111</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111</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111</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3"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3"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3"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3"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3"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3"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3"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3"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3"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3"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3"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3"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3"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3"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3"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3"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3"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3"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3"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3"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3"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3"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3"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3"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3"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3"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3"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3"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3"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3"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3"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3"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3"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3"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3"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3"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3"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3"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3"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3"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3"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3"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3"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3"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3"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3"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3"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3"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3"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3"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3"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3"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3"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3"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3"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3"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3"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3"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3"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3"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3"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3"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3"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3"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3"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3"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3"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3"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3"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3"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3"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3"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3"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3"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3"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3"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3"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3"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3"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3"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3"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3"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3"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3"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3"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3"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3"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3"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3"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3"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3"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3"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3"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3"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3"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3"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3"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3"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3"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3"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3"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3"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3"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3"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3"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3"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3"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3"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3"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3"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3"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3"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3"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3"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3"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3"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3"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3"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3"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3"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3"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3"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C11" sqref="C11"/>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466</v>
      </c>
      <c r="B1" s="2848" t="s">
        <v>3062</v>
      </c>
      <c r="C1" s="2114"/>
      <c r="D1" s="2114"/>
      <c r="E1" s="2114"/>
      <c r="F1" s="2114"/>
      <c r="G1" s="2114"/>
      <c r="H1" s="2114"/>
      <c r="I1" s="2114"/>
      <c r="J1" s="2114"/>
      <c r="K1" s="425">
        <f>MATCH(B1,'数据-取费表'!A6:A16,0)+5</f>
        <v>6</v>
      </c>
    </row>
    <row r="2" spans="1:31" s="2047" customFormat="1" ht="18" customHeight="1">
      <c r="A2" s="2111" t="s">
        <v>467</v>
      </c>
      <c r="B2" s="2115">
        <f ca="1">C36</f>
        <v>62151</v>
      </c>
      <c r="C2" s="2114"/>
      <c r="D2" s="2114"/>
      <c r="E2" s="2114"/>
      <c r="F2" s="2114"/>
      <c r="G2" s="2114"/>
      <c r="H2" s="2114"/>
      <c r="I2" s="2114"/>
      <c r="J2" s="2114"/>
      <c r="K2" s="2114"/>
    </row>
    <row r="3" spans="1:31" s="2047" customFormat="1" ht="18" customHeight="1">
      <c r="A3" s="2116" t="s">
        <v>1687</v>
      </c>
      <c r="B3" s="2117">
        <f ca="1">ROUND(B2*10000/IF(B1="",'数据-汇总表'!E3,INDIRECT("'数据-取费表'!K"&amp;$K$1)),0)</f>
        <v>9305</v>
      </c>
      <c r="C3" s="2114"/>
      <c r="D3" s="2114"/>
      <c r="E3" s="2114"/>
      <c r="F3" s="2114"/>
      <c r="G3" s="2114"/>
      <c r="H3" s="2114"/>
      <c r="I3" s="2114"/>
      <c r="J3" s="2114"/>
      <c r="K3" s="2114"/>
    </row>
    <row r="4" spans="1:31" s="2047" customFormat="1" ht="18" customHeight="1">
      <c r="A4" s="429" t="s">
        <v>468</v>
      </c>
      <c r="B4" s="430">
        <f ca="1">ROUND(B2*10000/IF(B1="",'数据-汇总表'!D3,INDIRECT("'数据-取费表'!R"&amp;$K$1)),0)</f>
        <v>8847</v>
      </c>
      <c r="C4" s="431"/>
      <c r="D4" s="425"/>
      <c r="E4" s="425"/>
      <c r="F4" s="425"/>
      <c r="G4" s="425"/>
      <c r="H4" s="425"/>
      <c r="I4" s="425"/>
      <c r="J4" s="425"/>
      <c r="K4" s="425"/>
    </row>
    <row r="5" spans="1:31" s="2047" customFormat="1" ht="18" customHeight="1" thickBot="1">
      <c r="A5" s="432"/>
      <c r="B5" s="433">
        <f ca="1">ROUND(B2/(IF(B1="",'数据-汇总表'!D3,INDIRECT("'数据-取费表'!R"&amp;$K$1))/666.67),0)</f>
        <v>590</v>
      </c>
      <c r="C5" s="434" t="s">
        <v>469</v>
      </c>
      <c r="D5" s="425"/>
      <c r="E5" s="425"/>
      <c r="F5" s="425"/>
      <c r="G5" s="425"/>
      <c r="H5" s="425"/>
      <c r="I5" s="425"/>
      <c r="J5" s="425"/>
      <c r="K5" s="425"/>
    </row>
    <row r="6" spans="1:31" s="2121" customFormat="1" ht="16.5" customHeight="1">
      <c r="A6" s="2867" t="s">
        <v>1846</v>
      </c>
      <c r="B6" s="2868"/>
      <c r="C6" s="2869">
        <f>SUM(C10:K10)</f>
        <v>154173</v>
      </c>
      <c r="D6" s="2868"/>
      <c r="E6" s="2868"/>
      <c r="F6" s="2868"/>
      <c r="G6" s="2868"/>
      <c r="H6" s="2868"/>
      <c r="I6" s="2868"/>
      <c r="J6" s="2868"/>
      <c r="K6" s="2870"/>
    </row>
    <row r="7" spans="1:31" s="2123" customFormat="1" ht="15">
      <c r="A7" s="2871" t="s">
        <v>470</v>
      </c>
      <c r="B7" s="2872" t="s">
        <v>471</v>
      </c>
      <c r="C7" s="439" t="s">
        <v>3062</v>
      </c>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1849</v>
      </c>
      <c r="B8" s="261" t="s">
        <v>472</v>
      </c>
      <c r="C8" s="2873">
        <f>典型户型修正!B21</f>
        <v>23083</v>
      </c>
      <c r="D8" s="2873"/>
      <c r="E8" s="2873"/>
      <c r="F8" s="2873"/>
      <c r="G8" s="2873"/>
      <c r="H8" s="2873"/>
      <c r="I8" s="2873"/>
      <c r="J8" s="2873"/>
      <c r="K8" s="2874"/>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1850</v>
      </c>
      <c r="B9" s="261" t="s">
        <v>473</v>
      </c>
      <c r="C9" s="444">
        <f>SUMIF('数据-汇总表'!$C19:$C33,'剩余法-待开发'!C7,'数据-汇总表'!$E19:$E33)</f>
        <v>66791.740000000005</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1851</v>
      </c>
      <c r="B10" s="2861" t="s">
        <v>474</v>
      </c>
      <c r="C10" s="3068">
        <f>典型户型修正!B20</f>
        <v>154173</v>
      </c>
      <c r="D10" s="3068"/>
      <c r="E10" s="3068"/>
      <c r="F10" s="2876"/>
      <c r="G10" s="2876"/>
      <c r="H10" s="2876"/>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1847</v>
      </c>
      <c r="B11" s="2868"/>
      <c r="C11" s="2868"/>
      <c r="D11" s="2868"/>
      <c r="E11" s="2868"/>
      <c r="F11" s="2868"/>
      <c r="G11" s="2868"/>
      <c r="H11" s="2868"/>
      <c r="I11" s="2868"/>
      <c r="J11" s="2868"/>
      <c r="K11" s="2870"/>
    </row>
    <row r="12" spans="1:31" s="2092" customFormat="1" ht="13.5" customHeight="1">
      <c r="A12" s="2879" t="s">
        <v>470</v>
      </c>
      <c r="B12" s="2851" t="s">
        <v>471</v>
      </c>
      <c r="C12" s="2880" t="s">
        <v>475</v>
      </c>
      <c r="D12" s="2847" t="s">
        <v>476</v>
      </c>
      <c r="E12" s="2847" t="s">
        <v>477</v>
      </c>
      <c r="F12" s="2847" t="s">
        <v>478</v>
      </c>
      <c r="G12" s="2851"/>
      <c r="H12" s="2852"/>
      <c r="I12" s="2852"/>
      <c r="J12" s="2852"/>
      <c r="K12" s="2853"/>
    </row>
    <row r="13" spans="1:31" s="2126" customFormat="1" ht="13.5" customHeight="1">
      <c r="A13" s="2881" t="s">
        <v>1852</v>
      </c>
      <c r="B13" s="2882" t="s">
        <v>479</v>
      </c>
      <c r="C13" s="453">
        <f ca="1">IF(B1="",'数据-取费表'!P16,INDIRECT("'数据-取费表'!p"&amp;$K$1)+INDIRECT("'数据-取费表'!t"&amp;$K$1))</f>
        <v>35590</v>
      </c>
      <c r="D13" s="2883"/>
      <c r="E13" s="2884"/>
      <c r="F13" s="2885"/>
      <c r="G13" s="2851"/>
      <c r="H13" s="2852"/>
      <c r="I13" s="2852"/>
      <c r="J13" s="2852"/>
      <c r="K13" s="2853"/>
    </row>
    <row r="14" spans="1:31" s="2126" customFormat="1" ht="13.5" customHeight="1">
      <c r="A14" s="2881" t="s">
        <v>1853</v>
      </c>
      <c r="B14" s="2882" t="s">
        <v>480</v>
      </c>
      <c r="C14" s="53">
        <f ca="1">ROUND(C13*F14,0)</f>
        <v>1068</v>
      </c>
      <c r="D14" s="2883"/>
      <c r="E14" s="2884"/>
      <c r="F14" s="2886">
        <f>'数据-取费表'!B33</f>
        <v>0.03</v>
      </c>
      <c r="G14" s="2851" t="s">
        <v>481</v>
      </c>
      <c r="H14" s="2852"/>
      <c r="I14" s="2852"/>
      <c r="J14" s="2852"/>
      <c r="K14" s="2853"/>
    </row>
    <row r="15" spans="1:31" s="2126" customFormat="1" ht="13.5" customHeight="1">
      <c r="A15" s="2881" t="s">
        <v>1854</v>
      </c>
      <c r="B15" s="2882" t="s">
        <v>482</v>
      </c>
      <c r="C15" s="53">
        <f ca="1">ROUND(IF(B1="",SUMIF('数据-取费表'!C:C,"住宅",'数据-取费表'!P:P)*F15,IF(INDIRECT("'数据-取费表'!c"&amp;$K$1)="住宅",INDIRECT("'数据-取费表'!P"&amp;$K$1)*F15,0)),0)</f>
        <v>0</v>
      </c>
      <c r="D15" s="2883"/>
      <c r="E15" s="2884"/>
      <c r="F15" s="2886">
        <f>'数据-取费表'!B34</f>
        <v>0</v>
      </c>
      <c r="G15" s="2851" t="s">
        <v>483</v>
      </c>
      <c r="H15" s="2852"/>
      <c r="I15" s="2852"/>
      <c r="J15" s="2852"/>
      <c r="K15" s="2853"/>
    </row>
    <row r="16" spans="1:31" s="2127" customFormat="1" ht="13.5" customHeight="1">
      <c r="A16" s="2881" t="s">
        <v>1855</v>
      </c>
      <c r="B16" s="2882" t="s">
        <v>484</v>
      </c>
      <c r="C16" s="53">
        <f ca="1">ROUND(D16*E16/10000,0)</f>
        <v>2322</v>
      </c>
      <c r="D16" s="2883">
        <f ca="1">IF(B1="",'数据-汇总表'!E3,INDIRECT("'数据-取费表'!K"&amp;$K$1)+INDIRECT("'数据-取费表'!S"&amp;$K$1))</f>
        <v>129001.58</v>
      </c>
      <c r="E16" s="53">
        <f>'数据-取费表'!B35</f>
        <v>180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1856</v>
      </c>
      <c r="B17" s="2882" t="s">
        <v>485</v>
      </c>
      <c r="C17" s="2887">
        <f ca="1">ROUND(C13*F17,0)</f>
        <v>534</v>
      </c>
      <c r="D17" s="478"/>
      <c r="E17" s="2887"/>
      <c r="F17" s="2888">
        <f>'数据-取费表'!B36</f>
        <v>1.4999999999999999E-2</v>
      </c>
      <c r="G17" s="261" t="s">
        <v>486</v>
      </c>
      <c r="H17" s="2854"/>
      <c r="I17" s="2854"/>
      <c r="J17" s="2854"/>
      <c r="K17" s="279"/>
    </row>
    <row r="18" spans="1:14" s="2126" customFormat="1" ht="13.5" customHeight="1">
      <c r="A18" s="2889" t="s">
        <v>1857</v>
      </c>
      <c r="B18" s="2890" t="s">
        <v>487</v>
      </c>
      <c r="C18" s="2891">
        <f ca="1">SUM(C13:C17)</f>
        <v>39514</v>
      </c>
      <c r="D18" s="2892"/>
      <c r="E18" s="471"/>
      <c r="F18" s="471"/>
      <c r="G18" s="2855" t="s">
        <v>2442</v>
      </c>
      <c r="H18" s="2856"/>
      <c r="I18" s="2856"/>
      <c r="J18" s="2856"/>
      <c r="K18" s="2857"/>
    </row>
    <row r="19" spans="1:14" s="2126" customFormat="1" ht="13.5" customHeight="1">
      <c r="A19" s="2889" t="s">
        <v>1858</v>
      </c>
      <c r="B19" s="2890" t="s">
        <v>488</v>
      </c>
      <c r="C19" s="2847">
        <f ca="1">ROUND(D19*E19/10000,0)</f>
        <v>0</v>
      </c>
      <c r="D19" s="2893">
        <f ca="1">D16</f>
        <v>129001.58</v>
      </c>
      <c r="E19" s="2847">
        <f>'数据-取费表'!B32</f>
        <v>0</v>
      </c>
      <c r="F19" s="471"/>
      <c r="G19" s="2851" t="s">
        <v>489</v>
      </c>
      <c r="H19" s="2852"/>
      <c r="I19" s="2856"/>
      <c r="J19" s="2856"/>
      <c r="K19" s="2857"/>
    </row>
    <row r="20" spans="1:14" s="2126" customFormat="1" ht="13.5" customHeight="1">
      <c r="A20" s="2889" t="s">
        <v>1859</v>
      </c>
      <c r="B20" s="2890" t="s">
        <v>490</v>
      </c>
      <c r="C20" s="2847">
        <f ca="1">C21+C22-IF(B1="",'数据-取费表'!B29,IF(G20="已全部缴纳",C21+C22,H20))</f>
        <v>2838</v>
      </c>
      <c r="D20" s="2893"/>
      <c r="E20" s="2847"/>
      <c r="F20" s="2894"/>
      <c r="G20" s="3127"/>
      <c r="H20" s="2849"/>
      <c r="I20" s="2850" t="s">
        <v>2667</v>
      </c>
      <c r="J20" s="2856"/>
      <c r="K20" s="2857"/>
    </row>
    <row r="21" spans="1:14" s="2126" customFormat="1" ht="13.5" customHeight="1">
      <c r="A21" s="2881" t="s">
        <v>1860</v>
      </c>
      <c r="B21" s="2882" t="s">
        <v>491</v>
      </c>
      <c r="C21" s="53">
        <f ca="1">ROUND(D21*E21/10000,0)</f>
        <v>0</v>
      </c>
      <c r="D21" s="2883">
        <f ca="1">IF(B1="",'数据-汇总表'!E5,IF(INDIRECT("'数据-取费表'!c"&amp;$K$1)="住宅",INDIRECT("'数据-取费表'!k"&amp;$K$1),0))</f>
        <v>0</v>
      </c>
      <c r="E21" s="53">
        <f>'数据-取费表'!B27</f>
        <v>0</v>
      </c>
      <c r="F21" s="2886"/>
      <c r="G21" s="26"/>
      <c r="H21" s="51"/>
      <c r="I21" s="51"/>
      <c r="J21" s="51"/>
      <c r="K21" s="2858"/>
    </row>
    <row r="22" spans="1:14" s="2126" customFormat="1" ht="13.5" customHeight="1">
      <c r="A22" s="2881" t="s">
        <v>1861</v>
      </c>
      <c r="B22" s="2882" t="s">
        <v>492</v>
      </c>
      <c r="C22" s="53">
        <f ca="1">ROUND(D22*E22/10000,0)</f>
        <v>2838</v>
      </c>
      <c r="D22" s="2883">
        <f ca="1">IF(B1="",'数据-汇总表'!E6,IF(INDIRECT("'数据-取费表'!c"&amp;$K$1)="住宅",INDIRECT("'数据-取费表'!s"&amp;$K$1),INDIRECT("'数据-取费表'!k"&amp;$K$1)+INDIRECT("'数据-取费表'!s"&amp;$K$1)))</f>
        <v>129001.58</v>
      </c>
      <c r="E22" s="53">
        <f>'数据-取费表'!B28</f>
        <v>220</v>
      </c>
      <c r="F22" s="2886"/>
      <c r="G22" s="26"/>
      <c r="H22" s="51"/>
      <c r="I22" s="51"/>
      <c r="J22" s="51"/>
      <c r="K22" s="2858"/>
    </row>
    <row r="23" spans="1:14" s="2126" customFormat="1" ht="13.5" customHeight="1">
      <c r="A23" s="2889" t="s">
        <v>1862</v>
      </c>
      <c r="B23" s="3074" t="s">
        <v>2850</v>
      </c>
      <c r="C23" s="2891">
        <f ca="1">ROUND((C18+C19+C20)*F23,0)</f>
        <v>847</v>
      </c>
      <c r="D23" s="471"/>
      <c r="E23" s="471"/>
      <c r="F23" s="2895">
        <f>'数据-取费表'!B37</f>
        <v>0.02</v>
      </c>
      <c r="G23" s="2851" t="s">
        <v>2443</v>
      </c>
      <c r="H23" s="2852"/>
      <c r="I23" s="2852"/>
      <c r="J23" s="2852"/>
      <c r="K23" s="2853"/>
      <c r="L23" s="2128"/>
      <c r="M23" s="2128"/>
      <c r="N23" s="2128"/>
    </row>
    <row r="24" spans="1:14" s="2126" customFormat="1" ht="13.5" customHeight="1">
      <c r="A24" s="2889" t="s">
        <v>1863</v>
      </c>
      <c r="B24" s="3074" t="s">
        <v>2853</v>
      </c>
      <c r="C24" s="2891">
        <f>ROUND(C6*F24,0)</f>
        <v>3083</v>
      </c>
      <c r="D24" s="478"/>
      <c r="E24" s="476"/>
      <c r="F24" s="2895">
        <f>'数据-取费表'!B38</f>
        <v>0.02</v>
      </c>
      <c r="G24" s="2860" t="s">
        <v>499</v>
      </c>
      <c r="H24" s="2854"/>
      <c r="I24" s="2854"/>
      <c r="J24" s="2854"/>
      <c r="K24" s="279"/>
      <c r="L24" s="2128"/>
      <c r="M24" s="2128"/>
      <c r="N24" s="2128"/>
    </row>
    <row r="25" spans="1:14" s="2129" customFormat="1" ht="13.5" customHeight="1">
      <c r="A25" s="2889" t="s">
        <v>1864</v>
      </c>
      <c r="B25" s="3074" t="s">
        <v>2851</v>
      </c>
      <c r="C25" s="470">
        <f>ROUND(F25/(1+'数据-取费表'!C42),4)</f>
        <v>0</v>
      </c>
      <c r="D25" s="465" t="s">
        <v>2845</v>
      </c>
      <c r="E25" s="472"/>
      <c r="F25" s="2895">
        <f>'数据-取费表'!B48+'数据-取费表'!B49</f>
        <v>0</v>
      </c>
      <c r="G25" s="2859" t="s">
        <v>2299</v>
      </c>
      <c r="H25" s="2852"/>
      <c r="I25" s="2852"/>
      <c r="J25" s="2852"/>
      <c r="K25" s="2853"/>
    </row>
    <row r="26" spans="1:14" s="2128" customFormat="1" ht="13.5" customHeight="1">
      <c r="A26" s="2889" t="s">
        <v>1865</v>
      </c>
      <c r="B26" s="3075" t="s">
        <v>2852</v>
      </c>
      <c r="C26" s="2896">
        <f ca="1">C28</f>
        <v>2764</v>
      </c>
      <c r="D26" s="470">
        <f ca="1">C27</f>
        <v>0.123</v>
      </c>
      <c r="E26" s="472" t="s">
        <v>495</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4" s="2130" customFormat="1" ht="13.5" customHeight="1">
      <c r="A27" s="806" t="s">
        <v>1860</v>
      </c>
      <c r="B27" s="2897" t="s">
        <v>496</v>
      </c>
      <c r="C27" s="2898">
        <f ca="1">ROUND(IF('数据-取费表'!B22&lt;=1,(1+C25)*F26*'数据-取费表'!B24,(1+C25)*(POWER((1+F26),'数据-取费表'!B24)-1)),4)</f>
        <v>0.123</v>
      </c>
      <c r="D27" s="475"/>
      <c r="E27" s="476"/>
      <c r="F27" s="477"/>
      <c r="G27" s="2607" t="str">
        <f>IF('数据-取费表'!B22&lt;=1,"（1+取得税费率/(1+5%)）×年利率×建设期","（1+取得税费率）/(1+5%)×((1+年利率)^建设期-1)")</f>
        <v>（1+取得税费率）/(1+5%)×((1+年利率)^建设期-1)</v>
      </c>
      <c r="H27" s="2854"/>
      <c r="I27" s="2854"/>
      <c r="J27" s="2854"/>
      <c r="K27" s="279"/>
    </row>
    <row r="28" spans="1:14" s="2130" customFormat="1" ht="13.5" customHeight="1">
      <c r="A28" s="806" t="s">
        <v>1861</v>
      </c>
      <c r="B28" s="2897" t="s">
        <v>2854</v>
      </c>
      <c r="C28" s="2899">
        <f ca="1">ROUND(IF('数据-取费表'!B22&lt;=1,(C18+C19+C20+C23+C24)*F26*'数据-取费表'!B24/2,(C18+C19+C20+C23+C24)*(POWER((1+F26),'数据-取费表'!B24/2)-1)),0)</f>
        <v>2764</v>
      </c>
      <c r="D28" s="475"/>
      <c r="E28" s="476"/>
      <c r="F28" s="477"/>
      <c r="G28" s="2607" t="str">
        <f>IF('数据-取费表'!B22&lt;=1,"（1）-（4）项×年利率×建设期÷2","（1）-（4）项×((1+年利率)^(建设期÷2)-1)")</f>
        <v>（1）-（4）项×((1+年利率)^(建设期÷2)-1)</v>
      </c>
      <c r="H28" s="2854"/>
      <c r="I28" s="2854"/>
      <c r="J28" s="2854"/>
      <c r="K28" s="279"/>
    </row>
    <row r="29" spans="1:14" s="2130" customFormat="1" ht="13.5" customHeight="1">
      <c r="A29" s="2900" t="s">
        <v>1866</v>
      </c>
      <c r="B29" s="2890" t="s">
        <v>497</v>
      </c>
      <c r="C29" s="2891">
        <f>ROUND(C6*F29/(1+'数据-取费表'!C42),0)</f>
        <v>8223</v>
      </c>
      <c r="D29" s="471"/>
      <c r="E29" s="471"/>
      <c r="F29" s="3076">
        <f>'数据-取费表'!B41</f>
        <v>5.6000000000000001E-2</v>
      </c>
      <c r="G29" s="2860" t="s">
        <v>498</v>
      </c>
      <c r="H29" s="2852"/>
      <c r="I29" s="2852"/>
      <c r="J29" s="2852"/>
      <c r="K29" s="2853"/>
    </row>
    <row r="30" spans="1:14" s="2131" customFormat="1" ht="13.5" customHeight="1">
      <c r="A30" s="1641" t="s">
        <v>1867</v>
      </c>
      <c r="B30" s="2901" t="s">
        <v>500</v>
      </c>
      <c r="C30" s="2896">
        <f ca="1">C31</f>
        <v>57269</v>
      </c>
      <c r="D30" s="480">
        <f ca="1">C32</f>
        <v>0.123</v>
      </c>
      <c r="E30" s="472" t="s">
        <v>495</v>
      </c>
      <c r="F30" s="474"/>
      <c r="G30" s="2851" t="s">
        <v>501</v>
      </c>
      <c r="H30" s="2852"/>
      <c r="I30" s="2852"/>
      <c r="J30" s="2852"/>
      <c r="K30" s="2853"/>
    </row>
    <row r="31" spans="1:14" s="2130" customFormat="1" ht="13.5" customHeight="1">
      <c r="A31" s="806" t="s">
        <v>1860</v>
      </c>
      <c r="B31" s="2897"/>
      <c r="C31" s="453">
        <f ca="1">C18+C19+C20+C23+C24+C26+C29</f>
        <v>57269</v>
      </c>
      <c r="D31" s="475"/>
      <c r="E31" s="476"/>
      <c r="F31" s="477"/>
      <c r="G31" s="261"/>
      <c r="H31" s="2854"/>
      <c r="I31" s="2854"/>
      <c r="J31" s="2854"/>
      <c r="K31" s="279"/>
    </row>
    <row r="32" spans="1:14" s="2130" customFormat="1" ht="13.5" customHeight="1">
      <c r="A32" s="806" t="s">
        <v>1861</v>
      </c>
      <c r="B32" s="2897"/>
      <c r="C32" s="53">
        <f ca="1">ROUND(C25+D26,4)</f>
        <v>0.123</v>
      </c>
      <c r="D32" s="475"/>
      <c r="E32" s="476"/>
      <c r="F32" s="477"/>
      <c r="G32" s="261"/>
      <c r="H32" s="2854"/>
      <c r="I32" s="2854"/>
      <c r="J32" s="2854"/>
      <c r="K32" s="279"/>
    </row>
    <row r="33" spans="1:11" s="2132" customFormat="1" ht="13.5" customHeight="1">
      <c r="A33" s="3073" t="s">
        <v>2849</v>
      </c>
      <c r="B33" s="3071" t="s">
        <v>2847</v>
      </c>
      <c r="C33" s="481">
        <f ca="1">C35</f>
        <v>11571</v>
      </c>
      <c r="D33" s="470">
        <f ca="1">C34</f>
        <v>0.25</v>
      </c>
      <c r="E33" s="472" t="s">
        <v>495</v>
      </c>
      <c r="F33" s="482">
        <f ca="1">IF(B1="",'数据-取费表'!Q16,INDIRECT("'数据-取费表'!q"&amp;$K$1))</f>
        <v>0.25</v>
      </c>
      <c r="G33" s="2855"/>
      <c r="H33" s="2856"/>
      <c r="I33" s="2856"/>
      <c r="J33" s="2856"/>
      <c r="K33" s="2857"/>
    </row>
    <row r="34" spans="1:11" s="2133" customFormat="1" ht="13.5" customHeight="1">
      <c r="A34" s="378" t="s">
        <v>1860</v>
      </c>
      <c r="B34" s="2902" t="s">
        <v>502</v>
      </c>
      <c r="C34" s="475">
        <f ca="1">ROUND((1+C25)*F33,4)</f>
        <v>0.25</v>
      </c>
      <c r="D34" s="475"/>
      <c r="E34" s="476"/>
      <c r="F34" s="483"/>
      <c r="G34" s="261" t="s">
        <v>2300</v>
      </c>
      <c r="H34" s="2854"/>
      <c r="I34" s="2854"/>
      <c r="J34" s="2854"/>
      <c r="K34" s="279"/>
    </row>
    <row r="35" spans="1:11" s="2133" customFormat="1" ht="13.5" customHeight="1" thickBot="1">
      <c r="A35" s="1642" t="s">
        <v>1861</v>
      </c>
      <c r="B35" s="3072" t="s">
        <v>2855</v>
      </c>
      <c r="C35" s="1634">
        <f ca="1">ROUND((C18+C19+C20+C23+C24)*F33,0)</f>
        <v>11571</v>
      </c>
      <c r="D35" s="1635"/>
      <c r="E35" s="2903"/>
      <c r="F35" s="1636"/>
      <c r="G35" s="2861"/>
      <c r="H35" s="2862"/>
      <c r="I35" s="2862"/>
      <c r="J35" s="2862"/>
      <c r="K35" s="2863"/>
    </row>
    <row r="36" spans="1:11" s="2092" customFormat="1" ht="13.5" customHeight="1" thickBot="1">
      <c r="A36" s="284" t="s">
        <v>1848</v>
      </c>
      <c r="B36" s="2865"/>
      <c r="C36" s="2904">
        <f ca="1">ROUND((C6-C30-C33)/(1+D30+D33),0)</f>
        <v>62151</v>
      </c>
      <c r="D36" s="2865"/>
      <c r="E36" s="2865"/>
      <c r="F36" s="2865"/>
      <c r="G36" s="2864" t="s">
        <v>2856</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1905</v>
      </c>
      <c r="B36" s="1660" t="s">
        <v>1906</v>
      </c>
    </row>
    <row r="37" spans="1:9" ht="28.5" customHeight="1">
      <c r="A37" s="1660"/>
      <c r="B37" s="3176" t="str">
        <f>项目基本情况!B1</f>
        <v>海口市海南省海口市海甸岛西北部1902地块1宗批发零售用地出让国有建设用地使用权抵押价格预评估</v>
      </c>
      <c r="C37" s="3176"/>
      <c r="D37" s="3176"/>
      <c r="E37" s="3176"/>
      <c r="F37" s="3176"/>
      <c r="G37" s="3176"/>
      <c r="H37" s="3176"/>
      <c r="I37" s="3176"/>
    </row>
    <row r="38" spans="1:9">
      <c r="A38" s="1662"/>
      <c r="B38" s="1662"/>
    </row>
    <row r="39" spans="1:9">
      <c r="A39" s="1660" t="s">
        <v>1905</v>
      </c>
      <c r="B39" s="1660" t="s">
        <v>2056</v>
      </c>
    </row>
    <row r="40" spans="1:9">
      <c r="A40" s="1660"/>
      <c r="B40" s="1660" t="str">
        <f>项目基本情况!B5</f>
        <v>新世界中国地产（海口）有限公司</v>
      </c>
    </row>
    <row r="41" spans="1:9">
      <c r="A41" s="1660"/>
      <c r="B41" s="1660"/>
    </row>
    <row r="42" spans="1:9">
      <c r="A42" s="1660" t="s">
        <v>1905</v>
      </c>
      <c r="B42" s="1660" t="s">
        <v>2057</v>
      </c>
    </row>
    <row r="43" spans="1:9">
      <c r="A43" s="1660"/>
      <c r="B43" s="1660" t="s">
        <v>1907</v>
      </c>
    </row>
    <row r="44" spans="1:9">
      <c r="A44" s="1660"/>
      <c r="B44" s="1660"/>
    </row>
    <row r="45" spans="1:9">
      <c r="A45" s="1660" t="s">
        <v>1905</v>
      </c>
      <c r="B45" s="1660" t="s">
        <v>2055</v>
      </c>
    </row>
    <row r="46" spans="1:9" s="1660" customFormat="1" ht="12.75">
      <c r="B46" s="1660" t="str">
        <f>项目基本情况!K4</f>
        <v>刘梅、吴薇</v>
      </c>
    </row>
    <row r="47" spans="1:9">
      <c r="A47" s="1660"/>
      <c r="B47" s="1660"/>
    </row>
    <row r="48" spans="1:9">
      <c r="A48" s="1660" t="s">
        <v>1905</v>
      </c>
      <c r="B48" s="1660" t="s">
        <v>2058</v>
      </c>
    </row>
    <row r="49" spans="2:2">
      <c r="B49" s="166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466</v>
      </c>
      <c r="B1" s="2848"/>
      <c r="C1" s="2114"/>
      <c r="D1" s="2114"/>
      <c r="E1" s="2114"/>
      <c r="F1" s="2114"/>
      <c r="G1" s="2114"/>
      <c r="H1" s="2114"/>
      <c r="I1" s="2114"/>
      <c r="J1" s="2114"/>
      <c r="K1" s="425">
        <f>MATCH(B1,'数据-取费表'!A6:A16,0)+5</f>
        <v>7</v>
      </c>
    </row>
    <row r="2" spans="1:41" s="2047" customFormat="1" ht="18" customHeight="1">
      <c r="A2" s="426" t="s">
        <v>467</v>
      </c>
      <c r="B2" s="427">
        <f ca="1">C32</f>
        <v>0</v>
      </c>
      <c r="C2" s="2114"/>
      <c r="D2" s="2114"/>
      <c r="E2" s="2114"/>
      <c r="F2" s="2114"/>
      <c r="G2" s="2114"/>
      <c r="H2" s="2114"/>
      <c r="I2" s="2114"/>
      <c r="J2" s="2114"/>
      <c r="K2" s="2114"/>
    </row>
    <row r="3" spans="1:41" s="2047" customFormat="1" ht="18" customHeight="1">
      <c r="A3" s="1384" t="s">
        <v>1687</v>
      </c>
      <c r="B3" s="428">
        <f ca="1">ROUND(B2*10000/IF(B1="",'数据-汇总表'!E3,INDIRECT("'数据-取费表'!K"&amp;$K$1)),0)</f>
        <v>0</v>
      </c>
      <c r="C3" s="2114"/>
      <c r="D3" s="2114"/>
      <c r="E3" s="2114"/>
      <c r="F3" s="2114"/>
      <c r="G3" s="2114"/>
      <c r="H3" s="2114"/>
      <c r="I3" s="2114"/>
      <c r="J3" s="2114"/>
      <c r="K3" s="2114"/>
    </row>
    <row r="4" spans="1:41" s="2047" customFormat="1" ht="18" customHeight="1">
      <c r="A4" s="429" t="s">
        <v>468</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469</v>
      </c>
      <c r="D5" s="2114"/>
      <c r="E5" s="2114"/>
      <c r="F5" s="2114"/>
      <c r="G5" s="2114"/>
      <c r="H5" s="2114"/>
      <c r="I5" s="2114"/>
      <c r="J5" s="2114"/>
      <c r="K5" s="2114"/>
    </row>
    <row r="6" spans="1:41" s="2121" customFormat="1" ht="16.5" customHeight="1">
      <c r="A6" s="435" t="s">
        <v>2668</v>
      </c>
      <c r="B6" s="436"/>
      <c r="C6" s="1629">
        <f>SUM(C10:K10)</f>
        <v>0</v>
      </c>
      <c r="D6" s="2119"/>
      <c r="E6" s="2119"/>
      <c r="F6" s="2119"/>
      <c r="G6" s="2119"/>
      <c r="H6" s="2119"/>
      <c r="I6" s="2119"/>
      <c r="J6" s="2119"/>
      <c r="K6" s="2120"/>
    </row>
    <row r="7" spans="1:41" s="2123" customFormat="1" ht="15">
      <c r="A7" s="437" t="s">
        <v>470</v>
      </c>
      <c r="B7" s="438" t="s">
        <v>471</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7" t="s">
        <v>1849</v>
      </c>
      <c r="B8" s="441" t="s">
        <v>472</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7" t="s">
        <v>1850</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8" t="s">
        <v>1851</v>
      </c>
      <c r="B10" s="1630" t="s">
        <v>474</v>
      </c>
      <c r="C10" s="1631"/>
      <c r="D10" s="1631"/>
      <c r="E10" s="1631"/>
      <c r="F10" s="1632"/>
      <c r="G10" s="1632"/>
      <c r="H10" s="1632"/>
      <c r="I10" s="1632"/>
      <c r="J10" s="1632"/>
      <c r="K10" s="1633"/>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6" t="s">
        <v>1868</v>
      </c>
      <c r="B11" s="1627"/>
      <c r="C11" s="1627"/>
      <c r="D11" s="1627"/>
      <c r="E11" s="1627"/>
      <c r="F11" s="1627"/>
      <c r="G11" s="1627"/>
      <c r="H11" s="1627"/>
      <c r="I11" s="1627"/>
      <c r="J11" s="1627"/>
      <c r="K11" s="1628"/>
    </row>
    <row r="12" spans="1:41" s="2092" customFormat="1" ht="13.5" customHeight="1">
      <c r="A12" s="437" t="s">
        <v>470</v>
      </c>
      <c r="B12" s="447" t="s">
        <v>471</v>
      </c>
      <c r="C12" s="448" t="s">
        <v>475</v>
      </c>
      <c r="D12" s="449" t="s">
        <v>476</v>
      </c>
      <c r="E12" s="449" t="s">
        <v>477</v>
      </c>
      <c r="F12" s="449" t="s">
        <v>478</v>
      </c>
      <c r="G12" s="447"/>
      <c r="H12" s="450"/>
      <c r="I12" s="450"/>
      <c r="J12" s="450"/>
      <c r="K12" s="451"/>
    </row>
    <row r="13" spans="1:41" s="2126" customFormat="1" ht="13.5" customHeight="1">
      <c r="A13" s="1639" t="s">
        <v>1852</v>
      </c>
      <c r="B13" s="452" t="s">
        <v>479</v>
      </c>
      <c r="C13" s="453">
        <f ca="1">IF(B1="",'数据-取费表'!M16,INDIRECT("'数据-取费表'!M"&amp;$K$1)+INDIRECT("'数据-取费表'!t"&amp;$K$1))</f>
        <v>35590</v>
      </c>
      <c r="D13" s="454"/>
      <c r="E13" s="368"/>
      <c r="F13" s="455"/>
      <c r="G13" s="447"/>
      <c r="H13" s="450"/>
      <c r="I13" s="450"/>
      <c r="J13" s="450"/>
      <c r="K13" s="451"/>
    </row>
    <row r="14" spans="1:41" s="2126" customFormat="1" ht="13.5" customHeight="1">
      <c r="A14" s="1639" t="s">
        <v>1853</v>
      </c>
      <c r="B14" s="452" t="s">
        <v>480</v>
      </c>
      <c r="C14" s="53">
        <f ca="1">ROUND(C13*F14,0)</f>
        <v>1068</v>
      </c>
      <c r="D14" s="454"/>
      <c r="E14" s="368"/>
      <c r="F14" s="456">
        <f>'数据-取费表'!B33</f>
        <v>0.03</v>
      </c>
      <c r="G14" s="447" t="s">
        <v>503</v>
      </c>
      <c r="H14" s="450"/>
      <c r="I14" s="450"/>
      <c r="J14" s="450"/>
      <c r="K14" s="451"/>
    </row>
    <row r="15" spans="1:41" s="2126" customFormat="1" ht="13.5" customHeight="1">
      <c r="A15" s="1639" t="s">
        <v>1854</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7" customFormat="1" ht="13.5" customHeight="1">
      <c r="A16" s="1639" t="s">
        <v>1855</v>
      </c>
      <c r="B16" s="452" t="s">
        <v>484</v>
      </c>
      <c r="C16" s="53">
        <f ca="1">ROUND(D16*E16/10000,0)</f>
        <v>2322</v>
      </c>
      <c r="D16" s="454">
        <f ca="1">IF(B1="",'数据-汇总表'!E3,INDIRECT("'数据-取费表'!K"&amp;$K$1)+INDIRECT("'数据-取费表'!S"&amp;$K$1))</f>
        <v>129001.58</v>
      </c>
      <c r="E16" s="53">
        <f>'数据-取费表'!B35</f>
        <v>180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9" t="s">
        <v>1856</v>
      </c>
      <c r="B17" s="452" t="s">
        <v>485</v>
      </c>
      <c r="C17" s="457">
        <f ca="1">ROUND(C13*F17,0)</f>
        <v>534</v>
      </c>
      <c r="D17" s="458"/>
      <c r="E17" s="457"/>
      <c r="F17" s="459">
        <f>'数据-取费表'!B36</f>
        <v>1.4999999999999999E-2</v>
      </c>
      <c r="G17" s="447" t="s">
        <v>503</v>
      </c>
      <c r="H17" s="460"/>
      <c r="I17" s="460"/>
      <c r="J17" s="460"/>
      <c r="K17" s="461"/>
    </row>
    <row r="18" spans="1:14" s="2129" customFormat="1" ht="13.5" customHeight="1">
      <c r="A18" s="1640" t="s">
        <v>1857</v>
      </c>
      <c r="B18" s="462" t="s">
        <v>487</v>
      </c>
      <c r="C18" s="463">
        <f ca="1">SUM(C13:C17)</f>
        <v>39514</v>
      </c>
      <c r="D18" s="464"/>
      <c r="E18" s="465"/>
      <c r="F18" s="465"/>
      <c r="G18" s="1330" t="s">
        <v>2444</v>
      </c>
      <c r="H18" s="450"/>
      <c r="I18" s="450"/>
      <c r="J18" s="450"/>
      <c r="K18" s="451"/>
    </row>
    <row r="19" spans="1:14" s="2129" customFormat="1" ht="13.5" customHeight="1">
      <c r="A19" s="1640" t="s">
        <v>1858</v>
      </c>
      <c r="B19" s="462" t="s">
        <v>493</v>
      </c>
      <c r="C19" s="463">
        <f ca="1">ROUND(C18*F19,0)</f>
        <v>790</v>
      </c>
      <c r="D19" s="465"/>
      <c r="E19" s="465"/>
      <c r="F19" s="469">
        <f>'数据-取费表'!B37</f>
        <v>0.02</v>
      </c>
      <c r="G19" s="447" t="s">
        <v>504</v>
      </c>
      <c r="H19" s="450"/>
      <c r="I19" s="450"/>
      <c r="J19" s="450"/>
      <c r="K19" s="451"/>
      <c r="L19" s="2131"/>
      <c r="M19" s="2131"/>
      <c r="N19" s="2131"/>
    </row>
    <row r="20" spans="1:14" s="2129" customFormat="1" ht="13.5" customHeight="1">
      <c r="A20" s="1640" t="s">
        <v>1859</v>
      </c>
      <c r="B20" s="462" t="s">
        <v>505</v>
      </c>
      <c r="C20" s="3069">
        <f>F20</f>
        <v>0.02</v>
      </c>
      <c r="D20" s="472" t="s">
        <v>506</v>
      </c>
      <c r="E20" s="472"/>
      <c r="F20" s="489">
        <f>'数据-取费表'!B38</f>
        <v>0.02</v>
      </c>
      <c r="G20" s="1330" t="s">
        <v>507</v>
      </c>
      <c r="H20" s="450"/>
      <c r="I20" s="450"/>
      <c r="J20" s="450"/>
      <c r="K20" s="451"/>
      <c r="L20" s="2131"/>
      <c r="M20" s="2131"/>
      <c r="N20" s="2131"/>
    </row>
    <row r="21" spans="1:14" s="2131" customFormat="1" ht="13.5" customHeight="1">
      <c r="A21" s="1640" t="s">
        <v>1862</v>
      </c>
      <c r="B21" s="464" t="s">
        <v>494</v>
      </c>
      <c r="C21" s="473">
        <f ca="1">C22</f>
        <v>2407</v>
      </c>
      <c r="D21" s="470">
        <f ca="1">C23</f>
        <v>1.1999999999999999E-3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2466</v>
      </c>
    </row>
    <row r="22" spans="1:14" s="2130" customFormat="1" ht="13.5" customHeight="1">
      <c r="A22" s="1639" t="s">
        <v>1852</v>
      </c>
      <c r="B22" s="1331" t="s">
        <v>2447</v>
      </c>
      <c r="C22" s="490">
        <f ca="1">ROUND(IF('数据-取费表'!B22&lt;=1,(C18+C19)*F21*'数据-取费表'!B20/2,(C18+C19)*(POWER((1+F21),'数据-取费表'!B20/2)-1)),0)</f>
        <v>2407</v>
      </c>
      <c r="D22" s="475"/>
      <c r="E22" s="476"/>
      <c r="F22" s="477"/>
      <c r="G22" s="2602" t="str">
        <f>IF('数据-取费表'!B22&lt;=1,"((1)+(2))×年利率×建设期÷2","((1)+(2))×((1+年利率)^(建设期÷2)-1)")</f>
        <v>((1)+(2))×((1+年利率)^(建设期÷2)-1)</v>
      </c>
      <c r="H22" s="460"/>
      <c r="I22" s="460"/>
      <c r="J22" s="460"/>
      <c r="K22" s="461"/>
    </row>
    <row r="23" spans="1:14" s="2130" customFormat="1" ht="13.5" customHeight="1">
      <c r="A23" s="1639" t="s">
        <v>1853</v>
      </c>
      <c r="B23" s="1331" t="s">
        <v>509</v>
      </c>
      <c r="C23" s="491">
        <f ca="1">ROUND(IF('数据-取费表'!B22&lt;=1,F20*F21*'数据-取费表'!B20/2,F20*(POWER((1+F21),'数据-取费表'!B20/2)-1)),4)</f>
        <v>1.1999999999999999E-3</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40" t="s">
        <v>1863</v>
      </c>
      <c r="B24" s="3071" t="s">
        <v>2848</v>
      </c>
      <c r="C24" s="481">
        <f ca="1">C25</f>
        <v>10076</v>
      </c>
      <c r="D24" s="492">
        <f ca="1">C26</f>
        <v>5.0000000000000001E-3</v>
      </c>
      <c r="E24" s="472" t="s">
        <v>508</v>
      </c>
      <c r="F24" s="482">
        <f ca="1">IF(B1="",'数据-取费表'!Q16,INDIRECT("'数据-取费表'!q"&amp;$K$1))</f>
        <v>0.25</v>
      </c>
      <c r="G24" s="447"/>
      <c r="H24" s="450"/>
      <c r="I24" s="450"/>
      <c r="J24" s="450"/>
      <c r="K24" s="451"/>
    </row>
    <row r="25" spans="1:14" s="2130" customFormat="1" ht="13.5" customHeight="1">
      <c r="A25" s="1639" t="s">
        <v>1852</v>
      </c>
      <c r="B25" s="1331" t="s">
        <v>2448</v>
      </c>
      <c r="C25" s="493">
        <f ca="1">ROUND((C18+C19)*F24,0)</f>
        <v>10076</v>
      </c>
      <c r="D25" s="475"/>
      <c r="E25" s="476"/>
      <c r="F25" s="483"/>
      <c r="G25" s="1329" t="s">
        <v>2445</v>
      </c>
      <c r="H25" s="460"/>
      <c r="I25" s="460"/>
      <c r="J25" s="460"/>
      <c r="K25" s="461"/>
    </row>
    <row r="26" spans="1:14" s="2130" customFormat="1" ht="13.5" customHeight="1">
      <c r="A26" s="1639" t="s">
        <v>1853</v>
      </c>
      <c r="B26" s="1331" t="s">
        <v>510</v>
      </c>
      <c r="C26" s="494">
        <f ca="1">ROUND(F20*F24,4)</f>
        <v>5.0000000000000001E-3</v>
      </c>
      <c r="D26" s="475"/>
      <c r="E26" s="484"/>
      <c r="F26" s="483"/>
      <c r="G26" s="1329" t="s">
        <v>511</v>
      </c>
      <c r="H26" s="460"/>
      <c r="I26" s="460"/>
      <c r="J26" s="460"/>
      <c r="K26" s="461"/>
    </row>
    <row r="27" spans="1:14" s="2130" customFormat="1" ht="13.5" customHeight="1">
      <c r="A27" s="1643" t="s">
        <v>1871</v>
      </c>
      <c r="B27" s="462" t="s">
        <v>512</v>
      </c>
      <c r="C27" s="3070">
        <f>ROUND(F27/(1+'数据-取费表'!C42),4)</f>
        <v>5.33E-2</v>
      </c>
      <c r="D27" s="465" t="s">
        <v>2846</v>
      </c>
      <c r="E27" s="465"/>
      <c r="F27" s="469">
        <f>'数据-取费表'!B41</f>
        <v>5.6000000000000001E-2</v>
      </c>
      <c r="G27" s="1966" t="s">
        <v>2301</v>
      </c>
      <c r="H27" s="450"/>
      <c r="I27" s="450"/>
      <c r="J27" s="450"/>
      <c r="K27" s="451"/>
    </row>
    <row r="28" spans="1:14" s="2131" customFormat="1" ht="13.5" customHeight="1">
      <c r="A28" s="1643" t="s">
        <v>1872</v>
      </c>
      <c r="B28" s="479" t="s">
        <v>513</v>
      </c>
      <c r="C28" s="473">
        <f ca="1">ROUND((C18+C19+C21+C24)/(1-C20-D21-D24-C27),0)</f>
        <v>57346</v>
      </c>
      <c r="D28" s="480"/>
      <c r="E28" s="472"/>
      <c r="F28" s="474"/>
      <c r="G28" s="1330" t="s">
        <v>2446</v>
      </c>
      <c r="H28" s="450"/>
      <c r="I28" s="450"/>
      <c r="J28" s="450"/>
      <c r="K28" s="451"/>
    </row>
    <row r="29" spans="1:14" s="2131" customFormat="1" ht="13.5" customHeight="1">
      <c r="A29" s="1643" t="s">
        <v>1873</v>
      </c>
      <c r="B29" s="479" t="s">
        <v>514</v>
      </c>
      <c r="C29" s="495">
        <f ca="1">IF(B1="",'数据-取费表'!N16,INDIRECT("'数据-取费表'!N"&amp;$K$1))</f>
        <v>0</v>
      </c>
      <c r="D29" s="496"/>
      <c r="E29" s="497"/>
      <c r="F29" s="498"/>
      <c r="G29" s="447"/>
      <c r="H29" s="450"/>
      <c r="I29" s="450"/>
      <c r="J29" s="450"/>
      <c r="K29" s="451"/>
    </row>
    <row r="30" spans="1:14" s="2131" customFormat="1" ht="13.5" customHeight="1">
      <c r="A30" s="446">
        <v>2</v>
      </c>
      <c r="B30" s="479" t="s">
        <v>515</v>
      </c>
      <c r="C30" s="500">
        <f ca="1">ROUND(C28*C29,0)</f>
        <v>0</v>
      </c>
      <c r="D30" s="496"/>
      <c r="E30" s="501"/>
      <c r="F30" s="502"/>
      <c r="G30" s="1332" t="s">
        <v>516</v>
      </c>
      <c r="H30" s="499"/>
      <c r="I30" s="499"/>
      <c r="J30" s="450"/>
      <c r="K30" s="451"/>
    </row>
    <row r="31" spans="1:14" s="2136" customFormat="1" ht="13.5" customHeight="1">
      <c r="A31" s="2517" t="s">
        <v>1869</v>
      </c>
      <c r="B31" s="1333"/>
      <c r="C31" s="503">
        <f>ROUND(C6*F31/(1+'数据-取费表'!C42),0)</f>
        <v>0</v>
      </c>
      <c r="D31" s="1334"/>
      <c r="E31" s="1334"/>
      <c r="F31" s="504">
        <f>'数据-取费表'!B41</f>
        <v>5.6000000000000001E-2</v>
      </c>
      <c r="G31" s="1335"/>
      <c r="H31" s="1335"/>
      <c r="I31" s="1335"/>
      <c r="J31" s="1336"/>
      <c r="K31" s="1337"/>
    </row>
    <row r="32" spans="1:14" s="2092" customFormat="1" ht="13.5" customHeight="1" thickBot="1">
      <c r="A32" s="485" t="s">
        <v>1870</v>
      </c>
      <c r="B32" s="486"/>
      <c r="C32" s="487">
        <f ca="1">IF('数据-取费表'!B20&lt;=1,(C6-C30-C31)/(1+F21*'数据-取费表'!B20+F24)/(1+'数据-取费表'!B48+'数据-取费表'!B49),(C6-C30-C31)/(1+(POWER((1+F21),'数据-取费表'!B20)-1)+F24)/(1+'数据-取费表'!B48+'数据-取费表'!B49))</f>
        <v>0</v>
      </c>
      <c r="D32" s="486"/>
      <c r="E32" s="486"/>
      <c r="F32" s="486"/>
      <c r="G32" s="2518" t="s">
        <v>2467</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t="e">
        <f>F63</f>
        <v>#DIV/0!</v>
      </c>
      <c r="C2" s="2138"/>
      <c r="D2" s="2138"/>
      <c r="E2" s="2138"/>
      <c r="F2" s="2139"/>
      <c r="G2" s="2138"/>
      <c r="H2" s="2138"/>
      <c r="I2" s="2138"/>
      <c r="J2" s="2138"/>
      <c r="K2" s="2140"/>
      <c r="L2" s="2141"/>
      <c r="M2" s="2142"/>
      <c r="N2" s="2142"/>
      <c r="O2" s="2142"/>
      <c r="P2" s="1570"/>
      <c r="Q2" s="1570"/>
      <c r="R2" s="1570"/>
      <c r="S2" s="1570"/>
      <c r="T2" s="1570"/>
      <c r="U2" s="1570"/>
      <c r="V2" s="1570"/>
      <c r="W2" s="1570"/>
      <c r="X2" s="1570"/>
      <c r="Y2" s="1570"/>
      <c r="Z2" s="1570"/>
      <c r="AA2" s="1570"/>
      <c r="AB2" s="1570"/>
      <c r="AC2" s="1571"/>
    </row>
    <row r="3" spans="1:29" s="1339" customFormat="1" ht="28.5" customHeight="1">
      <c r="A3" s="1385" t="s">
        <v>1688</v>
      </c>
      <c r="B3" s="513" t="e">
        <f>ROUND(B2*10000/'数据-汇总表'!E3,0)</f>
        <v>#DIV/0!</v>
      </c>
      <c r="C3" s="2068"/>
      <c r="D3" s="2068"/>
      <c r="E3" s="2068"/>
      <c r="F3" s="2068"/>
      <c r="G3" s="2138"/>
      <c r="H3" s="2138"/>
      <c r="I3" s="2138"/>
      <c r="J3" s="2138"/>
      <c r="K3" s="2140"/>
      <c r="L3" s="2141"/>
      <c r="M3" s="2142"/>
      <c r="N3" s="2142"/>
      <c r="O3" s="2142"/>
      <c r="P3" s="1570"/>
      <c r="Q3" s="1570"/>
      <c r="R3" s="1570"/>
      <c r="S3" s="1570"/>
      <c r="T3" s="1570"/>
      <c r="U3" s="1570"/>
      <c r="V3" s="1570"/>
      <c r="W3" s="1570"/>
      <c r="X3" s="1570"/>
      <c r="Y3" s="1570"/>
      <c r="Z3" s="1570"/>
      <c r="AA3" s="1570"/>
      <c r="AB3" s="431"/>
      <c r="AC3" s="431"/>
    </row>
    <row r="4" spans="1:29" s="1339" customFormat="1" ht="28.5" customHeight="1">
      <c r="A4" s="514" t="s">
        <v>521</v>
      </c>
      <c r="B4" s="430" t="e">
        <f>IF(B43="单位面积地价",C45,ROUND(B2*10000/'数据-汇总表'!D3,0))</f>
        <v>#DIV/0!</v>
      </c>
      <c r="C4" s="2068"/>
      <c r="D4" s="2068"/>
      <c r="E4" s="2068"/>
      <c r="F4" s="2068"/>
      <c r="G4" s="2138"/>
      <c r="H4" s="2138"/>
      <c r="I4" s="2138"/>
      <c r="J4" s="2138"/>
      <c r="K4" s="2140"/>
      <c r="L4" s="2141"/>
      <c r="M4" s="2142"/>
      <c r="N4" s="2142"/>
      <c r="O4" s="2142"/>
      <c r="P4" s="1570"/>
      <c r="Q4" s="1570"/>
      <c r="R4" s="1570"/>
      <c r="S4" s="1570"/>
      <c r="T4" s="1570"/>
      <c r="U4" s="1570"/>
      <c r="V4" s="1570"/>
      <c r="W4" s="1570"/>
      <c r="X4" s="1570"/>
      <c r="Y4" s="1570"/>
      <c r="Z4" s="1570"/>
      <c r="AA4" s="1570"/>
      <c r="AB4" s="1570"/>
      <c r="AC4" s="431"/>
    </row>
    <row r="5" spans="1:29" s="1339" customFormat="1" ht="28.5" customHeight="1" thickBot="1">
      <c r="A5" s="432"/>
      <c r="B5" s="433" t="e">
        <f>ROUND(B2/('数据-汇总表'!D3/666.67),0)</f>
        <v>#DIV/0!</v>
      </c>
      <c r="C5" s="434" t="s">
        <v>469</v>
      </c>
      <c r="D5" s="2068"/>
      <c r="E5" s="2068"/>
      <c r="F5" s="2068"/>
      <c r="G5" s="2138"/>
      <c r="H5" s="2138"/>
      <c r="I5" s="2138"/>
      <c r="J5" s="2138"/>
      <c r="K5" s="2140"/>
      <c r="L5" s="2141"/>
      <c r="M5" s="2142"/>
      <c r="N5" s="2142"/>
      <c r="O5" s="2142"/>
      <c r="P5" s="1570"/>
      <c r="Q5" s="1570"/>
      <c r="R5" s="1570"/>
      <c r="S5" s="1570"/>
      <c r="T5" s="1570"/>
      <c r="U5" s="1570"/>
      <c r="V5" s="1570"/>
      <c r="W5" s="1570"/>
      <c r="X5" s="1570"/>
      <c r="Y5" s="1570"/>
      <c r="Z5" s="1570"/>
      <c r="AA5" s="1570"/>
      <c r="AB5" s="1572"/>
      <c r="AC5" s="431"/>
    </row>
    <row r="6" spans="1:29" ht="15">
      <c r="A6" s="515" t="s">
        <v>522</v>
      </c>
      <c r="B6" s="516"/>
      <c r="C6" s="3363" t="s">
        <v>523</v>
      </c>
      <c r="D6" s="3364"/>
      <c r="E6" s="3387" t="s">
        <v>524</v>
      </c>
      <c r="F6" s="3388"/>
      <c r="G6" s="3363" t="s">
        <v>525</v>
      </c>
      <c r="H6" s="3364"/>
      <c r="I6" s="3363" t="s">
        <v>526</v>
      </c>
      <c r="J6" s="3364"/>
      <c r="K6" s="517" t="s">
        <v>527</v>
      </c>
      <c r="L6" s="2143"/>
      <c r="M6" s="2144"/>
      <c r="N6" s="2144"/>
      <c r="O6" s="2144"/>
      <c r="P6" s="3365" t="s">
        <v>528</v>
      </c>
      <c r="Q6" s="3366"/>
      <c r="R6" s="3351" t="s">
        <v>524</v>
      </c>
      <c r="S6" s="3352"/>
      <c r="T6" s="3351" t="s">
        <v>525</v>
      </c>
      <c r="U6" s="3352"/>
      <c r="V6" s="3371" t="s">
        <v>526</v>
      </c>
      <c r="W6" s="3371"/>
      <c r="X6" s="1573"/>
      <c r="Y6" s="3351" t="s">
        <v>528</v>
      </c>
      <c r="Z6" s="3352"/>
      <c r="AA6" s="3346" t="s">
        <v>524</v>
      </c>
      <c r="AB6" s="3347" t="s">
        <v>525</v>
      </c>
      <c r="AC6" s="3346" t="s">
        <v>526</v>
      </c>
    </row>
    <row r="7" spans="1:29" ht="15">
      <c r="A7" s="518"/>
      <c r="B7" s="519"/>
      <c r="C7" s="3374" t="s">
        <v>2942</v>
      </c>
      <c r="D7" s="3375"/>
      <c r="E7" s="3389" t="s">
        <v>2943</v>
      </c>
      <c r="F7" s="3390"/>
      <c r="G7" s="3374" t="s">
        <v>2944</v>
      </c>
      <c r="H7" s="3375"/>
      <c r="I7" s="3374" t="s">
        <v>2945</v>
      </c>
      <c r="J7" s="3375"/>
      <c r="K7" s="517"/>
      <c r="L7" s="2143"/>
      <c r="M7" s="2144"/>
      <c r="N7" s="2144"/>
      <c r="O7" s="2144"/>
      <c r="P7" s="3367"/>
      <c r="Q7" s="3368"/>
      <c r="R7" s="3353"/>
      <c r="S7" s="3354"/>
      <c r="T7" s="3353"/>
      <c r="U7" s="3354"/>
      <c r="V7" s="3371"/>
      <c r="W7" s="3371"/>
      <c r="X7" s="1573"/>
      <c r="Y7" s="3353"/>
      <c r="Z7" s="3354"/>
      <c r="AA7" s="3347"/>
      <c r="AB7" s="3347"/>
      <c r="AC7" s="3347"/>
    </row>
    <row r="8" spans="1:29" ht="15.75" thickBot="1">
      <c r="A8" s="520"/>
      <c r="B8" s="521"/>
      <c r="C8" s="3372" t="s">
        <v>2946</v>
      </c>
      <c r="D8" s="3373"/>
      <c r="E8" s="3391" t="s">
        <v>2946</v>
      </c>
      <c r="F8" s="3392"/>
      <c r="G8" s="3372" t="s">
        <v>2946</v>
      </c>
      <c r="H8" s="3373"/>
      <c r="I8" s="3372" t="s">
        <v>2946</v>
      </c>
      <c r="J8" s="3373"/>
      <c r="K8" s="517" t="s">
        <v>529</v>
      </c>
      <c r="L8" s="2143"/>
      <c r="M8" s="2144"/>
      <c r="N8" s="2144"/>
      <c r="O8" s="2144"/>
      <c r="P8" s="3369"/>
      <c r="Q8" s="3370"/>
      <c r="R8" s="3353"/>
      <c r="S8" s="3354"/>
      <c r="T8" s="3355"/>
      <c r="U8" s="3356"/>
      <c r="V8" s="3371"/>
      <c r="W8" s="3371"/>
      <c r="X8" s="1573"/>
      <c r="Y8" s="3355"/>
      <c r="Z8" s="3356"/>
      <c r="AA8" s="3348"/>
      <c r="AB8" s="3348"/>
      <c r="AC8" s="3348"/>
    </row>
    <row r="9" spans="1:29" s="1223" customFormat="1" ht="15.75" thickBot="1">
      <c r="A9" s="2951"/>
      <c r="B9" s="2958" t="s">
        <v>530</v>
      </c>
      <c r="C9" s="522">
        <f>'数据-取费表'!B2</f>
        <v>42912</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49" t="s">
        <v>531</v>
      </c>
      <c r="Q9" s="3358"/>
      <c r="R9" s="1574" t="s">
        <v>8</v>
      </c>
      <c r="S9" s="1575">
        <f t="shared" ref="S9:S17" si="0">F9</f>
        <v>0</v>
      </c>
      <c r="T9" s="1574" t="s">
        <v>8</v>
      </c>
      <c r="U9" s="1575">
        <f t="shared" ref="U9:U17" si="1">H9</f>
        <v>0</v>
      </c>
      <c r="V9" s="1574" t="s">
        <v>8</v>
      </c>
      <c r="W9" s="1575">
        <f t="shared" ref="W9:W17" si="2">J9</f>
        <v>0</v>
      </c>
      <c r="X9" s="1576"/>
      <c r="Y9" s="3349" t="s">
        <v>531</v>
      </c>
      <c r="Z9" s="3350"/>
      <c r="AA9" s="1577" t="e">
        <f>D9/F9</f>
        <v>#DIV/0!</v>
      </c>
      <c r="AB9" s="1577" t="e">
        <f>D9/H9</f>
        <v>#DIV/0!</v>
      </c>
      <c r="AC9" s="1577" t="e">
        <f>D9/J9</f>
        <v>#DIV/0!</v>
      </c>
    </row>
    <row r="10" spans="1:29" s="1223" customFormat="1" ht="15.75" thickBot="1">
      <c r="A10" s="2952"/>
      <c r="B10" s="295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49" t="s">
        <v>534</v>
      </c>
      <c r="Q10" s="3350"/>
      <c r="R10" s="1574" t="s">
        <v>8</v>
      </c>
      <c r="S10" s="1575">
        <f t="shared" si="0"/>
        <v>0</v>
      </c>
      <c r="T10" s="1574" t="s">
        <v>8</v>
      </c>
      <c r="U10" s="1575">
        <f t="shared" si="1"/>
        <v>0</v>
      </c>
      <c r="V10" s="1574" t="s">
        <v>8</v>
      </c>
      <c r="W10" s="1575">
        <f t="shared" si="2"/>
        <v>0</v>
      </c>
      <c r="X10" s="1576"/>
      <c r="Y10" s="3349" t="s">
        <v>534</v>
      </c>
      <c r="Z10" s="3350"/>
      <c r="AA10" s="1577" t="e">
        <f t="shared" ref="AA10:AA42" si="3">D10/F10</f>
        <v>#DIV/0!</v>
      </c>
      <c r="AB10" s="1577" t="e">
        <f t="shared" ref="AB10:AB42" si="4">D10/H10</f>
        <v>#DIV/0!</v>
      </c>
      <c r="AC10" s="1577" t="e">
        <f t="shared" ref="AC10:AC42" si="5">D10/J10</f>
        <v>#DIV/0!</v>
      </c>
    </row>
    <row r="11" spans="1:29" s="1223" customFormat="1" ht="15">
      <c r="A11" s="2953"/>
      <c r="B11" s="2960" t="s">
        <v>2772</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57" t="s">
        <v>536</v>
      </c>
      <c r="Q11" s="1154" t="str">
        <f t="shared" ref="Q11:Q17" si="6">B11</f>
        <v>用途</v>
      </c>
      <c r="R11" s="1574" t="s">
        <v>8</v>
      </c>
      <c r="S11" s="1575">
        <f t="shared" si="0"/>
        <v>100</v>
      </c>
      <c r="T11" s="1574" t="s">
        <v>8</v>
      </c>
      <c r="U11" s="1575">
        <f t="shared" si="1"/>
        <v>100</v>
      </c>
      <c r="V11" s="1574" t="s">
        <v>8</v>
      </c>
      <c r="W11" s="1575">
        <f t="shared" si="2"/>
        <v>100</v>
      </c>
      <c r="X11" s="1576"/>
      <c r="Y11" s="3314" t="s">
        <v>537</v>
      </c>
      <c r="Z11" s="1153" t="str">
        <f t="shared" ref="Z11:Z17" si="7">Q11</f>
        <v>用途</v>
      </c>
      <c r="AA11" s="1577">
        <f t="shared" si="3"/>
        <v>1</v>
      </c>
      <c r="AB11" s="1577">
        <f t="shared" si="4"/>
        <v>1</v>
      </c>
      <c r="AC11" s="1577">
        <f t="shared" si="5"/>
        <v>1</v>
      </c>
    </row>
    <row r="12" spans="1:29" s="1341" customFormat="1" ht="27">
      <c r="A12" s="2954"/>
      <c r="B12" s="2959" t="s">
        <v>2773</v>
      </c>
      <c r="C12" s="531"/>
      <c r="D12" s="255">
        <v>100</v>
      </c>
      <c r="E12" s="531"/>
      <c r="F12" s="255">
        <f>ROUND(100/'数据-取费表'!G16,0)</f>
        <v>113</v>
      </c>
      <c r="G12" s="531"/>
      <c r="H12" s="255">
        <f>ROUND(100/'数据-取费表'!G16,0)</f>
        <v>113</v>
      </c>
      <c r="I12" s="531"/>
      <c r="J12" s="255">
        <f>ROUND(100/'数据-取费表'!G16,0)</f>
        <v>113</v>
      </c>
      <c r="K12" s="534"/>
      <c r="L12" s="2148"/>
      <c r="M12" s="2188"/>
      <c r="N12" s="2188"/>
      <c r="O12" s="2149"/>
      <c r="P12" s="3357"/>
      <c r="Q12" s="1154" t="str">
        <f t="shared" si="6"/>
        <v>土地使用年限（年）</v>
      </c>
      <c r="R12" s="1574" t="s">
        <v>8</v>
      </c>
      <c r="S12" s="1575">
        <f t="shared" si="0"/>
        <v>113</v>
      </c>
      <c r="T12" s="1574" t="s">
        <v>8</v>
      </c>
      <c r="U12" s="1575">
        <f t="shared" si="1"/>
        <v>113</v>
      </c>
      <c r="V12" s="1574" t="s">
        <v>8</v>
      </c>
      <c r="W12" s="1575">
        <f t="shared" si="2"/>
        <v>113</v>
      </c>
      <c r="X12" s="1576"/>
      <c r="Y12" s="3314"/>
      <c r="Z12" s="1153" t="str">
        <f t="shared" si="7"/>
        <v>土地使用年限（年）</v>
      </c>
      <c r="AA12" s="1577">
        <f t="shared" si="3"/>
        <v>0.88495575221238942</v>
      </c>
      <c r="AB12" s="1577">
        <f t="shared" si="4"/>
        <v>0.88495575221238942</v>
      </c>
      <c r="AC12" s="1577">
        <f t="shared" si="5"/>
        <v>0.88495575221238942</v>
      </c>
    </row>
    <row r="13" spans="1:29" ht="15">
      <c r="A13" s="2955"/>
      <c r="B13" s="2959" t="s">
        <v>2774</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57"/>
      <c r="Q13" s="1154" t="str">
        <f t="shared" si="6"/>
        <v>容积率</v>
      </c>
      <c r="R13" s="1574" t="s">
        <v>8</v>
      </c>
      <c r="S13" s="1575" t="e">
        <f t="shared" si="0"/>
        <v>#N/A</v>
      </c>
      <c r="T13" s="1574" t="s">
        <v>8</v>
      </c>
      <c r="U13" s="1575" t="e">
        <f t="shared" si="1"/>
        <v>#N/A</v>
      </c>
      <c r="V13" s="1574" t="s">
        <v>8</v>
      </c>
      <c r="W13" s="1575" t="e">
        <f t="shared" si="2"/>
        <v>#N/A</v>
      </c>
      <c r="X13" s="1576"/>
      <c r="Y13" s="3314"/>
      <c r="Z13" s="1153" t="str">
        <f t="shared" si="7"/>
        <v>容积率</v>
      </c>
      <c r="AA13" s="1577" t="e">
        <f t="shared" si="3"/>
        <v>#N/A</v>
      </c>
      <c r="AB13" s="1577" t="e">
        <f t="shared" si="4"/>
        <v>#N/A</v>
      </c>
      <c r="AC13" s="1577"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57"/>
      <c r="Q14" s="1154">
        <f t="shared" si="6"/>
        <v>111</v>
      </c>
      <c r="R14" s="1574" t="s">
        <v>8</v>
      </c>
      <c r="S14" s="1575">
        <f t="shared" si="0"/>
        <v>100</v>
      </c>
      <c r="T14" s="1574" t="s">
        <v>8</v>
      </c>
      <c r="U14" s="1575">
        <f t="shared" si="1"/>
        <v>100</v>
      </c>
      <c r="V14" s="1574" t="s">
        <v>8</v>
      </c>
      <c r="W14" s="1575">
        <f t="shared" si="2"/>
        <v>100</v>
      </c>
      <c r="X14" s="1576"/>
      <c r="Y14" s="3314"/>
      <c r="Z14" s="1153">
        <f t="shared" si="7"/>
        <v>111</v>
      </c>
      <c r="AA14" s="1577">
        <f>D14/F14</f>
        <v>1</v>
      </c>
      <c r="AB14" s="1577">
        <f>D14/H14</f>
        <v>1</v>
      </c>
      <c r="AC14" s="1577">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57"/>
      <c r="Q15" s="1154">
        <f t="shared" si="6"/>
        <v>111</v>
      </c>
      <c r="R15" s="1574" t="s">
        <v>8</v>
      </c>
      <c r="S15" s="1575">
        <f t="shared" si="0"/>
        <v>100</v>
      </c>
      <c r="T15" s="1574" t="s">
        <v>8</v>
      </c>
      <c r="U15" s="1575">
        <f t="shared" si="1"/>
        <v>100</v>
      </c>
      <c r="V15" s="1574" t="s">
        <v>8</v>
      </c>
      <c r="W15" s="1575">
        <f t="shared" si="2"/>
        <v>100</v>
      </c>
      <c r="X15" s="1576"/>
      <c r="Y15" s="3314"/>
      <c r="Z15" s="1153">
        <f t="shared" si="7"/>
        <v>111</v>
      </c>
      <c r="AA15" s="1577">
        <f t="shared" si="3"/>
        <v>1</v>
      </c>
      <c r="AB15" s="1577">
        <f t="shared" si="4"/>
        <v>1</v>
      </c>
      <c r="AC15" s="1577">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57"/>
      <c r="Q16" s="1154">
        <f t="shared" si="6"/>
        <v>111</v>
      </c>
      <c r="R16" s="1574" t="s">
        <v>8</v>
      </c>
      <c r="S16" s="1575">
        <f t="shared" si="0"/>
        <v>100</v>
      </c>
      <c r="T16" s="1574" t="s">
        <v>8</v>
      </c>
      <c r="U16" s="1575">
        <f t="shared" si="1"/>
        <v>100</v>
      </c>
      <c r="V16" s="1574" t="s">
        <v>8</v>
      </c>
      <c r="W16" s="1575">
        <f t="shared" si="2"/>
        <v>100</v>
      </c>
      <c r="X16" s="1576"/>
      <c r="Y16" s="3314"/>
      <c r="Z16" s="1153">
        <f t="shared" si="7"/>
        <v>111</v>
      </c>
      <c r="AA16" s="1577">
        <f t="shared" si="3"/>
        <v>1</v>
      </c>
      <c r="AB16" s="1577">
        <f t="shared" si="4"/>
        <v>1</v>
      </c>
      <c r="AC16" s="1577">
        <f t="shared" si="5"/>
        <v>1</v>
      </c>
    </row>
    <row r="17" spans="1:29" ht="57">
      <c r="A17" s="2949" t="s">
        <v>2770</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59" t="s">
        <v>541</v>
      </c>
      <c r="Q17" s="1578" t="str">
        <f t="shared" si="6"/>
        <v>产业集聚程度</v>
      </c>
      <c r="R17" s="1579" t="s">
        <v>8</v>
      </c>
      <c r="S17" s="1580">
        <f t="shared" si="0"/>
        <v>100</v>
      </c>
      <c r="T17" s="1579" t="s">
        <v>8</v>
      </c>
      <c r="U17" s="1580">
        <f t="shared" si="1"/>
        <v>100</v>
      </c>
      <c r="V17" s="1579" t="s">
        <v>8</v>
      </c>
      <c r="W17" s="1580">
        <f t="shared" si="2"/>
        <v>100</v>
      </c>
      <c r="X17" s="1573"/>
      <c r="Y17" s="3359" t="s">
        <v>541</v>
      </c>
      <c r="Z17" s="1581" t="str">
        <f t="shared" si="7"/>
        <v>产业集聚程度</v>
      </c>
      <c r="AA17" s="1582">
        <f t="shared" si="3"/>
        <v>1</v>
      </c>
      <c r="AB17" s="1582">
        <f t="shared" si="4"/>
        <v>1</v>
      </c>
      <c r="AC17" s="1582">
        <f t="shared" si="5"/>
        <v>1</v>
      </c>
    </row>
    <row r="18" spans="1:29" ht="15">
      <c r="A18" s="535"/>
      <c r="B18" s="872"/>
      <c r="C18" s="579"/>
      <c r="D18" s="558"/>
      <c r="E18" s="557"/>
      <c r="F18" s="558"/>
      <c r="G18" s="557"/>
      <c r="H18" s="562"/>
      <c r="I18" s="557"/>
      <c r="J18" s="558"/>
      <c r="K18" s="534"/>
      <c r="L18" s="2152"/>
      <c r="M18" s="2144"/>
      <c r="N18" s="2144"/>
      <c r="O18" s="2151"/>
      <c r="P18" s="3360"/>
      <c r="Q18" s="1578"/>
      <c r="R18" s="1579"/>
      <c r="S18" s="1580"/>
      <c r="T18" s="1579"/>
      <c r="U18" s="1580"/>
      <c r="V18" s="1579"/>
      <c r="W18" s="1580"/>
      <c r="X18" s="1573"/>
      <c r="Y18" s="3360"/>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60"/>
      <c r="Q19" s="1578" t="str">
        <f>B19</f>
        <v>交通便捷度</v>
      </c>
      <c r="R19" s="1579" t="s">
        <v>8</v>
      </c>
      <c r="S19" s="1580">
        <f>F19</f>
        <v>100</v>
      </c>
      <c r="T19" s="1579" t="s">
        <v>8</v>
      </c>
      <c r="U19" s="1580">
        <f>H19</f>
        <v>100</v>
      </c>
      <c r="V19" s="1579" t="s">
        <v>8</v>
      </c>
      <c r="W19" s="1580">
        <f>J19</f>
        <v>100</v>
      </c>
      <c r="X19" s="1573"/>
      <c r="Y19" s="3360"/>
      <c r="Z19" s="1581" t="str">
        <f>Q19</f>
        <v>交通便捷度</v>
      </c>
      <c r="AA19" s="1582">
        <f t="shared" si="3"/>
        <v>1</v>
      </c>
      <c r="AB19" s="1582">
        <f t="shared" si="4"/>
        <v>1</v>
      </c>
      <c r="AC19" s="1582">
        <f t="shared" si="5"/>
        <v>1</v>
      </c>
    </row>
    <row r="20" spans="1:29" ht="15">
      <c r="A20" s="535"/>
      <c r="B20" s="925"/>
      <c r="C20" s="579"/>
      <c r="D20" s="558"/>
      <c r="E20" s="559"/>
      <c r="F20" s="558"/>
      <c r="G20" s="559"/>
      <c r="H20" s="558"/>
      <c r="I20" s="561"/>
      <c r="J20" s="558"/>
      <c r="K20" s="534"/>
      <c r="L20" s="2152"/>
      <c r="M20" s="2144"/>
      <c r="N20" s="2144"/>
      <c r="O20" s="2151"/>
      <c r="P20" s="3360"/>
      <c r="Q20" s="1578"/>
      <c r="R20" s="1579"/>
      <c r="S20" s="1580"/>
      <c r="T20" s="1579"/>
      <c r="U20" s="1580"/>
      <c r="V20" s="1579"/>
      <c r="W20" s="1580"/>
      <c r="X20" s="1573"/>
      <c r="Y20" s="3360"/>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60"/>
      <c r="Q21" s="1578" t="str">
        <f t="shared" ref="Q21:Q35" si="8">B21</f>
        <v>区域土地利用方向</v>
      </c>
      <c r="R21" s="1579" t="s">
        <v>8</v>
      </c>
      <c r="S21" s="1580">
        <f>F21</f>
        <v>100</v>
      </c>
      <c r="T21" s="1579" t="s">
        <v>8</v>
      </c>
      <c r="U21" s="1580">
        <f>H21</f>
        <v>100</v>
      </c>
      <c r="V21" s="1579" t="s">
        <v>8</v>
      </c>
      <c r="W21" s="1580">
        <f>J21</f>
        <v>100</v>
      </c>
      <c r="X21" s="1573"/>
      <c r="Y21" s="3360"/>
      <c r="Z21" s="1581" t="str">
        <f>Q21</f>
        <v>区域土地利用方向</v>
      </c>
      <c r="AA21" s="1582">
        <f t="shared" si="3"/>
        <v>1</v>
      </c>
      <c r="AB21" s="1582">
        <f t="shared" si="4"/>
        <v>1</v>
      </c>
      <c r="AC21" s="1582">
        <f t="shared" si="5"/>
        <v>1</v>
      </c>
    </row>
    <row r="22" spans="1:29" ht="15">
      <c r="A22" s="518"/>
      <c r="B22" s="598"/>
      <c r="C22" s="579"/>
      <c r="D22" s="558"/>
      <c r="E22" s="559"/>
      <c r="F22" s="560"/>
      <c r="G22" s="561"/>
      <c r="H22" s="560"/>
      <c r="I22" s="561"/>
      <c r="J22" s="560"/>
      <c r="K22" s="1351"/>
      <c r="L22" s="2152"/>
      <c r="M22" s="2144"/>
      <c r="N22" s="2144"/>
      <c r="O22" s="2151"/>
      <c r="P22" s="3360"/>
      <c r="Q22" s="1578"/>
      <c r="R22" s="1579"/>
      <c r="S22" s="1580"/>
      <c r="T22" s="1579"/>
      <c r="U22" s="1580"/>
      <c r="V22" s="1579"/>
      <c r="W22" s="1580"/>
      <c r="X22" s="1573"/>
      <c r="Y22" s="3360"/>
      <c r="Z22" s="1581"/>
      <c r="AA22" s="1582"/>
      <c r="AB22" s="1582"/>
      <c r="AC22" s="1582"/>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60"/>
      <c r="Q23" s="1578" t="str">
        <f t="shared" si="8"/>
        <v>环境状况</v>
      </c>
      <c r="R23" s="1579" t="s">
        <v>8</v>
      </c>
      <c r="S23" s="1580">
        <f>F23</f>
        <v>100</v>
      </c>
      <c r="T23" s="1579" t="s">
        <v>8</v>
      </c>
      <c r="U23" s="1580">
        <f>H23</f>
        <v>100</v>
      </c>
      <c r="V23" s="1579" t="s">
        <v>8</v>
      </c>
      <c r="W23" s="1580">
        <f>J23</f>
        <v>100</v>
      </c>
      <c r="X23" s="1573"/>
      <c r="Y23" s="3360"/>
      <c r="Z23" s="1581" t="str">
        <f>Q23</f>
        <v>环境状况</v>
      </c>
      <c r="AA23" s="1582">
        <f t="shared" si="3"/>
        <v>1</v>
      </c>
      <c r="AB23" s="1582">
        <f t="shared" si="4"/>
        <v>1</v>
      </c>
      <c r="AC23" s="1582">
        <f t="shared" si="5"/>
        <v>1</v>
      </c>
    </row>
    <row r="24" spans="1:29" ht="15">
      <c r="A24" s="518"/>
      <c r="B24" s="598"/>
      <c r="C24" s="579"/>
      <c r="D24" s="558"/>
      <c r="E24" s="557"/>
      <c r="F24" s="558"/>
      <c r="G24" s="557"/>
      <c r="H24" s="558"/>
      <c r="I24" s="579"/>
      <c r="J24" s="558"/>
      <c r="K24" s="534"/>
      <c r="L24" s="2152"/>
      <c r="M24" s="2144"/>
      <c r="N24" s="2144"/>
      <c r="O24" s="2151"/>
      <c r="P24" s="3360"/>
      <c r="Q24" s="1578"/>
      <c r="R24" s="1579"/>
      <c r="S24" s="1580"/>
      <c r="T24" s="1579"/>
      <c r="U24" s="1580"/>
      <c r="V24" s="1579"/>
      <c r="W24" s="1580"/>
      <c r="X24" s="1573"/>
      <c r="Y24" s="3360"/>
      <c r="Z24" s="1581"/>
      <c r="AA24" s="1582">
        <v>1</v>
      </c>
      <c r="AB24" s="1582">
        <v>1</v>
      </c>
      <c r="AC24" s="1582">
        <v>1</v>
      </c>
    </row>
    <row r="25" spans="1:29" s="1223" customFormat="1" ht="42.75">
      <c r="A25" s="580"/>
      <c r="B25" s="2628" t="s">
        <v>2562</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60"/>
      <c r="Q25" s="1154" t="str">
        <f t="shared" si="8"/>
        <v>公共配套设施</v>
      </c>
      <c r="R25" s="1574" t="s">
        <v>8</v>
      </c>
      <c r="S25" s="1575">
        <f>F25</f>
        <v>100</v>
      </c>
      <c r="T25" s="1574" t="s">
        <v>8</v>
      </c>
      <c r="U25" s="1575">
        <f>H25</f>
        <v>100</v>
      </c>
      <c r="V25" s="1574" t="s">
        <v>8</v>
      </c>
      <c r="W25" s="1575">
        <f>J25</f>
        <v>100</v>
      </c>
      <c r="X25" s="1576"/>
      <c r="Y25" s="3360"/>
      <c r="Z25" s="1153" t="str">
        <f>Q25</f>
        <v>公共配套设施</v>
      </c>
      <c r="AA25" s="1582">
        <f>D25/F25</f>
        <v>1</v>
      </c>
      <c r="AB25" s="1582">
        <f>D25/H25</f>
        <v>1</v>
      </c>
      <c r="AC25" s="1582">
        <f>D25/J25</f>
        <v>1</v>
      </c>
    </row>
    <row r="26" spans="1:29" s="1223" customFormat="1" ht="15">
      <c r="A26" s="580"/>
      <c r="B26" s="598"/>
      <c r="C26" s="2627"/>
      <c r="D26" s="558"/>
      <c r="E26" s="557"/>
      <c r="F26" s="558"/>
      <c r="G26" s="557"/>
      <c r="H26" s="558"/>
      <c r="I26" s="579"/>
      <c r="J26" s="558"/>
      <c r="K26" s="534"/>
      <c r="L26" s="2145"/>
      <c r="M26" s="2146"/>
      <c r="N26" s="2146"/>
      <c r="O26" s="2147"/>
      <c r="P26" s="3360"/>
      <c r="Q26" s="1154"/>
      <c r="R26" s="1574"/>
      <c r="S26" s="1575"/>
      <c r="T26" s="1574"/>
      <c r="U26" s="1575"/>
      <c r="V26" s="1574"/>
      <c r="W26" s="1575"/>
      <c r="X26" s="1576"/>
      <c r="Y26" s="3360"/>
      <c r="Z26" s="1153"/>
      <c r="AA26" s="1577">
        <v>1</v>
      </c>
      <c r="AB26" s="1577">
        <v>1</v>
      </c>
      <c r="AC26" s="1577">
        <v>1</v>
      </c>
    </row>
    <row r="27" spans="1:29" s="1223" customFormat="1" ht="28.5">
      <c r="A27" s="580"/>
      <c r="B27" s="2628" t="s">
        <v>2563</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60"/>
      <c r="Q27" s="2613" t="str">
        <f t="shared" ref="Q27" si="9">B27</f>
        <v>基础设施水平</v>
      </c>
      <c r="R27" s="1574" t="s">
        <v>8</v>
      </c>
      <c r="S27" s="1575">
        <f>F27</f>
        <v>100</v>
      </c>
      <c r="T27" s="1574" t="s">
        <v>8</v>
      </c>
      <c r="U27" s="1575">
        <f>H27</f>
        <v>100</v>
      </c>
      <c r="V27" s="1574" t="s">
        <v>8</v>
      </c>
      <c r="W27" s="1575">
        <f>J27</f>
        <v>100</v>
      </c>
      <c r="X27" s="1576"/>
      <c r="Y27" s="3360"/>
      <c r="Z27" s="2610" t="str">
        <f>Q27</f>
        <v>基础设施水平</v>
      </c>
      <c r="AA27" s="1582">
        <f>D27/F27</f>
        <v>1</v>
      </c>
      <c r="AB27" s="1582">
        <f>D27/H27</f>
        <v>1</v>
      </c>
      <c r="AC27" s="1582">
        <f>D27/J27</f>
        <v>1</v>
      </c>
    </row>
    <row r="28" spans="1:29" s="1223" customFormat="1" ht="15">
      <c r="A28" s="580"/>
      <c r="B28" s="598"/>
      <c r="C28" s="2627"/>
      <c r="D28" s="558"/>
      <c r="E28" s="582"/>
      <c r="F28" s="558"/>
      <c r="G28" s="582"/>
      <c r="H28" s="558"/>
      <c r="I28" s="582"/>
      <c r="J28" s="558"/>
      <c r="K28" s="534"/>
      <c r="L28" s="2145"/>
      <c r="M28" s="2146"/>
      <c r="N28" s="2146"/>
      <c r="O28" s="2147"/>
      <c r="P28" s="3360"/>
      <c r="Q28" s="2613"/>
      <c r="R28" s="1574"/>
      <c r="S28" s="1575"/>
      <c r="T28" s="1574"/>
      <c r="U28" s="1575"/>
      <c r="V28" s="1574"/>
      <c r="W28" s="1575"/>
      <c r="X28" s="1576"/>
      <c r="Y28" s="3360"/>
      <c r="Z28" s="2610"/>
      <c r="AA28" s="1577">
        <v>1</v>
      </c>
      <c r="AB28" s="1577">
        <v>1</v>
      </c>
      <c r="AC28" s="1577">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60"/>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60"/>
      <c r="Z29" s="1581" t="str">
        <f t="shared" ref="Z29:Z42" si="13">Q29</f>
        <v>临街状况</v>
      </c>
      <c r="AA29" s="1582">
        <f t="shared" si="3"/>
        <v>1</v>
      </c>
      <c r="AB29" s="1582">
        <f t="shared" si="4"/>
        <v>1</v>
      </c>
      <c r="AC29" s="1582">
        <f t="shared" si="5"/>
        <v>1</v>
      </c>
    </row>
    <row r="30" spans="1:29" ht="27">
      <c r="A30" s="535"/>
      <c r="B30" s="925" t="s">
        <v>549</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60"/>
      <c r="Q30" s="1578" t="str">
        <f t="shared" si="8"/>
        <v>毗邻道路的类型与等级</v>
      </c>
      <c r="R30" s="1579" t="s">
        <v>8</v>
      </c>
      <c r="S30" s="1580">
        <f t="shared" si="10"/>
        <v>100</v>
      </c>
      <c r="T30" s="1579" t="s">
        <v>8</v>
      </c>
      <c r="U30" s="1580">
        <f t="shared" si="11"/>
        <v>100</v>
      </c>
      <c r="V30" s="1579" t="s">
        <v>8</v>
      </c>
      <c r="W30" s="1580">
        <f t="shared" si="12"/>
        <v>100</v>
      </c>
      <c r="X30" s="1573"/>
      <c r="Y30" s="3360"/>
      <c r="Z30" s="1581" t="str">
        <f t="shared" si="13"/>
        <v>毗邻道路的类型与等级</v>
      </c>
      <c r="AA30" s="1582">
        <f t="shared" si="3"/>
        <v>1</v>
      </c>
      <c r="AB30" s="1582">
        <f t="shared" si="4"/>
        <v>1</v>
      </c>
      <c r="AC30" s="1582">
        <f t="shared" si="5"/>
        <v>1</v>
      </c>
    </row>
    <row r="31" spans="1:29" ht="15">
      <c r="A31" s="535"/>
      <c r="B31" s="598"/>
      <c r="C31" s="579"/>
      <c r="D31" s="558"/>
      <c r="E31" s="557"/>
      <c r="F31" s="558"/>
      <c r="G31" s="557"/>
      <c r="H31" s="558"/>
      <c r="I31" s="579"/>
      <c r="J31" s="558"/>
      <c r="K31" s="584"/>
      <c r="L31" s="2152"/>
      <c r="M31" s="2144"/>
      <c r="N31" s="2144"/>
      <c r="O31" s="2151"/>
      <c r="P31" s="3360"/>
      <c r="Q31" s="1578"/>
      <c r="R31" s="1579"/>
      <c r="S31" s="1580"/>
      <c r="T31" s="1579"/>
      <c r="U31" s="1580"/>
      <c r="V31" s="1579"/>
      <c r="W31" s="1580"/>
      <c r="X31" s="1573"/>
      <c r="Y31" s="3360"/>
      <c r="Z31" s="1581"/>
      <c r="AA31" s="1582">
        <v>1</v>
      </c>
      <c r="AB31" s="1582">
        <v>1</v>
      </c>
      <c r="AC31" s="1582">
        <v>1</v>
      </c>
    </row>
    <row r="32" spans="1:29" ht="15">
      <c r="A32" s="535"/>
      <c r="B32" s="530" t="s">
        <v>550</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60"/>
      <c r="Q32" s="1578" t="str">
        <f t="shared" si="8"/>
        <v>土地级别</v>
      </c>
      <c r="R32" s="1579" t="s">
        <v>8</v>
      </c>
      <c r="S32" s="1580">
        <f t="shared" si="10"/>
        <v>100</v>
      </c>
      <c r="T32" s="1579" t="s">
        <v>8</v>
      </c>
      <c r="U32" s="1580">
        <f t="shared" si="11"/>
        <v>100</v>
      </c>
      <c r="V32" s="1579" t="s">
        <v>8</v>
      </c>
      <c r="W32" s="1580">
        <f t="shared" si="12"/>
        <v>100</v>
      </c>
      <c r="X32" s="1573"/>
      <c r="Y32" s="3360"/>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60"/>
      <c r="Q33" s="1578">
        <f t="shared" si="8"/>
        <v>111</v>
      </c>
      <c r="R33" s="1579" t="s">
        <v>8</v>
      </c>
      <c r="S33" s="1580">
        <f t="shared" si="10"/>
        <v>100</v>
      </c>
      <c r="T33" s="1579" t="s">
        <v>8</v>
      </c>
      <c r="U33" s="1580">
        <f t="shared" si="11"/>
        <v>100</v>
      </c>
      <c r="V33" s="1579" t="s">
        <v>8</v>
      </c>
      <c r="W33" s="1580">
        <f t="shared" si="12"/>
        <v>100</v>
      </c>
      <c r="X33" s="1573"/>
      <c r="Y33" s="3360"/>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61" t="s">
        <v>551</v>
      </c>
      <c r="Q34" s="1578">
        <f t="shared" si="8"/>
        <v>111</v>
      </c>
      <c r="R34" s="1579" t="s">
        <v>8</v>
      </c>
      <c r="S34" s="1580">
        <f t="shared" si="10"/>
        <v>100</v>
      </c>
      <c r="T34" s="1579" t="s">
        <v>8</v>
      </c>
      <c r="U34" s="1580">
        <f t="shared" si="11"/>
        <v>100</v>
      </c>
      <c r="V34" s="1579" t="s">
        <v>8</v>
      </c>
      <c r="W34" s="1580">
        <f t="shared" si="12"/>
        <v>100</v>
      </c>
      <c r="X34" s="1573"/>
      <c r="Y34" s="3362" t="s">
        <v>551</v>
      </c>
      <c r="Z34" s="1581">
        <f t="shared" si="13"/>
        <v>111</v>
      </c>
      <c r="AA34" s="1582">
        <f t="shared" si="3"/>
        <v>1</v>
      </c>
      <c r="AB34" s="1582">
        <f t="shared" si="4"/>
        <v>1</v>
      </c>
      <c r="AC34" s="1582">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62"/>
      <c r="Q35" s="1578">
        <f t="shared" si="8"/>
        <v>111</v>
      </c>
      <c r="R35" s="1583" t="s">
        <v>8</v>
      </c>
      <c r="S35" s="1584">
        <f t="shared" si="10"/>
        <v>100</v>
      </c>
      <c r="T35" s="1583" t="s">
        <v>8</v>
      </c>
      <c r="U35" s="1584">
        <f t="shared" si="11"/>
        <v>100</v>
      </c>
      <c r="V35" s="1583" t="s">
        <v>8</v>
      </c>
      <c r="W35" s="1584">
        <f t="shared" si="12"/>
        <v>100</v>
      </c>
      <c r="X35" s="1585"/>
      <c r="Y35" s="3362"/>
      <c r="Z35" s="1586">
        <f t="shared" si="13"/>
        <v>111</v>
      </c>
      <c r="AA35" s="1582">
        <f t="shared" si="3"/>
        <v>1</v>
      </c>
      <c r="AB35" s="1582">
        <f t="shared" si="4"/>
        <v>1</v>
      </c>
      <c r="AC35" s="1582">
        <f t="shared" si="5"/>
        <v>1</v>
      </c>
    </row>
    <row r="36" spans="1:29" ht="15">
      <c r="A36" s="2946" t="s">
        <v>2771</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62"/>
      <c r="Q36" s="1578" t="str">
        <f>B36</f>
        <v>宗地面积</v>
      </c>
      <c r="R36" s="1579" t="s">
        <v>8</v>
      </c>
      <c r="S36" s="1580" t="e">
        <f t="shared" si="10"/>
        <v>#N/A</v>
      </c>
      <c r="T36" s="1579" t="s">
        <v>8</v>
      </c>
      <c r="U36" s="1580" t="e">
        <f t="shared" si="11"/>
        <v>#N/A</v>
      </c>
      <c r="V36" s="1579" t="s">
        <v>8</v>
      </c>
      <c r="W36" s="1580" t="e">
        <f t="shared" si="12"/>
        <v>#N/A</v>
      </c>
      <c r="X36" s="1573"/>
      <c r="Y36" s="3362"/>
      <c r="Z36" s="1581" t="str">
        <f t="shared" si="13"/>
        <v>宗地面积</v>
      </c>
      <c r="AA36" s="1582" t="e">
        <f t="shared" si="3"/>
        <v>#N/A</v>
      </c>
      <c r="AB36" s="1582" t="e">
        <f t="shared" si="4"/>
        <v>#N/A</v>
      </c>
      <c r="AC36" s="1582"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62"/>
      <c r="Q37" s="1578" t="str">
        <f t="shared" ref="Q37:Q42" si="14">B37</f>
        <v>宗地形状</v>
      </c>
      <c r="R37" s="1579" t="s">
        <v>8</v>
      </c>
      <c r="S37" s="1580">
        <f t="shared" si="10"/>
        <v>100</v>
      </c>
      <c r="T37" s="1579" t="s">
        <v>8</v>
      </c>
      <c r="U37" s="1580">
        <f t="shared" si="11"/>
        <v>100</v>
      </c>
      <c r="V37" s="1579" t="s">
        <v>8</v>
      </c>
      <c r="W37" s="1580">
        <f t="shared" si="12"/>
        <v>100</v>
      </c>
      <c r="X37" s="1573"/>
      <c r="Y37" s="3362"/>
      <c r="Z37" s="1581" t="str">
        <f t="shared" si="13"/>
        <v>宗地形状</v>
      </c>
      <c r="AA37" s="1582">
        <f t="shared" si="3"/>
        <v>1</v>
      </c>
      <c r="AB37" s="1582">
        <f t="shared" si="4"/>
        <v>1</v>
      </c>
      <c r="AC37" s="1582">
        <f t="shared" si="5"/>
        <v>1</v>
      </c>
    </row>
    <row r="38" spans="1:29" s="1223" customFormat="1" ht="15">
      <c r="A38" s="603"/>
      <c r="B38" s="1901" t="s">
        <v>2436</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62"/>
      <c r="Q38" s="1578" t="str">
        <f t="shared" si="14"/>
        <v>宗地开发程度</v>
      </c>
      <c r="R38" s="1574" t="s">
        <v>8</v>
      </c>
      <c r="S38" s="1575">
        <f t="shared" si="10"/>
        <v>100</v>
      </c>
      <c r="T38" s="1574" t="s">
        <v>8</v>
      </c>
      <c r="U38" s="1575">
        <f t="shared" si="11"/>
        <v>100</v>
      </c>
      <c r="V38" s="1574" t="s">
        <v>8</v>
      </c>
      <c r="W38" s="1575">
        <f t="shared" si="12"/>
        <v>100</v>
      </c>
      <c r="X38" s="1576"/>
      <c r="Y38" s="3362"/>
      <c r="Z38" s="1153" t="str">
        <f t="shared" si="13"/>
        <v>宗地开发程度</v>
      </c>
      <c r="AA38" s="1577">
        <f t="shared" si="3"/>
        <v>1</v>
      </c>
      <c r="AB38" s="1577">
        <f t="shared" si="4"/>
        <v>1</v>
      </c>
      <c r="AC38" s="1577">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62" t="s">
        <v>602</v>
      </c>
      <c r="Q39" s="1578" t="str">
        <f t="shared" si="14"/>
        <v>工程地质条件</v>
      </c>
      <c r="R39" s="1579" t="s">
        <v>8</v>
      </c>
      <c r="S39" s="1580">
        <f t="shared" si="10"/>
        <v>100</v>
      </c>
      <c r="T39" s="1579" t="s">
        <v>8</v>
      </c>
      <c r="U39" s="1580">
        <f t="shared" si="11"/>
        <v>100</v>
      </c>
      <c r="V39" s="1579" t="s">
        <v>8</v>
      </c>
      <c r="W39" s="1580">
        <f t="shared" si="12"/>
        <v>100</v>
      </c>
      <c r="X39" s="1573"/>
      <c r="Y39" s="3362"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62"/>
      <c r="Q40" s="1578">
        <f t="shared" si="14"/>
        <v>111</v>
      </c>
      <c r="R40" s="1579" t="s">
        <v>8</v>
      </c>
      <c r="S40" s="1580">
        <f t="shared" si="10"/>
        <v>100</v>
      </c>
      <c r="T40" s="1579" t="s">
        <v>8</v>
      </c>
      <c r="U40" s="1580">
        <f t="shared" si="11"/>
        <v>100</v>
      </c>
      <c r="V40" s="1579" t="s">
        <v>8</v>
      </c>
      <c r="W40" s="1580">
        <f t="shared" si="12"/>
        <v>100</v>
      </c>
      <c r="X40" s="1573"/>
      <c r="Y40" s="3362"/>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62"/>
      <c r="Q41" s="1578">
        <f t="shared" si="14"/>
        <v>111</v>
      </c>
      <c r="R41" s="1579" t="s">
        <v>8</v>
      </c>
      <c r="S41" s="1580">
        <f t="shared" si="10"/>
        <v>100</v>
      </c>
      <c r="T41" s="1579" t="s">
        <v>8</v>
      </c>
      <c r="U41" s="1580">
        <f t="shared" si="11"/>
        <v>100</v>
      </c>
      <c r="V41" s="1579" t="s">
        <v>8</v>
      </c>
      <c r="W41" s="1580">
        <f t="shared" si="12"/>
        <v>100</v>
      </c>
      <c r="X41" s="1573"/>
      <c r="Y41" s="3362"/>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62"/>
      <c r="Q42" s="1578">
        <f t="shared" si="14"/>
        <v>111</v>
      </c>
      <c r="R42" s="1583" t="s">
        <v>8</v>
      </c>
      <c r="S42" s="1584">
        <f t="shared" si="10"/>
        <v>100</v>
      </c>
      <c r="T42" s="1583" t="s">
        <v>8</v>
      </c>
      <c r="U42" s="1584">
        <f t="shared" si="11"/>
        <v>100</v>
      </c>
      <c r="V42" s="1583" t="s">
        <v>8</v>
      </c>
      <c r="W42" s="1584">
        <f t="shared" si="12"/>
        <v>100</v>
      </c>
      <c r="X42" s="1585"/>
      <c r="Y42" s="3362"/>
      <c r="Z42" s="1586">
        <f t="shared" si="13"/>
        <v>111</v>
      </c>
      <c r="AA42" s="1582">
        <f t="shared" si="3"/>
        <v>1</v>
      </c>
      <c r="AB42" s="1582">
        <f t="shared" si="4"/>
        <v>1</v>
      </c>
      <c r="AC42" s="1582">
        <f t="shared" si="5"/>
        <v>1</v>
      </c>
    </row>
    <row r="43" spans="1:29" ht="15">
      <c r="A43" s="610" t="s">
        <v>557</v>
      </c>
      <c r="B43" s="611" t="s">
        <v>2947</v>
      </c>
      <c r="C43" s="612" t="s">
        <v>1</v>
      </c>
      <c r="D43" s="613"/>
      <c r="E43" s="614"/>
      <c r="F43" s="615"/>
      <c r="G43" s="616"/>
      <c r="H43" s="617"/>
      <c r="I43" s="614"/>
      <c r="J43" s="617"/>
      <c r="K43" s="1343"/>
      <c r="L43" s="2154"/>
      <c r="M43" s="2144"/>
      <c r="N43" s="2144"/>
      <c r="O43" s="2155"/>
      <c r="P43" s="3357" t="str">
        <f>A43</f>
        <v>成交单价</v>
      </c>
      <c r="Q43" s="3357"/>
      <c r="R43" s="3371">
        <f>E43</f>
        <v>0</v>
      </c>
      <c r="S43" s="3371"/>
      <c r="T43" s="3371">
        <f>G43</f>
        <v>0</v>
      </c>
      <c r="U43" s="3371"/>
      <c r="V43" s="3371">
        <f>I43</f>
        <v>0</v>
      </c>
      <c r="W43" s="3371"/>
      <c r="X43" s="1565"/>
      <c r="Y43" s="1587"/>
      <c r="Z43" s="1565"/>
      <c r="AA43" s="1565"/>
      <c r="AB43" s="1565"/>
      <c r="AC43" s="1565"/>
    </row>
    <row r="44" spans="1:29" ht="15.75" thickBot="1">
      <c r="A44" s="618" t="s">
        <v>2709</v>
      </c>
      <c r="B44" s="619"/>
      <c r="C44" s="620" t="e">
        <f>R45</f>
        <v>#DIV/0!</v>
      </c>
      <c r="D44" s="621"/>
      <c r="E44" s="620" t="e">
        <f>R44</f>
        <v>#DIV/0!</v>
      </c>
      <c r="F44" s="622"/>
      <c r="G44" s="623" t="e">
        <f>T44</f>
        <v>#DIV/0!</v>
      </c>
      <c r="H44" s="621"/>
      <c r="I44" s="620" t="e">
        <f>V44</f>
        <v>#DIV/0!</v>
      </c>
      <c r="J44" s="621"/>
      <c r="K44" s="1344"/>
      <c r="L44" s="2154"/>
      <c r="M44" s="2144"/>
      <c r="N44" s="2144"/>
      <c r="O44" s="2155"/>
      <c r="P44" s="3357" t="str">
        <f>A44</f>
        <v>比较价格（元/平方米）</v>
      </c>
      <c r="Q44" s="3357"/>
      <c r="R44" s="3381" t="e">
        <f>ROUND(PRODUCT(R43,AA9:AA42),0)</f>
        <v>#DIV/0!</v>
      </c>
      <c r="S44" s="3381"/>
      <c r="T44" s="3381" t="e">
        <f>ROUND(PRODUCT(T43,AB9:AB42),0)</f>
        <v>#DIV/0!</v>
      </c>
      <c r="U44" s="3381"/>
      <c r="V44" s="3381" t="e">
        <f>ROUND(PRODUCT(V43,AC9:AC42),0)</f>
        <v>#DIV/0!</v>
      </c>
      <c r="W44" s="3381"/>
      <c r="X44" s="1565"/>
      <c r="Y44" s="1565"/>
      <c r="Z44" s="1565"/>
      <c r="AA44" s="1565"/>
      <c r="AB44" s="1565"/>
      <c r="AC44" s="1565"/>
    </row>
    <row r="45" spans="1:29" ht="15.75" thickBot="1">
      <c r="A45" s="624" t="s">
        <v>2948</v>
      </c>
      <c r="B45" s="625"/>
      <c r="C45" s="626" t="e">
        <f>R45</f>
        <v>#DIV/0!</v>
      </c>
      <c r="D45" s="626"/>
      <c r="E45" s="626"/>
      <c r="F45" s="626"/>
      <c r="G45" s="626"/>
      <c r="H45" s="626"/>
      <c r="I45" s="626"/>
      <c r="J45" s="626"/>
      <c r="K45" s="1345"/>
      <c r="L45" s="2154"/>
      <c r="M45" s="2144"/>
      <c r="N45" s="2144"/>
      <c r="O45" s="2155"/>
      <c r="P45" s="3378" t="str">
        <f>A45</f>
        <v>估价对象XX用房的比较价格（楼面单价，元/平方米）</v>
      </c>
      <c r="Q45" s="3379"/>
      <c r="R45" s="3380" t="e">
        <f>ROUND(AVERAGE(R44:V44),0)</f>
        <v>#DIV/0!</v>
      </c>
      <c r="S45" s="3380"/>
      <c r="T45" s="3380"/>
      <c r="U45" s="3380"/>
      <c r="V45" s="3380"/>
      <c r="W45" s="3380"/>
      <c r="X45" s="1565"/>
      <c r="Y45" s="1565"/>
      <c r="Z45" s="1565"/>
      <c r="AA45" s="1565"/>
      <c r="AB45" s="1565"/>
      <c r="AC45" s="1565"/>
    </row>
    <row r="46" spans="1:29">
      <c r="A46" s="2155"/>
      <c r="B46" s="2155"/>
      <c r="C46" s="2155"/>
      <c r="D46" s="2155"/>
      <c r="E46" s="2155"/>
      <c r="F46" s="2155"/>
      <c r="G46" s="2158"/>
      <c r="H46" s="2155"/>
      <c r="I46" s="2155"/>
      <c r="J46" s="2155"/>
      <c r="K46" s="2159"/>
      <c r="L46" s="2160"/>
      <c r="M46" s="2144"/>
      <c r="N46" s="2144"/>
      <c r="O46" s="2155"/>
      <c r="P46" s="1565"/>
      <c r="Q46" s="1565"/>
      <c r="R46" s="1565"/>
      <c r="S46" s="1565"/>
      <c r="T46" s="1565"/>
      <c r="U46" s="1565"/>
      <c r="V46" s="1565"/>
      <c r="W46" s="1565"/>
      <c r="X46" s="1565"/>
      <c r="Y46" s="1565"/>
      <c r="Z46" s="1565"/>
      <c r="AA46" s="1565"/>
      <c r="AB46" s="1565"/>
      <c r="AC46" s="1565"/>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561</v>
      </c>
      <c r="B52" s="633" t="s">
        <v>562</v>
      </c>
      <c r="C52" s="1566" t="s">
        <v>1727</v>
      </c>
      <c r="D52" s="2237" t="s">
        <v>2303</v>
      </c>
      <c r="E52" s="634" t="s">
        <v>563</v>
      </c>
      <c r="F52" s="1957" t="s">
        <v>564</v>
      </c>
      <c r="G52" s="3382" t="s">
        <v>2294</v>
      </c>
      <c r="H52" s="3383"/>
      <c r="I52" s="1958" t="s">
        <v>1954</v>
      </c>
      <c r="J52" s="1561" t="str">
        <f>项目基本情况!F41</f>
        <v>海口市</v>
      </c>
      <c r="K52" s="2164" t="s">
        <v>1726</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565</v>
      </c>
      <c r="B53" s="637" t="e">
        <f>C45</f>
        <v>#DIV/0!</v>
      </c>
      <c r="C53" s="638">
        <v>1</v>
      </c>
      <c r="D53" s="2238">
        <v>1</v>
      </c>
      <c r="E53" s="638">
        <f>'数据-汇总表'!E8+'数据-汇总表'!E9</f>
        <v>66791.740000000005</v>
      </c>
      <c r="F53" s="1956" t="e">
        <f t="shared" ref="F53:F62" si="15">ROUND(B53*E53/10000,0)</f>
        <v>#DIV/0!</v>
      </c>
      <c r="G53" s="3384"/>
      <c r="H53" s="3385"/>
      <c r="I53" s="1959">
        <v>1</v>
      </c>
      <c r="J53" s="1562">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566</v>
      </c>
      <c r="B54" s="641" t="e">
        <f>ROUND($C$45*C54*D54,0)</f>
        <v>#DIV/0!</v>
      </c>
      <c r="C54" s="381">
        <f t="shared" ref="C54:C62" si="16">IF($C$52="北京市系数",I54,J54)</f>
        <v>0</v>
      </c>
      <c r="D54" s="2239">
        <v>0.25</v>
      </c>
      <c r="E54" s="642"/>
      <c r="F54" s="1956" t="e">
        <f t="shared" si="15"/>
        <v>#DIV/0!</v>
      </c>
      <c r="G54" s="3386" t="s">
        <v>2295</v>
      </c>
      <c r="H54" s="1960">
        <f>项目基本情况!B43</f>
        <v>0</v>
      </c>
      <c r="I54" s="1959">
        <f>SUMIF(修正!$A$45:$A$56,H54,修正!B45:B56)</f>
        <v>0</v>
      </c>
      <c r="J54" s="1564"/>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567</v>
      </c>
      <c r="B55" s="641" t="e">
        <f t="shared" ref="B55:B62" si="17">ROUND($C$45*C55*D55,0)</f>
        <v>#DIV/0!</v>
      </c>
      <c r="C55" s="381">
        <f t="shared" si="16"/>
        <v>0</v>
      </c>
      <c r="D55" s="2239">
        <v>0.25</v>
      </c>
      <c r="E55" s="642"/>
      <c r="F55" s="1956" t="e">
        <f t="shared" si="15"/>
        <v>#DIV/0!</v>
      </c>
      <c r="G55" s="3386"/>
      <c r="H55" s="1961">
        <f>项目基本情况!B43</f>
        <v>0</v>
      </c>
      <c r="I55" s="1959">
        <f>SUMIF(修正!$A$45:$A$56,H55,修正!C45:C56)</f>
        <v>0</v>
      </c>
      <c r="J55" s="1564"/>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568</v>
      </c>
      <c r="B56" s="641" t="e">
        <f t="shared" si="17"/>
        <v>#DIV/0!</v>
      </c>
      <c r="C56" s="381">
        <f t="shared" si="16"/>
        <v>0</v>
      </c>
      <c r="D56" s="2239">
        <v>0.25</v>
      </c>
      <c r="E56" s="642"/>
      <c r="F56" s="1956" t="e">
        <f t="shared" si="15"/>
        <v>#DIV/0!</v>
      </c>
      <c r="G56" s="3386"/>
      <c r="H56" s="1961">
        <f>项目基本情况!B43</f>
        <v>0</v>
      </c>
      <c r="I56" s="1959">
        <f>SUMIF(修正!$A$45:$A$56,H56,修正!D45:D56)</f>
        <v>0</v>
      </c>
      <c r="J56" s="1564"/>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569</v>
      </c>
      <c r="B57" s="641" t="e">
        <f t="shared" si="17"/>
        <v>#DIV/0!</v>
      </c>
      <c r="C57" s="381">
        <f t="shared" si="16"/>
        <v>0</v>
      </c>
      <c r="D57" s="2239">
        <v>0.25</v>
      </c>
      <c r="E57" s="642"/>
      <c r="F57" s="1956" t="e">
        <f t="shared" si="15"/>
        <v>#DIV/0!</v>
      </c>
      <c r="G57" s="3386"/>
      <c r="H57" s="1961">
        <f>项目基本情况!B43</f>
        <v>0</v>
      </c>
      <c r="I57" s="1959">
        <f>SUMIF(修正!$A$45:$A$56,H57,修正!E45:E56)</f>
        <v>0</v>
      </c>
      <c r="J57" s="1564"/>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2339</v>
      </c>
      <c r="B58" s="641" t="e">
        <f t="shared" si="17"/>
        <v>#DIV/0!</v>
      </c>
      <c r="C58" s="381">
        <f t="shared" si="16"/>
        <v>0</v>
      </c>
      <c r="D58" s="2239">
        <v>0.25</v>
      </c>
      <c r="E58" s="644">
        <f>'数据-汇总表'!E11</f>
        <v>0</v>
      </c>
      <c r="F58" s="1956" t="e">
        <f t="shared" si="15"/>
        <v>#DIV/0!</v>
      </c>
      <c r="G58" s="1962" t="s">
        <v>2296</v>
      </c>
      <c r="H58" s="1961">
        <f>项目基本情况!C43</f>
        <v>0</v>
      </c>
      <c r="I58" s="1959">
        <f>SUMIF(修正!$A$45:$A$56,H58,修正!F45:F56)</f>
        <v>0</v>
      </c>
      <c r="J58" s="1564"/>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570</v>
      </c>
      <c r="B59" s="641" t="e">
        <f t="shared" si="17"/>
        <v>#DIV/0!</v>
      </c>
      <c r="C59" s="381">
        <f t="shared" si="16"/>
        <v>0</v>
      </c>
      <c r="D59" s="2239">
        <v>0.25</v>
      </c>
      <c r="E59" s="644">
        <f>'数据-汇总表'!E12</f>
        <v>0</v>
      </c>
      <c r="F59" s="1956" t="e">
        <f t="shared" si="15"/>
        <v>#DIV/0!</v>
      </c>
      <c r="G59" s="1952" t="s">
        <v>1680</v>
      </c>
      <c r="H59" s="1960">
        <f>IF(G59="商业",项目基本情况!B43,IF(G59="办公",项目基本情况!C43,IF(G59="住宅",项目基本情况!D43,项目基本情况!E43)))</f>
        <v>0</v>
      </c>
      <c r="I59" s="1959">
        <f>SUMIF(修正!$A$45:$A$56,H59,修正!G45:G56)</f>
        <v>0</v>
      </c>
      <c r="J59" s="1564"/>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571</v>
      </c>
      <c r="B60" s="641" t="e">
        <f t="shared" si="17"/>
        <v>#DIV/0!</v>
      </c>
      <c r="C60" s="381">
        <f t="shared" si="16"/>
        <v>0</v>
      </c>
      <c r="D60" s="2239">
        <v>0.25</v>
      </c>
      <c r="E60" s="644">
        <f>'数据-汇总表'!E13</f>
        <v>0</v>
      </c>
      <c r="F60" s="1956" t="e">
        <f t="shared" si="15"/>
        <v>#DIV/0!</v>
      </c>
      <c r="G60" s="1952" t="s">
        <v>925</v>
      </c>
      <c r="H60" s="1960">
        <f>IF(G60="商业",项目基本情况!B43,IF(G60="办公",项目基本情况!C43,IF(G60="住宅",项目基本情况!D43,项目基本情况!E43)))</f>
        <v>0</v>
      </c>
      <c r="I60" s="1959">
        <f>SUMIF(修正!$A$45:$A$56,H60,修正!H45:H56)</f>
        <v>0</v>
      </c>
      <c r="J60" s="1564"/>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572</v>
      </c>
      <c r="B61" s="641" t="e">
        <f t="shared" si="17"/>
        <v>#DIV/0!</v>
      </c>
      <c r="C61" s="381">
        <f t="shared" si="16"/>
        <v>0</v>
      </c>
      <c r="D61" s="2239">
        <v>0.25</v>
      </c>
      <c r="E61" s="644">
        <f>'数据-汇总表'!E14</f>
        <v>0</v>
      </c>
      <c r="F61" s="1956" t="e">
        <f t="shared" si="15"/>
        <v>#DIV/0!</v>
      </c>
      <c r="G61" s="1962" t="s">
        <v>2295</v>
      </c>
      <c r="H61" s="1961">
        <f>项目基本情况!B43</f>
        <v>0</v>
      </c>
      <c r="I61" s="1959">
        <f>SUMIF(修正!$A$45:$A$56,H61,修正!H45:H56)</f>
        <v>0</v>
      </c>
      <c r="J61" s="1564"/>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573</v>
      </c>
      <c r="B62" s="641" t="e">
        <f t="shared" si="17"/>
        <v>#DIV/0!</v>
      </c>
      <c r="C62" s="381">
        <f t="shared" si="16"/>
        <v>0</v>
      </c>
      <c r="D62" s="2239">
        <v>0.25</v>
      </c>
      <c r="E62" s="644">
        <f>'数据-汇总表'!E15</f>
        <v>0</v>
      </c>
      <c r="F62" s="1956" t="e">
        <f t="shared" si="15"/>
        <v>#DIV/0!</v>
      </c>
      <c r="G62" s="1963" t="s">
        <v>2296</v>
      </c>
      <c r="H62" s="1964">
        <f>项目基本情况!C43</f>
        <v>0</v>
      </c>
      <c r="I62" s="1959">
        <f>SUMIF(修正!$A$45:$A$56,H62,修正!H45:H56)</f>
        <v>0</v>
      </c>
      <c r="J62" s="1564"/>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574</v>
      </c>
      <c r="B63" s="646" t="s">
        <v>17</v>
      </c>
      <c r="C63" s="646" t="s">
        <v>18</v>
      </c>
      <c r="D63" s="646" t="s">
        <v>2304</v>
      </c>
      <c r="E63" s="646">
        <f>IF(B43="楼面地价",SUM(E53:E62),'数据-汇总表'!D3)</f>
        <v>70250.03</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2017-6-1</v>
      </c>
      <c r="D65" s="2838">
        <f>EDATE(C65,-3)</f>
        <v>42795</v>
      </c>
      <c r="E65" s="2838">
        <f t="shared" ref="E65:N65" si="18">EDATE(D65,-3)</f>
        <v>42705</v>
      </c>
      <c r="F65" s="2838">
        <f t="shared" si="18"/>
        <v>42614</v>
      </c>
      <c r="G65" s="2838">
        <f t="shared" si="18"/>
        <v>42522</v>
      </c>
      <c r="H65" s="2838">
        <f t="shared" si="18"/>
        <v>42430</v>
      </c>
      <c r="I65" s="2838">
        <f t="shared" si="18"/>
        <v>42339</v>
      </c>
      <c r="J65" s="2838">
        <f t="shared" si="18"/>
        <v>42248</v>
      </c>
      <c r="K65" s="2838">
        <f t="shared" si="18"/>
        <v>42156</v>
      </c>
      <c r="L65" s="2838">
        <f t="shared" si="18"/>
        <v>42064</v>
      </c>
      <c r="M65" s="2838">
        <f t="shared" si="18"/>
        <v>41974</v>
      </c>
      <c r="N65" s="2838">
        <f t="shared" si="18"/>
        <v>41883</v>
      </c>
      <c r="O65" s="2155"/>
      <c r="P65" s="2155"/>
      <c r="Q65" s="2155"/>
      <c r="R65" s="2155"/>
      <c r="S65" s="2155"/>
      <c r="T65" s="2155"/>
      <c r="U65" s="2155"/>
      <c r="V65" s="2155"/>
      <c r="W65" s="2155"/>
      <c r="X65" s="2155"/>
      <c r="Y65" s="2155"/>
      <c r="Z65" s="2155"/>
      <c r="AA65" s="2155"/>
      <c r="AB65" s="2155"/>
      <c r="AC65" s="2155"/>
    </row>
    <row r="66" spans="1:29" ht="21.75" thickBot="1">
      <c r="A66" s="1590" t="s">
        <v>575</v>
      </c>
      <c r="B66" s="1565"/>
      <c r="C66" s="1589"/>
      <c r="D66" s="1589"/>
      <c r="E66" s="1589"/>
      <c r="F66" s="1591"/>
      <c r="G66" s="1591"/>
      <c r="H66" s="1589"/>
      <c r="I66" s="1589"/>
      <c r="J66" s="1589"/>
      <c r="K66" s="1592"/>
      <c r="L66" s="1588"/>
      <c r="M66" s="1589"/>
      <c r="N66" s="1589"/>
      <c r="O66" s="2167"/>
      <c r="P66" s="2167"/>
      <c r="Q66" s="2168"/>
      <c r="R66" s="2155"/>
      <c r="S66" s="2155"/>
      <c r="T66" s="2155"/>
      <c r="U66" s="2155"/>
      <c r="V66" s="2155"/>
      <c r="W66" s="2155"/>
      <c r="X66" s="2155"/>
      <c r="Y66" s="2155"/>
      <c r="Z66" s="2155"/>
      <c r="AA66" s="2155"/>
      <c r="AB66" s="2155"/>
      <c r="AC66" s="2155"/>
    </row>
    <row r="67" spans="1:29" s="1350" customFormat="1" ht="15">
      <c r="A67" s="2603" t="s">
        <v>2547</v>
      </c>
      <c r="B67" s="649"/>
      <c r="C67" s="2833" t="str">
        <f>YEAR(C65)&amp;"-"&amp;ROUNDUP(MONTH(C65)/3,0)</f>
        <v>2017-2</v>
      </c>
      <c r="D67" s="2840" t="str">
        <f t="shared" ref="D67:N67" si="19">YEAR(D65)&amp;"-"&amp;ROUNDUP(MONTH(D65)/3,0)</f>
        <v>2017-1</v>
      </c>
      <c r="E67" s="2840" t="str">
        <f t="shared" si="19"/>
        <v>2016-4</v>
      </c>
      <c r="F67" s="2840" t="str">
        <f t="shared" si="19"/>
        <v>2016-3</v>
      </c>
      <c r="G67" s="2840" t="str">
        <f t="shared" si="19"/>
        <v>2016-2</v>
      </c>
      <c r="H67" s="2840" t="str">
        <f t="shared" si="19"/>
        <v>2016-1</v>
      </c>
      <c r="I67" s="2840" t="str">
        <f t="shared" si="19"/>
        <v>2015-4</v>
      </c>
      <c r="J67" s="2840" t="str">
        <f t="shared" si="19"/>
        <v>2015-3</v>
      </c>
      <c r="K67" s="2840" t="str">
        <f t="shared" si="19"/>
        <v>2015-2</v>
      </c>
      <c r="L67" s="2840" t="str">
        <f t="shared" si="19"/>
        <v>2015-1</v>
      </c>
      <c r="M67" s="2840" t="str">
        <f t="shared" si="19"/>
        <v>2014-4</v>
      </c>
      <c r="N67" s="2840" t="str">
        <f t="shared" si="19"/>
        <v>2014-3</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2665</v>
      </c>
      <c r="B68" s="482" t="str">
        <f>"北京市平均增长率"&amp;TEXT(基准地价!P24,"0.00%")</f>
        <v>北京市平均增长率1.34%</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576</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532</v>
      </c>
      <c r="B70" s="651"/>
      <c r="C70" s="663" t="s">
        <v>577</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578</v>
      </c>
      <c r="B72" s="668" t="s">
        <v>535</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538</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540</v>
      </c>
      <c r="B85" s="668" t="s">
        <v>603</v>
      </c>
      <c r="C85" s="706" t="s">
        <v>580</v>
      </c>
      <c r="D85" s="706" t="s">
        <v>581</v>
      </c>
      <c r="E85" s="706" t="s">
        <v>582</v>
      </c>
      <c r="F85" s="706" t="s">
        <v>583</v>
      </c>
      <c r="G85" s="706" t="s">
        <v>584</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587</v>
      </c>
      <c r="C87" s="711" t="s">
        <v>580</v>
      </c>
      <c r="D87" s="711" t="s">
        <v>581</v>
      </c>
      <c r="E87" s="711" t="s">
        <v>582</v>
      </c>
      <c r="F87" s="711" t="s">
        <v>583</v>
      </c>
      <c r="G87" s="711" t="s">
        <v>584</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2562</v>
      </c>
      <c r="C93" s="706" t="s">
        <v>580</v>
      </c>
      <c r="D93" s="706" t="s">
        <v>581</v>
      </c>
      <c r="E93" s="706" t="s">
        <v>582</v>
      </c>
      <c r="F93" s="706" t="s">
        <v>583</v>
      </c>
      <c r="G93" s="706" t="s">
        <v>584</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2564</v>
      </c>
      <c r="C95" s="2633" t="s">
        <v>2565</v>
      </c>
      <c r="D95" s="2633" t="s">
        <v>2566</v>
      </c>
      <c r="E95" s="2633" t="s">
        <v>2567</v>
      </c>
      <c r="F95" s="2633" t="s">
        <v>2568</v>
      </c>
      <c r="G95" s="2633" t="s">
        <v>2569</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590</v>
      </c>
      <c r="D97" s="677" t="s">
        <v>591</v>
      </c>
      <c r="E97" s="677" t="s">
        <v>592</v>
      </c>
      <c r="F97" s="677" t="s">
        <v>593</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549</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550</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1" t="str">
        <f t="shared" si="25"/>
        <v>(含)-</v>
      </c>
      <c r="L109" s="3132" t="str">
        <f t="shared" si="25"/>
        <v>(含)-</v>
      </c>
      <c r="M109" s="3133"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595</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2437</v>
      </c>
      <c r="C114" s="1380"/>
      <c r="D114" s="1380"/>
      <c r="E114" s="1380"/>
      <c r="F114" s="1380"/>
      <c r="G114" s="1380"/>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597</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C14" sqref="C14:F14"/>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1697</v>
      </c>
      <c r="B1" s="1405"/>
      <c r="C1" s="1411" t="s">
        <v>2438</v>
      </c>
      <c r="D1" s="1527">
        <f>SUM(D29:D30,D33:D39)</f>
        <v>0</v>
      </c>
      <c r="E1" s="1411" t="s">
        <v>2439</v>
      </c>
      <c r="F1" s="2487"/>
      <c r="G1" s="1406"/>
      <c r="H1" s="1406"/>
      <c r="I1" s="1406"/>
      <c r="J1" s="1406"/>
      <c r="K1" s="1406"/>
      <c r="L1" s="1888" t="s">
        <v>2248</v>
      </c>
      <c r="M1" s="1889">
        <f>SUMPRODUCT((区片价!B5:B9=I2)*(区片价!C3:F3=E2)*(区片价!C5:F9))</f>
        <v>0</v>
      </c>
      <c r="N1" s="1890">
        <f>SUMPRODUCT((因素修正幅度!B5:B9=I2)*(因素修正幅度!C3:F3=E2)*(因素修正幅度!C5:F9))</f>
        <v>0</v>
      </c>
      <c r="O1" s="2199"/>
      <c r="P1" s="2199"/>
      <c r="Q1" s="2199"/>
      <c r="R1" s="2975" t="s">
        <v>2778</v>
      </c>
      <c r="S1" s="2975" t="s">
        <v>2779</v>
      </c>
      <c r="T1" s="2975" t="s">
        <v>2800</v>
      </c>
      <c r="U1" s="2975" t="s">
        <v>2801</v>
      </c>
      <c r="V1" s="2975" t="s">
        <v>2802</v>
      </c>
      <c r="W1" s="2199"/>
      <c r="X1" s="2199"/>
      <c r="Y1" s="2199"/>
      <c r="Z1" s="2199"/>
      <c r="AA1" s="2199"/>
      <c r="AB1" s="2199"/>
      <c r="AC1" s="2200"/>
    </row>
    <row r="2" spans="1:39" ht="15.75">
      <c r="A2" s="1411" t="s">
        <v>922</v>
      </c>
      <c r="B2" s="1041" t="e">
        <f>C26</f>
        <v>#DIV/0!</v>
      </c>
      <c r="C2" s="1412" t="s">
        <v>923</v>
      </c>
      <c r="D2" s="1413" t="s">
        <v>924</v>
      </c>
      <c r="E2" s="1414"/>
      <c r="F2" s="1413" t="s">
        <v>926</v>
      </c>
      <c r="G2" s="1658">
        <f>IF(E2="商业",项目基本情况!B43,IF(E2="办公",项目基本情况!C43,IF(E2="住宅",项目基本情况!D43,项目基本情况!E43)))</f>
        <v>0</v>
      </c>
      <c r="H2" s="1413" t="s">
        <v>928</v>
      </c>
      <c r="I2" s="1659">
        <f>IF(E2="商业",项目基本情况!B44,IF(E2="办公",项目基本情况!C44,IF(E2="住宅",项目基本情况!D44,项目基本情况!E44)))</f>
        <v>0</v>
      </c>
      <c r="J2" s="1415"/>
      <c r="K2" s="1406"/>
      <c r="L2" s="1891" t="s">
        <v>2249</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0</v>
      </c>
      <c r="T2" s="2976" t="e">
        <f>ROUND($C$5*$C$18*$C$19*$C$20*S2*$C$24,0)</f>
        <v>#DIV/0!</v>
      </c>
      <c r="U2" s="2965"/>
      <c r="V2" s="2976" t="e">
        <f>ROUND(T2*U2/10000,0)</f>
        <v>#DIV/0!</v>
      </c>
      <c r="W2" s="2199"/>
      <c r="X2" s="2199"/>
      <c r="Y2" s="2199"/>
      <c r="Z2" s="2199"/>
      <c r="AA2" s="2199"/>
      <c r="AB2" s="2199"/>
      <c r="AC2" s="2200"/>
    </row>
    <row r="3" spans="1:39" ht="15.75">
      <c r="A3" s="1416" t="s">
        <v>1690</v>
      </c>
      <c r="B3" s="1041" t="e">
        <f>ROUND(B2*10000/D1,0)</f>
        <v>#DIV/0!</v>
      </c>
      <c r="C3" s="1412" t="s">
        <v>929</v>
      </c>
      <c r="D3" s="1413" t="s">
        <v>930</v>
      </c>
      <c r="E3" s="1417"/>
      <c r="F3" s="1418" t="s">
        <v>2949</v>
      </c>
      <c r="G3" s="1042">
        <f>IF(F3="宗地容积率",'数据-汇总表'!I4,IF(F3="估价对象容积率",'数据-汇总表'!I6,'数据-汇总表'!I7))</f>
        <v>0.95</v>
      </c>
      <c r="H3" s="1419" t="s">
        <v>931</v>
      </c>
      <c r="I3" s="1043">
        <v>8</v>
      </c>
      <c r="J3" s="1415" t="s">
        <v>932</v>
      </c>
      <c r="K3" s="1406"/>
      <c r="L3" s="1891" t="s">
        <v>2250</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0</v>
      </c>
      <c r="T3" s="2976" t="e">
        <f t="shared" ref="T3:T16" si="0">ROUND($C$5*$C$18*$C$19*$C$20*S3*$C$24,0)</f>
        <v>#DIV/0!</v>
      </c>
      <c r="U3" s="2965"/>
      <c r="V3" s="2976" t="e">
        <f t="shared" ref="V3:V16" si="1">ROUND(T3*U3/10000,0)</f>
        <v>#DIV/0!</v>
      </c>
      <c r="W3" s="2199"/>
      <c r="X3" s="2199"/>
      <c r="Y3" s="2199"/>
      <c r="Z3" s="2199"/>
      <c r="AA3" s="2199"/>
      <c r="AB3" s="2199"/>
      <c r="AC3" s="2200"/>
    </row>
    <row r="4" spans="1:39" ht="28.5">
      <c r="A4" s="1897" t="s">
        <v>2290</v>
      </c>
      <c r="B4" s="2488" t="e">
        <f>ROUND(B2*10000/F1,0)</f>
        <v>#DIV/0!</v>
      </c>
      <c r="C4" s="1900" t="s">
        <v>2264</v>
      </c>
      <c r="D4" s="1900" t="e">
        <f>ROUND(B2/(F1/666.67),0)</f>
        <v>#DIV/0!</v>
      </c>
      <c r="E4" s="1900" t="s">
        <v>2265</v>
      </c>
      <c r="F4" s="1898"/>
      <c r="G4" s="1898"/>
      <c r="H4" s="1898"/>
      <c r="I4" s="1898"/>
      <c r="J4" s="1899"/>
      <c r="K4" s="1406"/>
      <c r="L4" s="1891" t="s">
        <v>2251</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0</v>
      </c>
      <c r="T4" s="2976" t="e">
        <f t="shared" si="0"/>
        <v>#DIV/0!</v>
      </c>
      <c r="U4" s="2965"/>
      <c r="V4" s="2976" t="e">
        <f t="shared" si="1"/>
        <v>#DIV/0!</v>
      </c>
      <c r="W4" s="2199"/>
      <c r="X4" s="2199"/>
      <c r="Y4" s="2199"/>
      <c r="Z4" s="2199"/>
      <c r="AA4" s="2199"/>
      <c r="AB4" s="2199"/>
      <c r="AC4" s="2200"/>
    </row>
    <row r="5" spans="1:39" s="1427" customFormat="1" ht="15.75" thickBot="1">
      <c r="A5" s="1644" t="s">
        <v>1827</v>
      </c>
      <c r="B5" s="1420" t="s">
        <v>933</v>
      </c>
      <c r="C5" s="1044" t="e">
        <f>ROUND(IF(E2="商业",IF(F16="增加",C6*C7+C16,C6*C7-C16),IF(E2="住宅",IF(F16="增加",C6*C12+C16,C6*C12-C16),IF(F16="增加",C6+C16,C6-C16))),0)</f>
        <v>#DIV/0!</v>
      </c>
      <c r="D5" s="1421"/>
      <c r="E5" s="1422"/>
      <c r="F5" s="1422"/>
      <c r="G5" s="1423"/>
      <c r="H5" s="1423"/>
      <c r="I5" s="1423"/>
      <c r="J5" s="1424"/>
      <c r="K5" s="1600"/>
      <c r="L5" s="1891" t="s">
        <v>2252</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v>
      </c>
      <c r="T5" s="2976" t="e">
        <f t="shared" si="0"/>
        <v>#DIV/0!</v>
      </c>
      <c r="U5" s="2965"/>
      <c r="V5" s="2976" t="e">
        <f t="shared" si="1"/>
        <v>#DIV/0!</v>
      </c>
      <c r="W5" s="2199"/>
      <c r="X5" s="2199"/>
      <c r="Y5" s="2199"/>
      <c r="Z5" s="2199"/>
      <c r="AA5" s="2199"/>
      <c r="AB5" s="2199"/>
      <c r="AC5" s="2201"/>
      <c r="AD5" s="1425"/>
      <c r="AE5" s="1425"/>
      <c r="AF5" s="1425"/>
      <c r="AG5" s="1425"/>
      <c r="AH5" s="1425"/>
      <c r="AI5" s="1425"/>
      <c r="AJ5" s="1426"/>
      <c r="AK5" s="1426"/>
      <c r="AL5" s="1426"/>
      <c r="AM5" s="1426"/>
    </row>
    <row r="6" spans="1:39" ht="15.75" thickBot="1">
      <c r="A6" s="1645" t="s">
        <v>1874</v>
      </c>
      <c r="B6" s="1428" t="s">
        <v>933</v>
      </c>
      <c r="C6" s="1045">
        <f>SUMIF(L1:L12,基准地价!G2,M1:M12)</f>
        <v>0</v>
      </c>
      <c r="D6" s="1429" t="s">
        <v>1698</v>
      </c>
      <c r="E6" s="1430"/>
      <c r="F6" s="1430"/>
      <c r="G6" s="1431"/>
      <c r="H6" s="1431"/>
      <c r="I6" s="1431"/>
      <c r="J6" s="1432"/>
      <c r="K6" s="1601"/>
      <c r="L6" s="1891" t="s">
        <v>2253</v>
      </c>
      <c r="M6" s="1892">
        <f>SUMPRODUCT((区片价!B110:B157=I2)*(区片价!C3:F3=E2)*(区片价!C110:F157))</f>
        <v>0</v>
      </c>
      <c r="N6" s="1893">
        <f>SUMPRODUCT((因素修正幅度!B110:B157=I2)*(因素修正幅度!C3:F3=E2)*(因素修正幅度!C110:F157))</f>
        <v>0</v>
      </c>
      <c r="O6" s="2199"/>
      <c r="P6" s="2199"/>
      <c r="Q6" s="2199"/>
      <c r="R6" s="2976">
        <v>5</v>
      </c>
      <c r="S6" s="2976">
        <f>ROUND(IF(G3&gt;1,IF(R6&lt;7,SUMPRODUCT((B93:B98=R6)*(C92:N92=G2)*(C93:N98)),SUMIF(C92:N92,G2,C100:N100)),IF(R6&lt;7,SUMPRODUCT((B102:B107=R6)*(C92:N92=G2)*(C102:N107)),SUMIF(C92:N92,G2,C109:N109))),4)</f>
        <v>0</v>
      </c>
      <c r="T6" s="2976" t="e">
        <f t="shared" si="0"/>
        <v>#DIV/0!</v>
      </c>
      <c r="U6" s="2965"/>
      <c r="V6" s="2976" t="e">
        <f t="shared" si="1"/>
        <v>#DIV/0!</v>
      </c>
      <c r="W6" s="2199"/>
      <c r="X6" s="2199"/>
      <c r="Y6" s="2199"/>
      <c r="Z6" s="2199"/>
      <c r="AA6" s="2199"/>
      <c r="AB6" s="2199"/>
      <c r="AC6" s="2201"/>
      <c r="AD6" s="1425"/>
      <c r="AE6" s="1425"/>
      <c r="AF6" s="1425"/>
      <c r="AG6" s="1425"/>
      <c r="AH6" s="1425"/>
      <c r="AI6" s="1425"/>
      <c r="AJ6" s="1426"/>
    </row>
    <row r="7" spans="1:39" ht="24">
      <c r="A7" s="3394" t="str">
        <f>IF(E2="商业",IF(C8="不临58条商业街","",2),"")</f>
        <v/>
      </c>
      <c r="B7" s="1433" t="s">
        <v>934</v>
      </c>
      <c r="C7" s="1046" t="e">
        <f>IF(C8="不临58条商业街",1,ROUND(1+(1.6*E8+1.2*E9+0.8*E10+0.4*E11)*C9,4))</f>
        <v>#DIV/0!</v>
      </c>
      <c r="D7" s="1434" t="s">
        <v>935</v>
      </c>
      <c r="E7" s="1047"/>
      <c r="F7" s="1435"/>
      <c r="G7" s="1436"/>
      <c r="H7" s="1436"/>
      <c r="I7" s="1436"/>
      <c r="J7" s="1437"/>
      <c r="K7" s="1601"/>
      <c r="L7" s="1891" t="s">
        <v>2254</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v>
      </c>
      <c r="T7" s="2976" t="e">
        <f t="shared" si="0"/>
        <v>#DIV/0!</v>
      </c>
      <c r="U7" s="2965"/>
      <c r="V7" s="2976" t="e">
        <f t="shared" si="1"/>
        <v>#DIV/0!</v>
      </c>
      <c r="W7" s="2974" t="s">
        <v>2781</v>
      </c>
      <c r="X7" s="2966">
        <f>G2</f>
        <v>0</v>
      </c>
      <c r="Y7" s="2966" t="s">
        <v>2782</v>
      </c>
      <c r="Z7" s="2967">
        <f>G3</f>
        <v>0.95</v>
      </c>
      <c r="AA7" s="2202"/>
      <c r="AB7" s="2202"/>
      <c r="AC7" s="2203"/>
      <c r="AD7" s="2968"/>
      <c r="AE7" s="2968"/>
      <c r="AF7" s="2968"/>
      <c r="AG7" s="2968"/>
      <c r="AH7" s="2968"/>
      <c r="AI7" s="2968"/>
      <c r="AJ7" s="2969"/>
    </row>
    <row r="8" spans="1:39" ht="15">
      <c r="A8" s="3395"/>
      <c r="B8" s="1419" t="s">
        <v>936</v>
      </c>
      <c r="C8" s="1535"/>
      <c r="D8" s="1048" t="s">
        <v>937</v>
      </c>
      <c r="E8" s="1049" t="e">
        <f>ROUND(C11/E7,4)</f>
        <v>#DIV/0!</v>
      </c>
      <c r="F8" s="1438" t="s">
        <v>938</v>
      </c>
      <c r="G8" s="1439"/>
      <c r="H8" s="1439"/>
      <c r="I8" s="1439"/>
      <c r="J8" s="1440"/>
      <c r="K8" s="1406"/>
      <c r="L8" s="1891" t="s">
        <v>2255</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si="0"/>
        <v>#DIV/0!</v>
      </c>
      <c r="U8" s="2965"/>
      <c r="V8" s="2976" t="e">
        <f t="shared" si="1"/>
        <v>#DIV/0!</v>
      </c>
      <c r="W8" s="3401" t="s">
        <v>2799</v>
      </c>
      <c r="X8" s="3402"/>
      <c r="Y8" s="1855" t="s">
        <v>2783</v>
      </c>
      <c r="Z8" s="1855" t="s">
        <v>2784</v>
      </c>
      <c r="AA8" s="1855" t="s">
        <v>2785</v>
      </c>
      <c r="AB8" s="1855" t="s">
        <v>2786</v>
      </c>
      <c r="AC8" s="1855" t="s">
        <v>2787</v>
      </c>
      <c r="AD8" s="1855" t="s">
        <v>2788</v>
      </c>
      <c r="AE8" s="1855" t="s">
        <v>2789</v>
      </c>
      <c r="AF8" s="1855" t="s">
        <v>2790</v>
      </c>
      <c r="AG8" s="1855" t="s">
        <v>2791</v>
      </c>
      <c r="AH8" s="1855" t="s">
        <v>2792</v>
      </c>
      <c r="AI8" s="1855" t="s">
        <v>2793</v>
      </c>
      <c r="AJ8" s="1855" t="s">
        <v>2794</v>
      </c>
    </row>
    <row r="9" spans="1:39" ht="15">
      <c r="A9" s="3395"/>
      <c r="B9" s="1419" t="s">
        <v>939</v>
      </c>
      <c r="C9" s="1050">
        <f>SUMIF(修正!C59:C119,C8,修正!E59:E119)</f>
        <v>0</v>
      </c>
      <c r="D9" s="1051" t="s">
        <v>940</v>
      </c>
      <c r="E9" s="1051" t="e">
        <f>ROUND(C11/E7,4)</f>
        <v>#DIV/0!</v>
      </c>
      <c r="F9" s="1438" t="s">
        <v>941</v>
      </c>
      <c r="G9" s="1439"/>
      <c r="H9" s="1439"/>
      <c r="I9" s="1439"/>
      <c r="J9" s="1440"/>
      <c r="K9" s="1406"/>
      <c r="L9" s="1891" t="s">
        <v>2256</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si="0"/>
        <v>#DIV/0!</v>
      </c>
      <c r="U9" s="2965"/>
      <c r="V9" s="2976" t="e">
        <f t="shared" si="1"/>
        <v>#DIV/0!</v>
      </c>
      <c r="W9" s="3400" t="s">
        <v>2795</v>
      </c>
      <c r="X9" s="2970" t="s">
        <v>2796</v>
      </c>
      <c r="Y9" s="3137"/>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395"/>
      <c r="B10" s="1419" t="s">
        <v>942</v>
      </c>
      <c r="C10" s="1051">
        <f>SUMIF(修正!C59:C119,C8,修正!F59:F119)</f>
        <v>0</v>
      </c>
      <c r="D10" s="1051" t="s">
        <v>943</v>
      </c>
      <c r="E10" s="1051" t="e">
        <f>ROUND(C11/E7,4)</f>
        <v>#DIV/0!</v>
      </c>
      <c r="F10" s="1438" t="s">
        <v>944</v>
      </c>
      <c r="G10" s="1439"/>
      <c r="H10" s="1439"/>
      <c r="I10" s="1439"/>
      <c r="J10" s="1440"/>
      <c r="K10" s="1406"/>
      <c r="L10" s="1891" t="s">
        <v>2257</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si="0"/>
        <v>#DIV/0!</v>
      </c>
      <c r="U10" s="2965"/>
      <c r="V10" s="2976" t="e">
        <f t="shared" si="1"/>
        <v>#DIV/0!</v>
      </c>
      <c r="W10" s="3400"/>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395"/>
      <c r="B11" s="1441" t="s">
        <v>945</v>
      </c>
      <c r="C11" s="1052">
        <f>C10/4</f>
        <v>0</v>
      </c>
      <c r="D11" s="1052" t="s">
        <v>946</v>
      </c>
      <c r="E11" s="1052" t="e">
        <f>ROUND(C11/E7,4)</f>
        <v>#DIV/0!</v>
      </c>
      <c r="F11" s="1442" t="s">
        <v>947</v>
      </c>
      <c r="G11" s="1443"/>
      <c r="H11" s="1443"/>
      <c r="I11" s="1443"/>
      <c r="J11" s="1444"/>
      <c r="K11" s="1406"/>
      <c r="L11" s="1891" t="s">
        <v>2258</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si="0"/>
        <v>#DIV/0!</v>
      </c>
      <c r="U11" s="2965"/>
      <c r="V11" s="2976" t="e">
        <f t="shared" si="1"/>
        <v>#DIV/0!</v>
      </c>
      <c r="W11" s="3400" t="s">
        <v>2797</v>
      </c>
      <c r="X11" s="1051" t="s">
        <v>2782</v>
      </c>
      <c r="Y11" s="1659">
        <f>$G$3</f>
        <v>0.95</v>
      </c>
      <c r="Z11" s="1659">
        <f t="shared" ref="Z11:AJ11" si="3">$G$3</f>
        <v>0.95</v>
      </c>
      <c r="AA11" s="1659">
        <f t="shared" si="3"/>
        <v>0.95</v>
      </c>
      <c r="AB11" s="1659">
        <f t="shared" si="3"/>
        <v>0.95</v>
      </c>
      <c r="AC11" s="1659">
        <f t="shared" si="3"/>
        <v>0.95</v>
      </c>
      <c r="AD11" s="1659">
        <f t="shared" si="3"/>
        <v>0.95</v>
      </c>
      <c r="AE11" s="1659">
        <f t="shared" si="3"/>
        <v>0.95</v>
      </c>
      <c r="AF11" s="1659">
        <f t="shared" si="3"/>
        <v>0.95</v>
      </c>
      <c r="AG11" s="1659">
        <f t="shared" si="3"/>
        <v>0.95</v>
      </c>
      <c r="AH11" s="1659">
        <f t="shared" si="3"/>
        <v>0.95</v>
      </c>
      <c r="AI11" s="1659">
        <f t="shared" si="3"/>
        <v>0.95</v>
      </c>
      <c r="AJ11" s="1659">
        <f t="shared" si="3"/>
        <v>0.95</v>
      </c>
    </row>
    <row r="12" spans="1:39" ht="25.5" thickBot="1">
      <c r="A12" s="3394" t="s">
        <v>1875</v>
      </c>
      <c r="B12" s="1445" t="s">
        <v>948</v>
      </c>
      <c r="C12" s="1046">
        <f>ROUND(C15*D15*E15*F15*G15*H15*I15*J15,4)</f>
        <v>1</v>
      </c>
      <c r="D12" s="1446" t="s">
        <v>949</v>
      </c>
      <c r="E12" s="1447"/>
      <c r="F12" s="1447"/>
      <c r="G12" s="1448"/>
      <c r="H12" s="1448"/>
      <c r="I12" s="1448"/>
      <c r="J12" s="1449"/>
      <c r="K12" s="1406"/>
      <c r="L12" s="1894" t="s">
        <v>2259</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si="0"/>
        <v>#DIV/0!</v>
      </c>
      <c r="U12" s="2965"/>
      <c r="V12" s="2976" t="e">
        <f t="shared" si="1"/>
        <v>#DIV/0!</v>
      </c>
      <c r="W12" s="3400"/>
      <c r="X12" s="2973" t="s">
        <v>2798</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396"/>
      <c r="B13" s="1450" t="s">
        <v>1699</v>
      </c>
      <c r="C13" s="1451" t="s">
        <v>1700</v>
      </c>
      <c r="D13" s="1092" t="s">
        <v>1701</v>
      </c>
      <c r="E13" s="1092" t="s">
        <v>1702</v>
      </c>
      <c r="F13" s="1452" t="s">
        <v>950</v>
      </c>
      <c r="G13" s="1453" t="s">
        <v>1645</v>
      </c>
      <c r="H13" s="1454" t="s">
        <v>1645</v>
      </c>
      <c r="I13" s="1455" t="s">
        <v>1645</v>
      </c>
      <c r="J13" s="1456" t="s">
        <v>1645</v>
      </c>
      <c r="K13" s="1406"/>
      <c r="L13" s="2199"/>
      <c r="M13" s="2199"/>
      <c r="N13" s="2199"/>
      <c r="O13" s="2199"/>
      <c r="P13" s="2199"/>
      <c r="Q13" s="2199"/>
      <c r="R13" s="2976">
        <v>12</v>
      </c>
      <c r="S13" s="2965"/>
      <c r="T13" s="2976" t="e">
        <f t="shared" si="0"/>
        <v>#DIV/0!</v>
      </c>
      <c r="U13" s="2965"/>
      <c r="V13" s="2976" t="e">
        <f t="shared" si="1"/>
        <v>#DIV/0!</v>
      </c>
      <c r="W13" s="3400"/>
      <c r="X13" s="2973"/>
      <c r="Y13" s="2972">
        <f>(-0.163*(Y12^2)-0.59*Y12+7617)*(10^(-4))/Y11</f>
        <v>0.80178947368421061</v>
      </c>
      <c r="Z13" s="2972">
        <f t="shared" ref="Z13:AJ13" si="5">(-0.163*(Z12^2)-0.59*Z12+7617)*(10^(-4))/Z11</f>
        <v>0.80178947368421061</v>
      </c>
      <c r="AA13" s="2972">
        <f t="shared" si="5"/>
        <v>0.80178947368421061</v>
      </c>
      <c r="AB13" s="2972">
        <f t="shared" si="5"/>
        <v>0.80178947368421061</v>
      </c>
      <c r="AC13" s="2972">
        <f t="shared" si="5"/>
        <v>0.80178947368421061</v>
      </c>
      <c r="AD13" s="2972">
        <f t="shared" si="5"/>
        <v>0.80178947368421061</v>
      </c>
      <c r="AE13" s="2972">
        <f t="shared" si="5"/>
        <v>0.80178947368421061</v>
      </c>
      <c r="AF13" s="2972">
        <f t="shared" si="5"/>
        <v>0.80178947368421061</v>
      </c>
      <c r="AG13" s="2972">
        <f t="shared" si="5"/>
        <v>0.80178947368421061</v>
      </c>
      <c r="AH13" s="2972">
        <f t="shared" si="5"/>
        <v>0.80178947368421061</v>
      </c>
      <c r="AI13" s="2972">
        <f t="shared" si="5"/>
        <v>0.80178947368421061</v>
      </c>
      <c r="AJ13" s="2972">
        <f t="shared" si="5"/>
        <v>0.80178947368421061</v>
      </c>
    </row>
    <row r="14" spans="1:39" ht="12.75" customHeight="1" thickBot="1">
      <c r="A14" s="3396"/>
      <c r="B14" s="1457"/>
      <c r="C14" s="1458"/>
      <c r="D14" s="1459"/>
      <c r="E14" s="1459"/>
      <c r="F14" s="1460"/>
      <c r="G14" s="1461" t="s">
        <v>951</v>
      </c>
      <c r="H14" s="1462"/>
      <c r="I14" s="1463"/>
      <c r="J14" s="1464"/>
      <c r="K14" s="1406"/>
      <c r="L14" s="2199"/>
      <c r="M14" s="2199"/>
      <c r="N14" s="2199"/>
      <c r="O14" s="2199"/>
      <c r="P14" s="2199"/>
      <c r="Q14" s="2199"/>
      <c r="R14" s="2976">
        <v>13</v>
      </c>
      <c r="S14" s="2965"/>
      <c r="T14" s="2976" t="e">
        <f t="shared" si="0"/>
        <v>#DIV/0!</v>
      </c>
      <c r="U14" s="2965"/>
      <c r="V14" s="2976" t="e">
        <f t="shared" si="1"/>
        <v>#DIV/0!</v>
      </c>
      <c r="W14" s="2199"/>
      <c r="X14" s="2199"/>
      <c r="Y14" s="2199"/>
      <c r="Z14" s="2199"/>
      <c r="AA14" s="2199"/>
      <c r="AB14" s="2199"/>
      <c r="AC14" s="2200"/>
    </row>
    <row r="15" spans="1:39" ht="13.5" customHeight="1" thickBot="1">
      <c r="A15" s="3397"/>
      <c r="B15" s="1465" t="s">
        <v>1703</v>
      </c>
      <c r="C15" s="1054">
        <f>IF(C14="有",1.1,1)</f>
        <v>1</v>
      </c>
      <c r="D15" s="1054">
        <f>IF(D14="有",1.1,1)</f>
        <v>1</v>
      </c>
      <c r="E15" s="1054">
        <f>IF(E14="有",1.1,1)</f>
        <v>1</v>
      </c>
      <c r="F15" s="1054">
        <f>IF(F14="500米范围内",1.2,IF(F14="500-1000米",1.1,1))</f>
        <v>1</v>
      </c>
      <c r="G15" s="1055">
        <v>1</v>
      </c>
      <c r="H15" s="1055">
        <v>1</v>
      </c>
      <c r="I15" s="1055">
        <v>1</v>
      </c>
      <c r="J15" s="1056">
        <v>1</v>
      </c>
      <c r="K15" s="1406"/>
      <c r="L15" s="1604" t="s">
        <v>900</v>
      </c>
      <c r="M15" s="1434" t="s">
        <v>986</v>
      </c>
      <c r="N15" s="1434" t="s">
        <v>987</v>
      </c>
      <c r="O15" s="1434" t="s">
        <v>904</v>
      </c>
      <c r="P15" s="1482" t="s">
        <v>988</v>
      </c>
      <c r="Q15" s="2199"/>
      <c r="R15" s="2976">
        <v>14</v>
      </c>
      <c r="S15" s="2965"/>
      <c r="T15" s="2976" t="e">
        <f t="shared" si="0"/>
        <v>#DIV/0!</v>
      </c>
      <c r="U15" s="2965"/>
      <c r="V15" s="2976" t="e">
        <f t="shared" si="1"/>
        <v>#DIV/0!</v>
      </c>
      <c r="W15" s="2199"/>
      <c r="X15" s="2199"/>
      <c r="Y15" s="2199"/>
      <c r="Z15" s="2199"/>
      <c r="AA15" s="2199"/>
      <c r="AB15" s="2199"/>
      <c r="AC15" s="2200"/>
    </row>
    <row r="16" spans="1:39" ht="24">
      <c r="A16" s="3394" t="s">
        <v>1842</v>
      </c>
      <c r="B16" s="1433" t="s">
        <v>952</v>
      </c>
      <c r="C16" s="1057" t="e">
        <f>ROUND(SUM(G17:J17)/C17,0)</f>
        <v>#DIV/0!</v>
      </c>
      <c r="D16" s="1466" t="s">
        <v>953</v>
      </c>
      <c r="E16" s="1467"/>
      <c r="F16" s="1468"/>
      <c r="G16" s="1469"/>
      <c r="H16" s="1469"/>
      <c r="I16" s="1469"/>
      <c r="J16" s="1469"/>
      <c r="K16" s="1406"/>
      <c r="L16" s="1470" t="s">
        <v>990</v>
      </c>
      <c r="M16" s="1050">
        <v>0.25</v>
      </c>
      <c r="N16" s="1050">
        <v>0.2</v>
      </c>
      <c r="O16" s="1050">
        <v>0.15</v>
      </c>
      <c r="P16" s="1545">
        <v>0.1</v>
      </c>
      <c r="Q16" s="2202"/>
      <c r="R16" s="2976">
        <v>15</v>
      </c>
      <c r="S16" s="2965"/>
      <c r="T16" s="2976" t="e">
        <f t="shared" si="0"/>
        <v>#DIV/0!</v>
      </c>
      <c r="U16" s="2965"/>
      <c r="V16" s="2976" t="e">
        <f t="shared" si="1"/>
        <v>#DIV/0!</v>
      </c>
      <c r="W16" s="2202"/>
      <c r="X16" s="2202"/>
      <c r="Y16" s="2202"/>
      <c r="Z16" s="2202"/>
      <c r="AA16" s="2202"/>
      <c r="AB16" s="2202"/>
      <c r="AC16" s="2203"/>
    </row>
    <row r="17" spans="1:40" ht="13.5" thickBot="1">
      <c r="A17" s="3395"/>
      <c r="B17" s="1471" t="s">
        <v>955</v>
      </c>
      <c r="C17" s="1058">
        <f>SUMPRODUCT((修正!A2:A5=E2)*(修正!B1:M1=G2)*(修正!B2:M5))</f>
        <v>0</v>
      </c>
      <c r="D17" s="1473" t="s">
        <v>956</v>
      </c>
      <c r="E17" s="1474" t="str">
        <f>IF(OR(G2="八级",G2="九级",G2="十级",G2="十一级",G2="十二级"),"五通一平","七通一平")</f>
        <v>七通一平</v>
      </c>
      <c r="F17" s="1472" t="s">
        <v>957</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976</v>
      </c>
      <c r="M17" s="1546">
        <f ca="1">ROUND($E$20*(1+M16),3)</f>
        <v>5.3999999999999999E-2</v>
      </c>
      <c r="N17" s="1546">
        <f ca="1">ROUND($E$20*(1+N16),3)</f>
        <v>5.1999999999999998E-2</v>
      </c>
      <c r="O17" s="1546">
        <f ca="1">ROUND($E$20*(1+O16),3)</f>
        <v>0.05</v>
      </c>
      <c r="P17" s="1547">
        <f ca="1">ROUND($E$20*(1+P16),3)</f>
        <v>4.8000000000000001E-2</v>
      </c>
      <c r="Q17" s="2202"/>
      <c r="R17" s="2203"/>
      <c r="S17" s="2203"/>
      <c r="T17" s="2203"/>
      <c r="U17" s="2203"/>
      <c r="V17" s="2203"/>
      <c r="W17" s="2202"/>
      <c r="X17" s="2202"/>
      <c r="Y17" s="2202"/>
      <c r="Z17" s="2202"/>
      <c r="AA17" s="2202"/>
      <c r="AB17" s="2202"/>
      <c r="AC17" s="2203"/>
      <c r="AH17" s="1407"/>
      <c r="AI17" s="1407"/>
      <c r="AJ17" s="1410"/>
      <c r="AK17" s="1410"/>
      <c r="AL17" s="1410"/>
      <c r="AM17" s="1410"/>
    </row>
    <row r="18" spans="1:40" s="1427" customFormat="1" ht="15.75" thickBot="1">
      <c r="A18" s="1647" t="s">
        <v>1833</v>
      </c>
      <c r="B18" s="2811" t="s">
        <v>958</v>
      </c>
      <c r="C18" s="2812">
        <f>SUMIF(修正!C18:C39,E3,修正!E18:E39)</f>
        <v>0</v>
      </c>
      <c r="D18" s="2813"/>
      <c r="E18" s="2814"/>
      <c r="F18" s="2815"/>
      <c r="G18" s="2809"/>
      <c r="H18" s="2809"/>
      <c r="I18" s="2809"/>
      <c r="J18" s="2816"/>
      <c r="K18" s="1487"/>
      <c r="L18" s="1487"/>
      <c r="M18" s="1487"/>
      <c r="N18" s="1487"/>
      <c r="O18" s="1603"/>
      <c r="P18" s="1603"/>
      <c r="Q18" s="2204"/>
      <c r="R18" s="2204"/>
      <c r="S18" s="2204"/>
      <c r="T18" s="2204"/>
      <c r="U18" s="2204"/>
      <c r="V18" s="2204"/>
      <c r="W18" s="2203"/>
      <c r="X18" s="2203"/>
      <c r="Y18" s="2203"/>
      <c r="Z18" s="2203"/>
      <c r="AA18" s="2202"/>
      <c r="AB18" s="2202"/>
      <c r="AC18" s="2205"/>
      <c r="AD18" s="1478"/>
      <c r="AE18" s="1478"/>
      <c r="AF18" s="1478"/>
      <c r="AG18" s="1478"/>
      <c r="AH18" s="1408"/>
      <c r="AI18" s="1408"/>
      <c r="AJ18" s="1409"/>
      <c r="AK18" s="1409"/>
      <c r="AL18" s="1409"/>
    </row>
    <row r="19" spans="1:40" s="1427" customFormat="1" ht="27.75" thickBot="1">
      <c r="A19" s="1646" t="s">
        <v>1839</v>
      </c>
      <c r="B19" s="1476" t="s">
        <v>959</v>
      </c>
      <c r="C19" s="1060" t="e">
        <f>ROUND(IF(H19="按公示增长率计算",SUMPRODUCT((地价!A3:A19=YEAR(G19)&amp;"-"&amp;ROUNDUP(MONTH(G19)/3,0))*(地价!X2:AB2=E2)*(地价!X3:AB19)),IF(H19="地价指数",M20/M19,(1+I19)^O19)),4)</f>
        <v>#DIV/0!</v>
      </c>
      <c r="D19" s="1480" t="s">
        <v>960</v>
      </c>
      <c r="E19" s="1061">
        <v>41640</v>
      </c>
      <c r="F19" s="1480" t="s">
        <v>961</v>
      </c>
      <c r="G19" s="1062">
        <f>'数据-取费表'!B2</f>
        <v>42912</v>
      </c>
      <c r="H19" s="1481" t="s">
        <v>2950</v>
      </c>
      <c r="I19" s="2823" t="str">
        <f>IF(H19="季度增幅（自定义）",SUMIF(N21:N24,E2,O21:O24),"")</f>
        <v/>
      </c>
      <c r="J19" s="1477"/>
      <c r="K19" s="1487"/>
      <c r="L19" s="3079" t="s">
        <v>2857</v>
      </c>
      <c r="M19" s="3080">
        <f>ROUND(SUMIF(地价!B2:F2,E2,地价!B19:F19),0)</f>
        <v>0</v>
      </c>
      <c r="N19" s="2825" t="s">
        <v>1679</v>
      </c>
      <c r="O19" s="2824">
        <f>ROUNDDOWN(DATEDIF(E19,G19,"M")/3,0)</f>
        <v>13</v>
      </c>
      <c r="P19" s="1602"/>
      <c r="R19" s="2964"/>
      <c r="S19" s="2964"/>
      <c r="T19" s="2964"/>
      <c r="U19" s="2964"/>
      <c r="V19" s="2964"/>
      <c r="W19" s="2205"/>
      <c r="X19" s="2205"/>
      <c r="Y19" s="2205"/>
      <c r="Z19" s="2205"/>
      <c r="AA19" s="2205"/>
      <c r="AB19" s="2205"/>
      <c r="AC19" s="2205"/>
      <c r="AD19" s="1408"/>
      <c r="AE19" s="1408"/>
      <c r="AF19" s="1408"/>
      <c r="AG19" s="1408"/>
      <c r="AH19" s="1478"/>
      <c r="AI19" s="1479"/>
      <c r="AJ19" s="1483"/>
      <c r="AK19" s="1409"/>
      <c r="AL19" s="1426"/>
      <c r="AM19" s="1426"/>
      <c r="AN19" s="1426"/>
    </row>
    <row r="20" spans="1:40" s="1427" customFormat="1" ht="27.75" thickBot="1">
      <c r="A20" s="2817" t="s">
        <v>1840</v>
      </c>
      <c r="B20" s="2818" t="s">
        <v>974</v>
      </c>
      <c r="C20" s="2819" t="e">
        <f>ROUND(POWER(1+G20,J20-I20)*(POWER(1+G20,I20)-1)/(POWER(1+G20,J20)-1),4)</f>
        <v>#DIV/0!</v>
      </c>
      <c r="D20" s="2820" t="s">
        <v>975</v>
      </c>
      <c r="E20" s="3134">
        <f ca="1">存贷款利率!I4/100</f>
        <v>4.3499999999999997E-2</v>
      </c>
      <c r="F20" s="2820" t="s">
        <v>976</v>
      </c>
      <c r="G20" s="2821">
        <f>SUMIF(M15:P15,E2,M17:P17)</f>
        <v>0</v>
      </c>
      <c r="H20" s="2820" t="s">
        <v>977</v>
      </c>
      <c r="I20" s="2810" t="e">
        <f>SUMIF('数据-取费表'!C6:C15,E2,'数据-取费表'!F6:F15)/COUNTIF('数据-取费表'!C6:C15,E2)</f>
        <v>#DIV/0!</v>
      </c>
      <c r="J20" s="2822">
        <f>IF(E2="住宅",70,IF(E2="商业",40,50))</f>
        <v>50</v>
      </c>
      <c r="K20" s="1487"/>
      <c r="L20" s="3081" t="s">
        <v>2858</v>
      </c>
      <c r="M20" s="3082">
        <f>ROUND(SUMPRODUCT((地价!A4:A19=YEAR(G19)&amp;"-"&amp;ROUNDUP(MONTH(G19)/3,0))*(地价!B2:F2=E2)*(地价!B4:F19)),0)</f>
        <v>0</v>
      </c>
      <c r="N20" s="2828" t="s">
        <v>2662</v>
      </c>
      <c r="O20" s="2826" t="s">
        <v>2661</v>
      </c>
      <c r="P20" s="2827" t="s">
        <v>2666</v>
      </c>
      <c r="R20" s="2964"/>
      <c r="S20" s="2964"/>
      <c r="T20" s="2964"/>
      <c r="U20" s="2964"/>
      <c r="V20" s="2964"/>
      <c r="W20" s="2205"/>
      <c r="X20" s="2205"/>
      <c r="Y20" s="2205"/>
      <c r="Z20" s="2205"/>
      <c r="AA20" s="2205"/>
      <c r="AB20" s="2205"/>
      <c r="AC20" s="2205"/>
      <c r="AD20" s="1478"/>
      <c r="AE20" s="1478"/>
      <c r="AF20" s="1478"/>
      <c r="AG20" s="1478"/>
      <c r="AH20" s="1478"/>
      <c r="AI20" s="1478"/>
    </row>
    <row r="21" spans="1:40" s="1427" customFormat="1" ht="14.25">
      <c r="A21" s="1648" t="s">
        <v>1841</v>
      </c>
      <c r="B21" s="1486" t="s">
        <v>2777</v>
      </c>
      <c r="C21" s="1161">
        <f>IF(B21="容积率修正",IF(G3&lt;=10,D22,J22),C23)</f>
        <v>0</v>
      </c>
      <c r="D21" s="1487"/>
      <c r="E21" s="1487"/>
      <c r="F21" s="1487"/>
      <c r="G21" s="1487"/>
      <c r="H21" s="1487"/>
      <c r="I21" s="1487"/>
      <c r="J21" s="1488"/>
      <c r="K21" s="1487"/>
      <c r="L21" s="1487"/>
      <c r="M21" s="1487"/>
      <c r="N21" s="1484" t="s">
        <v>978</v>
      </c>
      <c r="O21" s="1548"/>
      <c r="P21" s="2808">
        <f>SUMPRODUCT((地价!A3:A19=YEAR(G19)&amp;"-"&amp;ROUNDUP(MONTH(G19)/3,0))*(地价!AD2:AH2=N21)*(地价!AD3:AH19))</f>
        <v>1.5699999999999999E-2</v>
      </c>
      <c r="R21" s="2964"/>
      <c r="S21" s="2964"/>
      <c r="T21" s="2964"/>
      <c r="U21" s="2964"/>
      <c r="V21" s="2964"/>
      <c r="W21" s="2205"/>
      <c r="X21" s="2205"/>
      <c r="Y21" s="2205"/>
      <c r="Z21" s="2205"/>
      <c r="AA21" s="2205"/>
      <c r="AB21" s="2205"/>
      <c r="AC21" s="2205"/>
      <c r="AD21" s="1408"/>
      <c r="AE21" s="1408"/>
      <c r="AF21" s="1408"/>
      <c r="AG21" s="1408"/>
      <c r="AH21" s="1478"/>
      <c r="AI21" s="1478"/>
    </row>
    <row r="22" spans="1:40" s="1427" customFormat="1" ht="14.25">
      <c r="A22" s="1649" t="s">
        <v>1874</v>
      </c>
      <c r="B22" s="1489" t="s">
        <v>979</v>
      </c>
      <c r="C22" s="1063" t="s">
        <v>1705</v>
      </c>
      <c r="D22" s="1063">
        <f>IF(E22=G22,F22,IF(G3&lt;=10,ROUND(F22+(H22-F22)*(G3-E22)/(G22-E22),4),"——"))</f>
        <v>0</v>
      </c>
      <c r="E22" s="1042">
        <f>ROUNDDOWN(G3,1)</f>
        <v>0.9</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980</v>
      </c>
      <c r="J22" s="1063" t="str">
        <f>IF(G3&gt;10,D113,"——")</f>
        <v>——</v>
      </c>
      <c r="K22" s="1487"/>
      <c r="L22" s="1487"/>
      <c r="M22" s="1487"/>
      <c r="N22" s="1484" t="s">
        <v>981</v>
      </c>
      <c r="O22" s="1548"/>
      <c r="P22" s="2808">
        <f>SUMPRODUCT((地价!A3:A19=YEAR(G19)&amp;"-"&amp;ROUNDUP(MONTH(G19)/3,0))*(地价!AD2:AH2=N22)*(地价!AD3:AH19))</f>
        <v>1.5699999999999999E-2</v>
      </c>
      <c r="R22" s="2964"/>
      <c r="S22" s="2964"/>
      <c r="T22" s="2964"/>
      <c r="U22" s="2964"/>
      <c r="V22" s="2964"/>
      <c r="W22" s="2205"/>
      <c r="X22" s="2205"/>
      <c r="Y22" s="2205"/>
      <c r="Z22" s="2205"/>
      <c r="AA22" s="2205"/>
      <c r="AB22" s="2205"/>
      <c r="AC22" s="2205"/>
      <c r="AD22" s="1478"/>
      <c r="AE22" s="1478"/>
      <c r="AF22" s="1478"/>
      <c r="AG22" s="1478"/>
      <c r="AH22" s="1478"/>
      <c r="AI22" s="1478"/>
    </row>
    <row r="23" spans="1:40" ht="27.75" thickBot="1">
      <c r="A23" s="1649" t="s">
        <v>1875</v>
      </c>
      <c r="B23" s="1489" t="s">
        <v>982</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925</v>
      </c>
      <c r="O23" s="1548"/>
      <c r="P23" s="2808">
        <f>SUMPRODUCT((地价!A3:A19=YEAR(G19)&amp;"-"&amp;ROUNDUP(MONTH(G19)/3,0))*(地价!AD2:AH2=N23)*(地价!AD3:AH19))</f>
        <v>2.6599999999999999E-2</v>
      </c>
      <c r="R23" s="2964"/>
      <c r="S23" s="2964"/>
      <c r="T23" s="2964"/>
      <c r="U23" s="2964"/>
      <c r="V23" s="2964"/>
      <c r="W23" s="2205"/>
      <c r="X23" s="2205"/>
      <c r="Y23" s="2205"/>
      <c r="Z23" s="2205"/>
      <c r="AA23" s="2205"/>
      <c r="AB23" s="2205"/>
      <c r="AC23" s="2205"/>
      <c r="AN23" s="1409"/>
    </row>
    <row r="24" spans="1:40" s="1427" customFormat="1" ht="15.75" thickBot="1">
      <c r="A24" s="1647" t="s">
        <v>1876</v>
      </c>
      <c r="B24" s="1420" t="s">
        <v>983</v>
      </c>
      <c r="C24" s="1065">
        <f>SUMIF(A44:A87,E2,B44:B87)</f>
        <v>0</v>
      </c>
      <c r="D24" s="1541"/>
      <c r="E24" s="1542"/>
      <c r="F24" s="1542"/>
      <c r="G24" s="1542"/>
      <c r="H24" s="1542"/>
      <c r="I24" s="1542"/>
      <c r="J24" s="1542"/>
      <c r="K24" s="1487"/>
      <c r="L24" s="1487"/>
      <c r="M24" s="1487"/>
      <c r="N24" s="1490" t="s">
        <v>984</v>
      </c>
      <c r="O24" s="1549"/>
      <c r="P24" s="1547">
        <f>SUMPRODUCT((地价!A3:A19=YEAR(G19)&amp;"-"&amp;ROUNDUP(MONTH(G19)/3,0))*(地价!AD2:AH2=N24)*(地价!AD3:AH19))</f>
        <v>1.34E-2</v>
      </c>
      <c r="R24" s="2964"/>
      <c r="S24" s="2964"/>
      <c r="T24" s="2964"/>
      <c r="U24" s="2964"/>
      <c r="V24" s="2964"/>
      <c r="W24" s="2205"/>
      <c r="X24" s="2205"/>
      <c r="Y24" s="2205"/>
      <c r="Z24" s="2205"/>
      <c r="AA24" s="2205"/>
      <c r="AB24" s="2205"/>
      <c r="AC24" s="2205"/>
      <c r="AD24" s="1478"/>
      <c r="AE24" s="1478"/>
      <c r="AF24" s="1478"/>
      <c r="AG24" s="1478"/>
      <c r="AH24" s="1478"/>
      <c r="AI24" s="1478"/>
    </row>
    <row r="25" spans="1:40" ht="15" thickBot="1">
      <c r="A25" s="1647" t="s">
        <v>1877</v>
      </c>
      <c r="B25" s="1492" t="s">
        <v>985</v>
      </c>
      <c r="C25" s="1493"/>
      <c r="D25" s="1436"/>
      <c r="E25" s="1436"/>
      <c r="F25" s="1494"/>
      <c r="G25" s="1436"/>
      <c r="H25" s="1436"/>
      <c r="I25" s="1436"/>
      <c r="J25" s="1437"/>
      <c r="K25" s="1406"/>
      <c r="L25" s="2205"/>
      <c r="M25" s="2205"/>
      <c r="N25" s="2836" t="s">
        <v>2664</v>
      </c>
      <c r="O25" s="2205"/>
      <c r="P25" s="1547">
        <f>SUMPRODUCT((地价!A3:A19=YEAR(G19)&amp;"-"&amp;ROUNDUP(MONTH(G19)/3,0))*(地价!AD2:AH2=N25)*(地价!AD3:AH19))</f>
        <v>2.3900000000000001E-2</v>
      </c>
      <c r="R25" s="2964"/>
      <c r="S25" s="2964"/>
      <c r="T25" s="2964"/>
      <c r="U25" s="2964"/>
      <c r="V25" s="2964"/>
      <c r="W25" s="2205"/>
      <c r="X25" s="2205"/>
      <c r="Y25" s="2205"/>
      <c r="Z25" s="2205"/>
      <c r="AA25" s="2205"/>
      <c r="AB25" s="2205"/>
      <c r="AC25" s="2205"/>
    </row>
    <row r="26" spans="1:40" ht="14.25">
      <c r="A26" s="1495"/>
      <c r="B26" s="1489" t="s">
        <v>989</v>
      </c>
      <c r="C26" s="1066" t="e">
        <f>E29+SUM(E33:E39)</f>
        <v>#DIV/0!</v>
      </c>
      <c r="D26" s="1496"/>
      <c r="E26" s="1462"/>
      <c r="F26" s="1497"/>
      <c r="G26" s="1462"/>
      <c r="H26" s="1462"/>
      <c r="I26" s="1462"/>
      <c r="J26" s="1498"/>
      <c r="K26" s="1406"/>
      <c r="L26" s="2205"/>
      <c r="M26" s="2205"/>
      <c r="N26" s="2205"/>
      <c r="O26" s="2205"/>
      <c r="P26" s="2205"/>
      <c r="Q26" s="2205"/>
      <c r="R26" s="2964"/>
      <c r="S26" s="2964"/>
      <c r="T26" s="2964"/>
      <c r="U26" s="2964"/>
      <c r="V26" s="2964"/>
      <c r="W26" s="2205"/>
      <c r="X26" s="2205"/>
      <c r="Y26" s="2205"/>
      <c r="Z26" s="2205"/>
      <c r="AA26" s="2205"/>
      <c r="AB26" s="2205"/>
      <c r="AC26" s="2205"/>
      <c r="AD26" s="1478"/>
      <c r="AE26" s="1478"/>
      <c r="AF26" s="1478"/>
      <c r="AG26" s="1478"/>
    </row>
    <row r="27" spans="1:40" ht="15" thickBot="1">
      <c r="A27" s="1495"/>
      <c r="B27" s="1499" t="s">
        <v>991</v>
      </c>
      <c r="C27" s="1067" t="e">
        <f>E30+SUM(I33:I39)</f>
        <v>#DIV/0!</v>
      </c>
      <c r="D27" s="1500"/>
      <c r="E27" s="1501"/>
      <c r="F27" s="1502"/>
      <c r="G27" s="1501"/>
      <c r="H27" s="1501"/>
      <c r="I27" s="1501"/>
      <c r="J27" s="1503"/>
      <c r="K27" s="1406"/>
      <c r="L27" s="2205"/>
      <c r="M27" s="2205"/>
      <c r="N27" s="2205"/>
      <c r="O27" s="2205"/>
      <c r="P27" s="2205"/>
      <c r="Q27" s="2205"/>
      <c r="R27" s="2964"/>
      <c r="S27" s="2964"/>
      <c r="T27" s="2964"/>
      <c r="U27" s="2964"/>
      <c r="V27" s="2964"/>
      <c r="W27" s="2205"/>
      <c r="X27" s="2205"/>
      <c r="Y27" s="2205"/>
      <c r="Z27" s="2205"/>
      <c r="AA27" s="2205"/>
      <c r="AB27" s="2205"/>
      <c r="AC27" s="2205"/>
    </row>
    <row r="28" spans="1:40" ht="14.25">
      <c r="A28" s="1491"/>
      <c r="B28" s="1504" t="s">
        <v>992</v>
      </c>
      <c r="C28" s="1505" t="s">
        <v>993</v>
      </c>
      <c r="D28" s="1505" t="s">
        <v>994</v>
      </c>
      <c r="E28" s="1506" t="s">
        <v>995</v>
      </c>
      <c r="F28" s="1507"/>
      <c r="G28" s="1448"/>
      <c r="H28" s="1448"/>
      <c r="I28" s="1448"/>
      <c r="J28" s="1449"/>
      <c r="K28" s="1406"/>
      <c r="L28" s="2205"/>
      <c r="M28" s="2205"/>
      <c r="N28" s="2205"/>
      <c r="O28" s="2205"/>
      <c r="P28" s="2205"/>
      <c r="Q28" s="2205"/>
      <c r="R28" s="2964"/>
      <c r="S28" s="2964"/>
      <c r="T28" s="2964"/>
      <c r="U28" s="2964"/>
      <c r="V28" s="2964"/>
      <c r="W28" s="2205"/>
      <c r="X28" s="2205"/>
      <c r="Y28" s="2205"/>
      <c r="Z28" s="2205"/>
      <c r="AA28" s="2205"/>
      <c r="AB28" s="2205"/>
      <c r="AC28" s="2205"/>
      <c r="AD28" s="1478"/>
      <c r="AE28" s="1478"/>
      <c r="AF28" s="1478"/>
      <c r="AG28" s="1478"/>
    </row>
    <row r="29" spans="1:40" ht="24">
      <c r="A29" s="1508"/>
      <c r="B29" s="1509" t="s">
        <v>996</v>
      </c>
      <c r="C29" s="1066" t="e">
        <f>ROUND(C5*C18*C19*C20*C21*C24,0)</f>
        <v>#DIV/0!</v>
      </c>
      <c r="D29" s="1510"/>
      <c r="E29" s="1855" t="e">
        <f>ROUND(C29*D29/10000,0)</f>
        <v>#DIV/0!</v>
      </c>
      <c r="F29" s="1511" t="s">
        <v>1704</v>
      </c>
      <c r="G29" s="1512"/>
      <c r="H29" s="1512"/>
      <c r="I29" s="1512"/>
      <c r="J29" s="1513"/>
      <c r="K29" s="1406"/>
      <c r="L29" s="2205"/>
      <c r="M29" s="2205"/>
      <c r="N29" s="2205"/>
      <c r="O29" s="2205"/>
      <c r="P29" s="2205"/>
      <c r="Q29" s="2205"/>
      <c r="R29" s="2964"/>
      <c r="S29" s="2964"/>
      <c r="T29" s="2964"/>
      <c r="U29" s="2964"/>
      <c r="V29" s="2964"/>
      <c r="W29" s="2205"/>
      <c r="X29" s="2205"/>
      <c r="Y29" s="2205"/>
      <c r="Z29" s="2205"/>
      <c r="AA29" s="2205"/>
      <c r="AB29" s="2205"/>
      <c r="AC29" s="2205"/>
      <c r="AH29" s="1407"/>
      <c r="AI29" s="1407"/>
      <c r="AJ29" s="1410"/>
      <c r="AK29" s="1410"/>
      <c r="AL29" s="1410"/>
      <c r="AM29" s="1410"/>
    </row>
    <row r="30" spans="1:40" ht="24.75" thickBot="1">
      <c r="A30" s="1514"/>
      <c r="B30" s="1515" t="s">
        <v>997</v>
      </c>
      <c r="C30" s="1054" t="e">
        <f>ROUND(IF(E2="工业",C29*M39,C29*M38),0)</f>
        <v>#DIV/0!</v>
      </c>
      <c r="D30" s="1516"/>
      <c r="E30" s="1855" t="e">
        <f>ROUND(C30*D30/10000,0)</f>
        <v>#DIV/0!</v>
      </c>
      <c r="F30" s="1517" t="s">
        <v>998</v>
      </c>
      <c r="G30" s="1518"/>
      <c r="H30" s="1518"/>
      <c r="I30" s="1518"/>
      <c r="J30" s="1519"/>
      <c r="K30" s="1406"/>
      <c r="L30" s="2199"/>
      <c r="M30" s="2199"/>
      <c r="N30" s="2199"/>
      <c r="O30" s="2199"/>
      <c r="P30" s="2199"/>
      <c r="Q30" s="2199"/>
      <c r="R30" s="2200"/>
      <c r="S30" s="2200"/>
      <c r="T30" s="2200"/>
      <c r="U30" s="2200"/>
      <c r="V30" s="2200"/>
      <c r="W30" s="2199"/>
      <c r="X30" s="2199"/>
      <c r="Y30" s="2199"/>
      <c r="Z30" s="2199"/>
      <c r="AA30" s="2199"/>
      <c r="AB30" s="2199"/>
      <c r="AC30" s="2199"/>
      <c r="AD30" s="1478"/>
      <c r="AE30" s="1478"/>
      <c r="AF30" s="1478"/>
      <c r="AG30" s="1478"/>
      <c r="AH30" s="1407"/>
      <c r="AI30" s="1407"/>
      <c r="AJ30" s="1410"/>
      <c r="AK30" s="1410"/>
      <c r="AL30" s="1410"/>
      <c r="AM30" s="1410"/>
    </row>
    <row r="31" spans="1:40">
      <c r="A31" s="1520"/>
      <c r="B31" s="1521" t="s">
        <v>999</v>
      </c>
      <c r="C31" s="1522" t="s">
        <v>1000</v>
      </c>
      <c r="D31" s="1448"/>
      <c r="E31" s="1522"/>
      <c r="F31" s="1522"/>
      <c r="G31" s="1446" t="s">
        <v>998</v>
      </c>
      <c r="H31" s="1448"/>
      <c r="I31" s="1523"/>
      <c r="J31" s="1449"/>
      <c r="K31" s="1406"/>
      <c r="L31" s="2199"/>
      <c r="M31" s="2199"/>
      <c r="N31" s="2199"/>
      <c r="O31" s="2199"/>
      <c r="P31" s="2199"/>
      <c r="Q31" s="2199"/>
      <c r="R31" s="2200"/>
      <c r="S31" s="2200"/>
      <c r="T31" s="2200"/>
      <c r="U31" s="2200"/>
      <c r="V31" s="2200"/>
      <c r="W31" s="2199"/>
      <c r="X31" s="2199"/>
      <c r="Y31" s="2199"/>
      <c r="Z31" s="2199"/>
      <c r="AA31" s="2199"/>
      <c r="AB31" s="2199"/>
      <c r="AC31" s="2199"/>
      <c r="AH31" s="1407"/>
      <c r="AI31" s="1407"/>
      <c r="AJ31" s="1410"/>
      <c r="AK31" s="1410"/>
      <c r="AL31" s="1410"/>
      <c r="AM31" s="1410"/>
    </row>
    <row r="32" spans="1:40" ht="24">
      <c r="A32" s="1508"/>
      <c r="B32" s="1524"/>
      <c r="C32" s="1525" t="s">
        <v>993</v>
      </c>
      <c r="D32" s="1526" t="s">
        <v>994</v>
      </c>
      <c r="E32" s="1526" t="s">
        <v>995</v>
      </c>
      <c r="F32" s="1527" t="s">
        <v>1001</v>
      </c>
      <c r="G32" s="1485" t="s">
        <v>993</v>
      </c>
      <c r="H32" s="1485" t="s">
        <v>994</v>
      </c>
      <c r="I32" s="1485" t="s">
        <v>995</v>
      </c>
      <c r="J32" s="1528"/>
      <c r="K32" s="1406"/>
      <c r="L32" s="2199"/>
      <c r="M32" s="2199"/>
      <c r="N32" s="2199"/>
      <c r="O32" s="2199"/>
      <c r="P32" s="2199"/>
      <c r="Q32" s="2199"/>
      <c r="R32" s="2200"/>
      <c r="S32" s="2200"/>
      <c r="T32" s="2200"/>
      <c r="U32" s="2200"/>
      <c r="V32" s="2200"/>
      <c r="W32" s="2199"/>
      <c r="X32" s="2199"/>
      <c r="Y32" s="2199"/>
      <c r="Z32" s="2199"/>
      <c r="AA32" s="2199"/>
      <c r="AB32" s="2199"/>
      <c r="AC32" s="2199"/>
      <c r="AD32" s="1407"/>
      <c r="AE32" s="1407"/>
      <c r="AF32" s="1407"/>
      <c r="AG32" s="1407"/>
      <c r="AH32" s="1407"/>
      <c r="AI32" s="1407"/>
      <c r="AJ32" s="1410"/>
      <c r="AK32" s="1410"/>
      <c r="AL32" s="1410"/>
      <c r="AM32" s="1410"/>
    </row>
    <row r="33" spans="1:40" ht="12.75">
      <c r="A33" s="1529"/>
      <c r="B33" s="1530" t="s">
        <v>1002</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199"/>
      <c r="M33" s="2199"/>
      <c r="N33" s="2199"/>
      <c r="O33" s="2199"/>
      <c r="P33" s="2199"/>
      <c r="Q33" s="2199"/>
      <c r="R33" s="2200"/>
      <c r="S33" s="2200"/>
      <c r="T33" s="2200"/>
      <c r="U33" s="2200"/>
      <c r="V33" s="2200"/>
      <c r="W33" s="2199"/>
      <c r="X33" s="2199"/>
      <c r="Y33" s="2199"/>
      <c r="Z33" s="2199"/>
      <c r="AA33" s="2199"/>
      <c r="AB33" s="2199"/>
      <c r="AC33" s="2200"/>
    </row>
    <row r="34" spans="1:40" ht="12.75">
      <c r="A34" s="1529"/>
      <c r="B34" s="1451" t="s">
        <v>1003</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199"/>
      <c r="M34" s="2199"/>
      <c r="N34" s="2199"/>
      <c r="O34" s="2199"/>
      <c r="P34" s="2199"/>
      <c r="Q34" s="2199"/>
      <c r="R34" s="2200"/>
      <c r="S34" s="2200"/>
      <c r="T34" s="2200"/>
      <c r="U34" s="2200"/>
      <c r="V34" s="2200"/>
      <c r="W34" s="2199"/>
      <c r="X34" s="2199"/>
      <c r="Y34" s="2199"/>
      <c r="Z34" s="2199"/>
      <c r="AA34" s="2199"/>
      <c r="AB34" s="2199"/>
      <c r="AC34" s="2200"/>
    </row>
    <row r="35" spans="1:40" ht="12.75">
      <c r="A35" s="1529"/>
      <c r="B35" s="1451" t="s">
        <v>1004</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1529"/>
      <c r="B36" s="1451" t="s">
        <v>1005</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199"/>
      <c r="M36" s="2199"/>
      <c r="N36" s="2199"/>
      <c r="O36" s="2199"/>
      <c r="P36" s="2199"/>
      <c r="Q36" s="2199"/>
      <c r="R36" s="2200"/>
      <c r="S36" s="2200"/>
      <c r="T36" s="2200"/>
      <c r="U36" s="2200"/>
      <c r="V36" s="2200"/>
      <c r="W36" s="2199"/>
      <c r="X36" s="2199"/>
      <c r="Y36" s="2199"/>
      <c r="Z36" s="2199"/>
      <c r="AA36" s="2199"/>
      <c r="AB36" s="2199"/>
      <c r="AC36" s="2200"/>
    </row>
    <row r="37" spans="1:40" ht="12.75">
      <c r="A37" s="1529"/>
      <c r="B37" s="1451" t="s">
        <v>1006</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1706</v>
      </c>
      <c r="M37" s="1551"/>
      <c r="N37" s="2199"/>
      <c r="O37" s="2199"/>
      <c r="P37" s="2199"/>
      <c r="Q37" s="2199"/>
      <c r="R37" s="2200"/>
      <c r="S37" s="2200"/>
      <c r="T37" s="2200"/>
      <c r="U37" s="2200"/>
      <c r="V37" s="2200"/>
      <c r="W37" s="2199"/>
      <c r="X37" s="2199"/>
      <c r="Y37" s="2199"/>
      <c r="Z37" s="2199"/>
      <c r="AA37" s="2199"/>
      <c r="AB37" s="2199"/>
      <c r="AC37" s="2200"/>
    </row>
    <row r="38" spans="1:40" ht="12.75">
      <c r="A38" s="1529"/>
      <c r="B38" s="1451" t="s">
        <v>1007</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1708</v>
      </c>
      <c r="M38" s="1553">
        <v>0.25</v>
      </c>
      <c r="N38" s="2199"/>
      <c r="O38" s="2199"/>
      <c r="P38" s="2199"/>
      <c r="Q38" s="2199"/>
      <c r="R38" s="2200"/>
      <c r="S38" s="2200"/>
      <c r="T38" s="2200"/>
      <c r="U38" s="2200"/>
      <c r="V38" s="2200"/>
      <c r="W38" s="2199"/>
      <c r="X38" s="2199"/>
      <c r="Y38" s="2199"/>
      <c r="Z38" s="2199"/>
      <c r="AA38" s="2199"/>
      <c r="AB38" s="2199"/>
      <c r="AC38" s="2200"/>
    </row>
    <row r="39" spans="1:40" ht="13.5" thickBot="1">
      <c r="A39" s="1514"/>
      <c r="B39" s="1532" t="s">
        <v>1008</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1707</v>
      </c>
      <c r="M39" s="1555">
        <v>0.15</v>
      </c>
      <c r="N39" s="2199"/>
      <c r="O39" s="2199"/>
      <c r="P39" s="2199"/>
      <c r="Q39" s="2199"/>
      <c r="R39" s="2200"/>
      <c r="S39" s="2200"/>
      <c r="T39" s="2200"/>
      <c r="U39" s="2200"/>
      <c r="V39" s="2200"/>
      <c r="W39" s="2199"/>
      <c r="X39" s="2199"/>
      <c r="Y39" s="2199"/>
      <c r="Z39" s="2199"/>
      <c r="AA39" s="2199"/>
      <c r="AB39" s="2199"/>
      <c r="AC39" s="2200"/>
    </row>
    <row r="40" spans="1:40" s="1407"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8"/>
      <c r="AE40" s="1408"/>
      <c r="AF40" s="1408"/>
      <c r="AG40" s="1408"/>
      <c r="AH40" s="1408"/>
      <c r="AI40" s="1408"/>
      <c r="AJ40" s="1408"/>
      <c r="AK40" s="1408"/>
      <c r="AL40" s="1408"/>
      <c r="AM40" s="1408"/>
    </row>
    <row r="41" spans="1:40" s="1407" customFormat="1">
      <c r="A41" s="1408"/>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8"/>
      <c r="AE41" s="1408"/>
      <c r="AF41" s="1408"/>
      <c r="AG41" s="1408"/>
      <c r="AH41" s="1408"/>
      <c r="AI41" s="1408"/>
      <c r="AJ41" s="1408"/>
      <c r="AK41" s="1408"/>
      <c r="AL41" s="1408"/>
      <c r="AM41" s="1408"/>
    </row>
    <row r="42" spans="1:40" s="1407" customFormat="1">
      <c r="A42" s="1408"/>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8"/>
      <c r="AE42" s="1408"/>
      <c r="AF42" s="1408"/>
      <c r="AG42" s="1408"/>
      <c r="AH42" s="1408"/>
      <c r="AI42" s="1408"/>
      <c r="AJ42" s="1408"/>
      <c r="AK42" s="1408"/>
      <c r="AL42" s="1408"/>
      <c r="AM42" s="1408"/>
    </row>
    <row r="43" spans="1:40" s="1407" customFormat="1">
      <c r="A43" s="1408"/>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8"/>
      <c r="AE43" s="1408"/>
      <c r="AF43" s="1408"/>
      <c r="AG43" s="1408"/>
      <c r="AH43" s="1408"/>
      <c r="AI43" s="1408"/>
      <c r="AJ43" s="1408"/>
      <c r="AK43" s="1408"/>
      <c r="AL43" s="1408"/>
      <c r="AM43" s="1408"/>
    </row>
    <row r="44" spans="1:40" s="1407" customFormat="1" ht="15" thickBot="1">
      <c r="A44" s="2454" t="s">
        <v>1009</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8"/>
      <c r="AE44" s="1408"/>
      <c r="AF44" s="1408"/>
      <c r="AG44" s="1408"/>
      <c r="AH44" s="1408"/>
      <c r="AI44" s="1408"/>
      <c r="AJ44" s="1408"/>
      <c r="AK44" s="1408"/>
      <c r="AL44" s="1408"/>
      <c r="AM44" s="1408"/>
    </row>
    <row r="45" spans="1:40" s="1407" customFormat="1" ht="15">
      <c r="A45" s="2459" t="s">
        <v>1010</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8"/>
      <c r="AE45" s="1408"/>
      <c r="AF45" s="1408"/>
      <c r="AG45" s="1408"/>
      <c r="AH45" s="1408"/>
      <c r="AI45" s="1408"/>
      <c r="AJ45" s="1408"/>
      <c r="AK45" s="1408"/>
      <c r="AL45" s="1408"/>
      <c r="AM45" s="1408"/>
    </row>
    <row r="46" spans="1:40" s="1407" customFormat="1" ht="24">
      <c r="A46" s="1070" t="s">
        <v>1011</v>
      </c>
      <c r="B46" s="2443" t="s">
        <v>1012</v>
      </c>
      <c r="C46" s="2465" t="s">
        <v>1013</v>
      </c>
      <c r="D46" s="2466" t="s">
        <v>1014</v>
      </c>
      <c r="E46" s="2467" t="s">
        <v>1016</v>
      </c>
      <c r="F46" s="2468" t="s">
        <v>2260</v>
      </c>
      <c r="G46" s="2466" t="s">
        <v>1017</v>
      </c>
      <c r="H46" s="2449" t="s">
        <v>2430</v>
      </c>
      <c r="I46" s="2466" t="s">
        <v>1015</v>
      </c>
      <c r="J46" s="2469" t="s">
        <v>1018</v>
      </c>
      <c r="K46" s="2469" t="s">
        <v>1019</v>
      </c>
      <c r="L46" s="2469" t="s">
        <v>1020</v>
      </c>
      <c r="M46" s="2469" t="s">
        <v>1021</v>
      </c>
      <c r="N46" s="2469" t="s">
        <v>1022</v>
      </c>
      <c r="P46" s="2206"/>
      <c r="Q46" s="2206"/>
      <c r="R46" s="2207"/>
      <c r="S46" s="2207"/>
      <c r="T46" s="2207"/>
      <c r="U46" s="2207"/>
      <c r="V46" s="2207"/>
      <c r="W46" s="2206"/>
      <c r="X46" s="2206"/>
      <c r="Y46" s="2206"/>
      <c r="Z46" s="2206"/>
      <c r="AA46" s="2206"/>
      <c r="AB46" s="2206"/>
      <c r="AC46" s="2206"/>
      <c r="AD46" s="2207"/>
      <c r="AE46" s="1408"/>
      <c r="AF46" s="1408"/>
      <c r="AG46" s="1408"/>
      <c r="AH46" s="1408"/>
      <c r="AI46" s="1408"/>
      <c r="AJ46" s="1408"/>
      <c r="AK46" s="1408"/>
      <c r="AL46" s="1408"/>
      <c r="AM46" s="1408"/>
      <c r="AN46" s="1408"/>
    </row>
    <row r="47" spans="1:40" s="1407" customFormat="1" ht="84">
      <c r="A47" s="1070" t="s">
        <v>1023</v>
      </c>
      <c r="B47" s="2446" t="str">
        <f>估价对象房地状况!C16</f>
        <v>估价对象位于美兰区海甸岛，周边2公里范围内有恒福居商业广场、 美丽沙花园底商等，由于估价对象位于海甸岛北侧，人流量较大，商服繁华度较好。</v>
      </c>
      <c r="C47" s="1053"/>
      <c r="D47" s="2452">
        <f t="shared" ref="D47:D55" si="10">SUMIF($J$46:$N$46,C47,J47:N47)</f>
        <v>0</v>
      </c>
      <c r="E47" s="2471">
        <f>ROUND(SUM(D47:D55),4)</f>
        <v>0</v>
      </c>
      <c r="F47" s="2472" t="str">
        <f>IF(E2="商业",SUMIF(L1:L12,G2,N1:N12),"——")</f>
        <v>——</v>
      </c>
      <c r="G47" s="2450"/>
      <c r="H47" s="2496" t="str">
        <f t="shared" ref="H47:H55" si="11">IFERROR(ROUNDDOWN(($F$47*I47/2),4),"——")</f>
        <v>——</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8"/>
      <c r="AF47" s="1408"/>
      <c r="AG47" s="1408"/>
      <c r="AH47" s="1408"/>
      <c r="AI47" s="1408"/>
      <c r="AJ47" s="1408"/>
      <c r="AK47" s="1408"/>
      <c r="AL47" s="1408"/>
      <c r="AM47" s="1408"/>
      <c r="AN47" s="1408"/>
    </row>
    <row r="48" spans="1:40" s="1407" customFormat="1" ht="72">
      <c r="A48" s="1070" t="s">
        <v>1024</v>
      </c>
      <c r="B48" s="2443" t="str">
        <f>估价对象房地状况!C18</f>
        <v>估价对象位于美兰区，东距甸昆路约800米，南面邻近琼州海峡。周边2公里范围内有5、20、26路等公交线路，路网密集度一般，交通便捷度一般。</v>
      </c>
      <c r="C48" s="1053"/>
      <c r="D48" s="2452">
        <f t="shared" si="10"/>
        <v>0</v>
      </c>
      <c r="E48" s="2474"/>
      <c r="F48" s="2472"/>
      <c r="G48" s="2450"/>
      <c r="H48" s="2496" t="str">
        <f t="shared" si="11"/>
        <v>——</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8"/>
      <c r="AF48" s="1408"/>
      <c r="AG48" s="1408"/>
      <c r="AH48" s="1408"/>
      <c r="AI48" s="1408"/>
      <c r="AJ48" s="1408"/>
      <c r="AK48" s="1408"/>
      <c r="AL48" s="1408"/>
      <c r="AM48" s="1408"/>
      <c r="AN48" s="1408"/>
    </row>
    <row r="49" spans="1:40" s="1407" customFormat="1" ht="24">
      <c r="A49" s="1070" t="s">
        <v>1025</v>
      </c>
      <c r="B49" s="2443">
        <f>估价对象房地状况!C19</f>
        <v>0</v>
      </c>
      <c r="C49" s="1053"/>
      <c r="D49" s="2452">
        <f t="shared" si="10"/>
        <v>0</v>
      </c>
      <c r="E49" s="2474"/>
      <c r="F49" s="2472"/>
      <c r="G49" s="2450"/>
      <c r="H49" s="2496" t="str">
        <f t="shared" si="11"/>
        <v>——</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8"/>
      <c r="AF49" s="1408"/>
      <c r="AG49" s="1408"/>
      <c r="AH49" s="1408"/>
      <c r="AI49" s="1408"/>
      <c r="AJ49" s="1408"/>
      <c r="AK49" s="1408"/>
      <c r="AL49" s="1408"/>
      <c r="AM49" s="1408"/>
      <c r="AN49" s="1408"/>
    </row>
    <row r="50" spans="1:40" s="1407" customFormat="1" ht="36">
      <c r="A50" s="1070" t="s">
        <v>1026</v>
      </c>
      <c r="B50" s="3136" t="s">
        <v>2952</v>
      </c>
      <c r="C50" s="1053"/>
      <c r="D50" s="2452">
        <f t="shared" si="10"/>
        <v>0</v>
      </c>
      <c r="E50" s="2474"/>
      <c r="F50" s="2472"/>
      <c r="G50" s="2450"/>
      <c r="H50" s="2496" t="str">
        <f t="shared" si="11"/>
        <v>——</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8"/>
      <c r="AF50" s="1408"/>
      <c r="AG50" s="1408"/>
      <c r="AH50" s="1408"/>
      <c r="AI50" s="1408"/>
      <c r="AJ50" s="1408"/>
      <c r="AK50" s="1408"/>
      <c r="AL50" s="1408"/>
      <c r="AM50" s="1408"/>
      <c r="AN50" s="1408"/>
    </row>
    <row r="51" spans="1:40" s="1407" customFormat="1" ht="24">
      <c r="A51" s="1070" t="s">
        <v>1027</v>
      </c>
      <c r="B51" s="2443" t="str">
        <f>估价对象房地状况!C24</f>
        <v>城市次干道-海甸五西路</v>
      </c>
      <c r="C51" s="1053"/>
      <c r="D51" s="2452">
        <f t="shared" si="10"/>
        <v>0</v>
      </c>
      <c r="E51" s="2474"/>
      <c r="F51" s="2472"/>
      <c r="G51" s="2450"/>
      <c r="H51" s="2496" t="str">
        <f t="shared" si="11"/>
        <v>——</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8"/>
      <c r="AF51" s="1408"/>
      <c r="AG51" s="1408"/>
      <c r="AH51" s="1408"/>
      <c r="AI51" s="1408"/>
      <c r="AJ51" s="1408"/>
      <c r="AK51" s="1408"/>
      <c r="AL51" s="1408"/>
      <c r="AM51" s="1408"/>
      <c r="AN51" s="1408"/>
    </row>
    <row r="52" spans="1:40" s="1407" customFormat="1" ht="24">
      <c r="A52" s="1070" t="s">
        <v>1028</v>
      </c>
      <c r="B52" s="3135" t="s">
        <v>2951</v>
      </c>
      <c r="C52" s="1053"/>
      <c r="D52" s="2452">
        <f t="shared" si="10"/>
        <v>0</v>
      </c>
      <c r="E52" s="2474"/>
      <c r="F52" s="2472"/>
      <c r="G52" s="2450"/>
      <c r="H52" s="2496" t="str">
        <f t="shared" si="11"/>
        <v>——</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8"/>
      <c r="AF52" s="1408"/>
      <c r="AG52" s="1408"/>
      <c r="AH52" s="1408"/>
      <c r="AI52" s="1408"/>
      <c r="AJ52" s="1408"/>
      <c r="AK52" s="1408"/>
      <c r="AL52" s="1408"/>
      <c r="AM52" s="1408"/>
      <c r="AN52" s="1408"/>
    </row>
    <row r="53" spans="1:40" s="1407" customFormat="1" ht="72">
      <c r="A53" s="2475" t="s">
        <v>1029</v>
      </c>
      <c r="B53" s="2444" t="str">
        <f>估价对象房地状况!C21</f>
        <v>周边2公里范围内有海口实验幼儿园、海口景山学校海淀分校等学校；有中国建设银行、中国工商银行等金融机构；公共配套设施情况较好。</v>
      </c>
      <c r="C53" s="1053"/>
      <c r="D53" s="2452">
        <f t="shared" si="10"/>
        <v>0</v>
      </c>
      <c r="E53" s="2474"/>
      <c r="F53" s="2472"/>
      <c r="G53" s="2450"/>
      <c r="H53" s="2496" t="str">
        <f t="shared" si="11"/>
        <v>——</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8"/>
      <c r="AF53" s="1408"/>
      <c r="AG53" s="1408"/>
      <c r="AH53" s="1408"/>
      <c r="AI53" s="1408"/>
      <c r="AJ53" s="1408"/>
      <c r="AK53" s="1408"/>
      <c r="AL53" s="1408"/>
      <c r="AM53" s="1408"/>
      <c r="AN53" s="1408"/>
    </row>
    <row r="54" spans="1:40" s="1407" customFormat="1" ht="24">
      <c r="A54" s="2475" t="s">
        <v>1030</v>
      </c>
      <c r="B54" s="2443" t="str">
        <f>估价对象房地状况!C22</f>
        <v>估价对象所在区域基础设施水平：六通</v>
      </c>
      <c r="C54" s="1053"/>
      <c r="D54" s="2452">
        <f t="shared" si="10"/>
        <v>0</v>
      </c>
      <c r="E54" s="2474"/>
      <c r="F54" s="2472"/>
      <c r="G54" s="2450"/>
      <c r="H54" s="2496" t="str">
        <f t="shared" si="11"/>
        <v>——</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8"/>
      <c r="AF54" s="1408"/>
      <c r="AG54" s="1408"/>
      <c r="AH54" s="1408"/>
      <c r="AI54" s="1408"/>
      <c r="AJ54" s="1408"/>
      <c r="AK54" s="1408"/>
      <c r="AL54" s="1408"/>
      <c r="AM54" s="1408"/>
      <c r="AN54" s="1408"/>
    </row>
    <row r="55" spans="1:40" s="1407" customFormat="1" ht="60.75" thickBot="1">
      <c r="A55" s="2476" t="s">
        <v>1031</v>
      </c>
      <c r="B55" s="2447" t="str">
        <f>估价对象房地状况!C20</f>
        <v>估价对象所处区域土地利用类型以住宅用地为主；周边2公里范围内有海南大学、邻近琼州海峡，自然及人文环境好。</v>
      </c>
      <c r="C55" s="1053"/>
      <c r="D55" s="2452">
        <f t="shared" si="10"/>
        <v>0</v>
      </c>
      <c r="E55" s="2478"/>
      <c r="F55" s="2472"/>
      <c r="G55" s="2450"/>
      <c r="H55" s="2496" t="str">
        <f t="shared" si="11"/>
        <v>——</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8"/>
      <c r="AF55" s="1408"/>
      <c r="AG55" s="1408"/>
      <c r="AH55" s="1408"/>
      <c r="AI55" s="1408"/>
      <c r="AJ55" s="1408"/>
      <c r="AK55" s="1408"/>
      <c r="AL55" s="1408"/>
      <c r="AM55" s="1408"/>
      <c r="AN55" s="1408"/>
    </row>
    <row r="56" spans="1:40" s="1407" customFormat="1" ht="15">
      <c r="A56" s="2459" t="s">
        <v>1032</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8"/>
      <c r="AF56" s="1408"/>
      <c r="AG56" s="1408"/>
      <c r="AH56" s="1408"/>
      <c r="AI56" s="1408"/>
      <c r="AJ56" s="1408"/>
      <c r="AK56" s="1408"/>
      <c r="AL56" s="1408"/>
      <c r="AM56" s="1408"/>
      <c r="AN56" s="1408"/>
    </row>
    <row r="57" spans="1:40" s="1407" customFormat="1" ht="24">
      <c r="A57" s="1070" t="s">
        <v>1011</v>
      </c>
      <c r="B57" s="2443"/>
      <c r="C57" s="2465" t="s">
        <v>1013</v>
      </c>
      <c r="D57" s="2466" t="s">
        <v>1014</v>
      </c>
      <c r="E57" s="2467" t="s">
        <v>1016</v>
      </c>
      <c r="F57" s="2468" t="s">
        <v>2261</v>
      </c>
      <c r="G57" s="2466" t="s">
        <v>1017</v>
      </c>
      <c r="H57" s="2449" t="s">
        <v>2430</v>
      </c>
      <c r="I57" s="2466" t="s">
        <v>1015</v>
      </c>
      <c r="J57" s="2469" t="s">
        <v>1018</v>
      </c>
      <c r="K57" s="2469" t="s">
        <v>1019</v>
      </c>
      <c r="L57" s="2469" t="s">
        <v>1020</v>
      </c>
      <c r="M57" s="2469" t="s">
        <v>1021</v>
      </c>
      <c r="N57" s="2469" t="s">
        <v>1022</v>
      </c>
      <c r="P57" s="2206"/>
      <c r="Q57" s="2206"/>
      <c r="R57" s="2207"/>
      <c r="S57" s="2207"/>
      <c r="T57" s="2207"/>
      <c r="U57" s="2207"/>
      <c r="V57" s="2207"/>
      <c r="W57" s="2206"/>
      <c r="X57" s="2206"/>
      <c r="Y57" s="2206"/>
      <c r="Z57" s="2206"/>
      <c r="AA57" s="2206"/>
      <c r="AB57" s="2206"/>
      <c r="AC57" s="2206"/>
      <c r="AD57" s="2207"/>
      <c r="AE57" s="1408"/>
      <c r="AF57" s="1408"/>
      <c r="AG57" s="1408"/>
      <c r="AH57" s="1408"/>
      <c r="AI57" s="1408"/>
      <c r="AJ57" s="1408"/>
      <c r="AK57" s="1408"/>
      <c r="AL57" s="1408"/>
      <c r="AM57" s="1408"/>
      <c r="AN57" s="1408"/>
    </row>
    <row r="58" spans="1:40" s="1407" customFormat="1" ht="24">
      <c r="A58" s="1070" t="s">
        <v>1033</v>
      </c>
      <c r="B58" s="2446">
        <f>估价对象房地状况!C17</f>
        <v>0</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8"/>
      <c r="AF58" s="1408"/>
      <c r="AG58" s="1408"/>
      <c r="AH58" s="1408"/>
      <c r="AI58" s="1408"/>
      <c r="AJ58" s="1408"/>
      <c r="AK58" s="1408"/>
      <c r="AL58" s="1408"/>
      <c r="AM58" s="1408"/>
      <c r="AN58" s="1408"/>
    </row>
    <row r="59" spans="1:40" s="1407" customFormat="1" ht="72">
      <c r="A59" s="1070" t="s">
        <v>1024</v>
      </c>
      <c r="B59" s="2443" t="str">
        <f>估价对象房地状况!C18</f>
        <v>估价对象位于美兰区，东距甸昆路约800米，南面邻近琼州海峡。周边2公里范围内有5、20、26路等公交线路，路网密集度一般，交通便捷度一般。</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8"/>
      <c r="AF59" s="1408"/>
      <c r="AG59" s="1408"/>
      <c r="AH59" s="1408"/>
      <c r="AI59" s="1408"/>
      <c r="AJ59" s="1408"/>
      <c r="AK59" s="1408"/>
      <c r="AL59" s="1408"/>
      <c r="AM59" s="1408"/>
      <c r="AN59" s="1408"/>
    </row>
    <row r="60" spans="1:40" s="1407" customFormat="1" ht="24">
      <c r="A60" s="1070" t="s">
        <v>1025</v>
      </c>
      <c r="B60" s="2443">
        <f>估价对象房地状况!C19</f>
        <v>0</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8"/>
      <c r="AF60" s="1408"/>
      <c r="AG60" s="1408"/>
      <c r="AH60" s="1408"/>
      <c r="AI60" s="1408"/>
      <c r="AJ60" s="1408"/>
      <c r="AK60" s="1408"/>
      <c r="AL60" s="1408"/>
      <c r="AM60" s="1408"/>
      <c r="AN60" s="1408"/>
    </row>
    <row r="61" spans="1:40" s="1407" customFormat="1" ht="36">
      <c r="A61" s="1070" t="s">
        <v>1026</v>
      </c>
      <c r="B61" s="3136" t="s">
        <v>2953</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8"/>
      <c r="AF61" s="1408"/>
      <c r="AG61" s="1408"/>
      <c r="AH61" s="1408"/>
      <c r="AI61" s="1408"/>
      <c r="AJ61" s="1408"/>
      <c r="AK61" s="1408"/>
      <c r="AL61" s="1408"/>
      <c r="AM61" s="1408"/>
      <c r="AN61" s="1408"/>
    </row>
    <row r="62" spans="1:40" s="1407" customFormat="1" ht="24">
      <c r="A62" s="1070" t="s">
        <v>1027</v>
      </c>
      <c r="B62" s="2443" t="str">
        <f>估价对象房地状况!C24</f>
        <v>城市次干道-海甸五西路</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8"/>
      <c r="AF62" s="1408"/>
      <c r="AG62" s="1408"/>
      <c r="AH62" s="1408"/>
      <c r="AI62" s="1408"/>
      <c r="AJ62" s="1408"/>
      <c r="AK62" s="1408"/>
      <c r="AL62" s="1408"/>
      <c r="AM62" s="1408"/>
      <c r="AN62" s="1408"/>
    </row>
    <row r="63" spans="1:40" s="1407" customFormat="1" ht="24">
      <c r="A63" s="1070" t="s">
        <v>1028</v>
      </c>
      <c r="B63" s="3135" t="s">
        <v>2951</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8"/>
      <c r="AF63" s="1408"/>
      <c r="AG63" s="1408"/>
      <c r="AH63" s="1408"/>
      <c r="AI63" s="1408"/>
      <c r="AJ63" s="1408"/>
      <c r="AK63" s="1408"/>
      <c r="AL63" s="1408"/>
      <c r="AM63" s="1408"/>
      <c r="AN63" s="1408"/>
    </row>
    <row r="64" spans="1:40" s="1407" customFormat="1" ht="72">
      <c r="A64" s="1070" t="s">
        <v>1029</v>
      </c>
      <c r="B64" s="2444" t="str">
        <f>估价对象房地状况!C21</f>
        <v>周边2公里范围内有海口实验幼儿园、海口景山学校海淀分校等学校；有中国建设银行、中国工商银行等金融机构；公共配套设施情况较好。</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8"/>
      <c r="AF64" s="1408"/>
      <c r="AG64" s="1408"/>
      <c r="AH64" s="1408"/>
      <c r="AI64" s="1408"/>
      <c r="AJ64" s="1408"/>
      <c r="AK64" s="1408"/>
      <c r="AL64" s="1408"/>
      <c r="AM64" s="1408"/>
      <c r="AN64" s="1408"/>
    </row>
    <row r="65" spans="1:40" s="1407" customFormat="1" ht="24">
      <c r="A65" s="1070" t="s">
        <v>1030</v>
      </c>
      <c r="B65" s="2444" t="str">
        <f>估价对象房地状况!C22</f>
        <v>估价对象所在区域基础设施水平：六通</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8"/>
      <c r="AF65" s="1408"/>
      <c r="AG65" s="1408"/>
      <c r="AH65" s="1408"/>
      <c r="AI65" s="1408"/>
      <c r="AJ65" s="1408"/>
      <c r="AK65" s="1408"/>
      <c r="AL65" s="1408"/>
      <c r="AM65" s="1408"/>
      <c r="AN65" s="1408"/>
    </row>
    <row r="66" spans="1:40" s="1407" customFormat="1" ht="60.75" thickBot="1">
      <c r="A66" s="2476" t="s">
        <v>1031</v>
      </c>
      <c r="B66" s="2448" t="str">
        <f>估价对象房地状况!C20</f>
        <v>估价对象所处区域土地利用类型以住宅用地为主；周边2公里范围内有海南大学、邻近琼州海峡，自然及人文环境好。</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8"/>
      <c r="AF66" s="1408"/>
      <c r="AG66" s="1408"/>
      <c r="AH66" s="1408"/>
      <c r="AI66" s="1408"/>
      <c r="AJ66" s="1408"/>
      <c r="AK66" s="1408"/>
      <c r="AL66" s="1408"/>
      <c r="AM66" s="1408"/>
      <c r="AN66" s="1408"/>
    </row>
    <row r="67" spans="1:40" s="1407" customFormat="1" ht="15">
      <c r="A67" s="2459" t="s">
        <v>1034</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8"/>
      <c r="AF67" s="1408"/>
      <c r="AG67" s="1408"/>
      <c r="AH67" s="1408"/>
      <c r="AI67" s="1408"/>
      <c r="AJ67" s="1408"/>
      <c r="AK67" s="1408"/>
      <c r="AL67" s="1408"/>
      <c r="AM67" s="1408"/>
      <c r="AN67" s="1408"/>
    </row>
    <row r="68" spans="1:40" s="1407" customFormat="1" ht="24">
      <c r="A68" s="1070" t="s">
        <v>1011</v>
      </c>
      <c r="B68" s="2443"/>
      <c r="C68" s="2465" t="s">
        <v>1013</v>
      </c>
      <c r="D68" s="2466" t="s">
        <v>1014</v>
      </c>
      <c r="E68" s="2467" t="s">
        <v>1016</v>
      </c>
      <c r="F68" s="2468" t="s">
        <v>2262</v>
      </c>
      <c r="G68" s="2466" t="s">
        <v>1017</v>
      </c>
      <c r="H68" s="2449" t="s">
        <v>2430</v>
      </c>
      <c r="I68" s="2466" t="s">
        <v>1015</v>
      </c>
      <c r="J68" s="2469" t="s">
        <v>1018</v>
      </c>
      <c r="K68" s="2469" t="s">
        <v>1019</v>
      </c>
      <c r="L68" s="2469" t="s">
        <v>1020</v>
      </c>
      <c r="M68" s="2469" t="s">
        <v>1021</v>
      </c>
      <c r="N68" s="2469" t="s">
        <v>1022</v>
      </c>
      <c r="P68" s="2206"/>
      <c r="Q68" s="2206"/>
      <c r="R68" s="2207"/>
      <c r="S68" s="2207"/>
      <c r="T68" s="2207"/>
      <c r="U68" s="2207"/>
      <c r="V68" s="2207"/>
      <c r="W68" s="2206"/>
      <c r="X68" s="2206"/>
      <c r="Y68" s="2206"/>
      <c r="Z68" s="2206"/>
      <c r="AA68" s="2206"/>
      <c r="AB68" s="2206"/>
      <c r="AC68" s="2206"/>
      <c r="AD68" s="2207"/>
      <c r="AE68" s="1408"/>
      <c r="AF68" s="1408"/>
      <c r="AG68" s="1408"/>
      <c r="AH68" s="1408"/>
      <c r="AI68" s="1408"/>
      <c r="AJ68" s="1408"/>
      <c r="AK68" s="1408"/>
      <c r="AL68" s="1408"/>
      <c r="AM68" s="1408"/>
      <c r="AN68" s="1408"/>
    </row>
    <row r="69" spans="1:40" s="1407" customFormat="1" ht="24">
      <c r="A69" s="1070" t="s">
        <v>1035</v>
      </c>
      <c r="B69" s="2446">
        <f>估价对象房地状况!C15</f>
        <v>0</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8"/>
      <c r="AF69" s="1408"/>
      <c r="AG69" s="1408"/>
      <c r="AH69" s="1408"/>
      <c r="AI69" s="1408"/>
      <c r="AJ69" s="1408"/>
      <c r="AK69" s="1408"/>
      <c r="AL69" s="1408"/>
      <c r="AM69" s="1408"/>
      <c r="AN69" s="1408"/>
    </row>
    <row r="70" spans="1:40" s="1407" customFormat="1" ht="72">
      <c r="A70" s="1070" t="s">
        <v>1036</v>
      </c>
      <c r="B70" s="2443" t="str">
        <f>估价对象房地状况!C18</f>
        <v>估价对象位于美兰区，东距甸昆路约800米，南面邻近琼州海峡。周边2公里范围内有5、20、26路等公交线路，路网密集度一般，交通便捷度一般。</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8"/>
      <c r="AF70" s="1408"/>
      <c r="AG70" s="1408"/>
      <c r="AH70" s="1408"/>
      <c r="AI70" s="1408"/>
      <c r="AJ70" s="1408"/>
      <c r="AK70" s="1408"/>
      <c r="AL70" s="1408"/>
      <c r="AM70" s="1408"/>
      <c r="AN70" s="1408"/>
    </row>
    <row r="71" spans="1:40" s="1407" customFormat="1" ht="24">
      <c r="A71" s="1070" t="s">
        <v>1025</v>
      </c>
      <c r="B71" s="2443">
        <f>估价对象房地状况!C19</f>
        <v>0</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8"/>
      <c r="AF71" s="1408"/>
      <c r="AG71" s="1408"/>
      <c r="AH71" s="1408"/>
      <c r="AI71" s="1408"/>
      <c r="AJ71" s="1408"/>
      <c r="AK71" s="1408"/>
      <c r="AL71" s="1408"/>
      <c r="AM71" s="1408"/>
      <c r="AN71" s="1408"/>
    </row>
    <row r="72" spans="1:40" s="1407" customFormat="1" ht="14.25">
      <c r="A72" s="1070" t="s">
        <v>1037</v>
      </c>
      <c r="B72" s="2443" t="str">
        <f>估价对象房地状况!C24</f>
        <v>城市次干道-海甸五西路</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8"/>
      <c r="AF72" s="1408"/>
      <c r="AG72" s="1408"/>
      <c r="AH72" s="1408"/>
      <c r="AI72" s="1408"/>
      <c r="AJ72" s="1408"/>
      <c r="AK72" s="1408"/>
      <c r="AL72" s="1408"/>
      <c r="AM72" s="1408"/>
      <c r="AN72" s="1408"/>
    </row>
    <row r="73" spans="1:40" s="1407" customFormat="1" ht="72">
      <c r="A73" s="1070" t="s">
        <v>1029</v>
      </c>
      <c r="B73" s="2444" t="str">
        <f>估价对象房地状况!C21</f>
        <v>周边2公里范围内有海口实验幼儿园、海口景山学校海淀分校等学校；有中国建设银行、中国工商银行等金融机构；公共配套设施情况较好。</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8"/>
      <c r="AF73" s="1408"/>
      <c r="AG73" s="1408"/>
      <c r="AH73" s="1408"/>
      <c r="AI73" s="1408"/>
      <c r="AJ73" s="1408"/>
      <c r="AK73" s="1408"/>
      <c r="AL73" s="1408"/>
      <c r="AM73" s="1408"/>
      <c r="AN73" s="1408"/>
    </row>
    <row r="74" spans="1:40" s="1407" customFormat="1" ht="24">
      <c r="A74" s="1070" t="s">
        <v>1030</v>
      </c>
      <c r="B74" s="2444" t="str">
        <f>估价对象房地状况!C22</f>
        <v>估价对象所在区域基础设施水平：六通</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8"/>
      <c r="AF74" s="1408"/>
      <c r="AG74" s="1408"/>
      <c r="AH74" s="1408"/>
      <c r="AI74" s="1408"/>
      <c r="AJ74" s="1408"/>
      <c r="AK74" s="1408"/>
      <c r="AL74" s="1408"/>
      <c r="AM74" s="1408"/>
      <c r="AN74" s="1408"/>
    </row>
    <row r="75" spans="1:40" s="1407" customFormat="1" ht="24">
      <c r="A75" s="1070" t="s">
        <v>1028</v>
      </c>
      <c r="B75" s="3135" t="s">
        <v>2951</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8"/>
      <c r="AF75" s="1408"/>
      <c r="AG75" s="1408"/>
      <c r="AH75" s="1408"/>
      <c r="AI75" s="1408"/>
      <c r="AJ75" s="1408"/>
      <c r="AK75" s="1408"/>
      <c r="AL75" s="1408"/>
      <c r="AM75" s="1408"/>
      <c r="AN75" s="1408"/>
    </row>
    <row r="76" spans="1:40" ht="60">
      <c r="A76" s="1070" t="s">
        <v>1031</v>
      </c>
      <c r="B76" s="2446" t="str">
        <f>估价对象房地状况!C20</f>
        <v>估价对象所处区域土地利用类型以住宅用地为主；周边2公里范围内有海南大学、邻近琼州海峡，自然及人文环境好。</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8"/>
      <c r="AN76" s="1409"/>
    </row>
    <row r="77" spans="1:40" ht="24.75" thickBot="1">
      <c r="A77" s="2476" t="s">
        <v>1038</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10"/>
      <c r="AD77" s="1409"/>
      <c r="AJ77" s="1408"/>
      <c r="AN77" s="1409"/>
    </row>
    <row r="78" spans="1:40" ht="15">
      <c r="A78" s="2459" t="s">
        <v>1039</v>
      </c>
      <c r="B78" s="2460">
        <f>1+E80</f>
        <v>1</v>
      </c>
      <c r="C78" s="2479"/>
      <c r="D78" s="2462"/>
      <c r="E78" s="2463"/>
      <c r="F78" s="2464"/>
      <c r="G78" s="2458"/>
      <c r="H78" s="2458"/>
      <c r="I78" s="2458"/>
      <c r="J78" s="1069"/>
      <c r="K78" s="1069"/>
      <c r="L78" s="1069"/>
      <c r="M78" s="1069"/>
      <c r="N78" s="1069"/>
      <c r="AC78" s="1410"/>
      <c r="AD78" s="1409"/>
      <c r="AJ78" s="1408"/>
      <c r="AN78" s="1409"/>
    </row>
    <row r="79" spans="1:40" ht="24">
      <c r="A79" s="1070" t="s">
        <v>1011</v>
      </c>
      <c r="B79" s="2443"/>
      <c r="C79" s="2465" t="s">
        <v>1013</v>
      </c>
      <c r="D79" s="2466" t="s">
        <v>1014</v>
      </c>
      <c r="E79" s="2467" t="s">
        <v>1016</v>
      </c>
      <c r="F79" s="2468" t="s">
        <v>2263</v>
      </c>
      <c r="G79" s="2466" t="s">
        <v>1017</v>
      </c>
      <c r="H79" s="2449" t="s">
        <v>2430</v>
      </c>
      <c r="I79" s="2466" t="s">
        <v>1015</v>
      </c>
      <c r="J79" s="2469" t="s">
        <v>1018</v>
      </c>
      <c r="K79" s="2469" t="s">
        <v>1019</v>
      </c>
      <c r="L79" s="2469" t="s">
        <v>1020</v>
      </c>
      <c r="M79" s="2469" t="s">
        <v>1021</v>
      </c>
      <c r="N79" s="2469" t="s">
        <v>1022</v>
      </c>
      <c r="AC79" s="1410"/>
      <c r="AD79" s="1409"/>
      <c r="AJ79" s="1408"/>
      <c r="AN79" s="1409"/>
    </row>
    <row r="80" spans="1:40" ht="36">
      <c r="A80" s="1070" t="s">
        <v>1040</v>
      </c>
      <c r="B80" s="2443" t="str">
        <f>估价对象房地状况!G15</f>
        <v>估价对象位于XX开发区，园区建设成熟度XX，产业集聚程度XX</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10"/>
      <c r="AD80" s="1409"/>
      <c r="AJ80" s="1408"/>
      <c r="AN80" s="1409"/>
    </row>
    <row r="81" spans="1:40" ht="48">
      <c r="A81" s="1070" t="s">
        <v>1036</v>
      </c>
      <c r="B81" s="2443" t="str">
        <f>估价对象房地状况!G16</f>
        <v>估价对象周边道路状况、公共交通通达情况、停车便捷程度，综合评价交通便捷度较好</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10"/>
      <c r="AD81" s="1409"/>
      <c r="AJ81" s="1408"/>
      <c r="AN81" s="1409"/>
    </row>
    <row r="82" spans="1:40" ht="24">
      <c r="A82" s="1070" t="s">
        <v>1025</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10"/>
      <c r="AD82" s="1409"/>
      <c r="AJ82" s="1408"/>
      <c r="AN82" s="1409"/>
    </row>
    <row r="83" spans="1:40" ht="14.25">
      <c r="A83" s="1070" t="s">
        <v>1037</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10"/>
      <c r="AD83" s="1409"/>
      <c r="AJ83" s="1408"/>
      <c r="AN83" s="1409"/>
    </row>
    <row r="84" spans="1:40" ht="24">
      <c r="A84" s="1070" t="s">
        <v>1029</v>
      </c>
      <c r="B84" s="2444" t="str">
        <f>估价对象房地状况!G19</f>
        <v>估价对象所在区域公共配套设施齐备情况</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10"/>
      <c r="AD84" s="1409"/>
      <c r="AJ84" s="1408"/>
      <c r="AN84" s="1409"/>
    </row>
    <row r="85" spans="1:40" ht="24">
      <c r="A85" s="1070" t="s">
        <v>1030</v>
      </c>
      <c r="B85" s="2444" t="str">
        <f>估价对象房地状况!G20</f>
        <v>估价对象所在区域基础设施水平</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10"/>
      <c r="AD85" s="1409"/>
      <c r="AJ85" s="1408"/>
      <c r="AN85" s="1409"/>
    </row>
    <row r="86" spans="1:40" ht="24">
      <c r="A86" s="1070" t="s">
        <v>1028</v>
      </c>
      <c r="B86" s="3135" t="s">
        <v>2951</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10"/>
      <c r="AD86" s="1409"/>
      <c r="AJ86" s="1408"/>
      <c r="AN86" s="1409"/>
    </row>
    <row r="87" spans="1:40" ht="36.75" thickBot="1">
      <c r="A87" s="2476" t="s">
        <v>1041</v>
      </c>
      <c r="B87" s="2445" t="str">
        <f>估价对象房地状况!G18</f>
        <v>该园区内是否有污染型企业，绿化情况，卫生条件，整体环境状况判断</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10"/>
      <c r="AD87" s="1409"/>
      <c r="AJ87" s="1408"/>
      <c r="AN87" s="1409"/>
    </row>
    <row r="90" spans="1:40">
      <c r="A90" s="3398" t="s">
        <v>1636</v>
      </c>
      <c r="B90" s="3398"/>
      <c r="C90" s="3398"/>
      <c r="D90" s="3398"/>
      <c r="E90" s="3398"/>
      <c r="F90" s="3398"/>
      <c r="G90" s="3398"/>
      <c r="H90" s="3398"/>
      <c r="I90" s="3398"/>
      <c r="J90" s="3398"/>
      <c r="K90" s="2485"/>
      <c r="L90" s="2485"/>
      <c r="M90" s="2485"/>
      <c r="N90" s="2485"/>
    </row>
    <row r="91" spans="1:40">
      <c r="A91" s="3399" t="s">
        <v>1446</v>
      </c>
      <c r="B91" s="3399" t="s">
        <v>1637</v>
      </c>
      <c r="C91" s="1143" t="s">
        <v>1638</v>
      </c>
      <c r="D91" s="1144"/>
      <c r="E91" s="1144"/>
      <c r="F91" s="1144"/>
      <c r="G91" s="1144"/>
      <c r="H91" s="1144"/>
      <c r="I91" s="1144"/>
      <c r="J91" s="1145"/>
      <c r="K91" s="1137"/>
      <c r="L91" s="1137"/>
      <c r="M91" s="1137"/>
      <c r="N91" s="1137"/>
    </row>
    <row r="92" spans="1:40">
      <c r="A92" s="3399"/>
      <c r="B92" s="3399"/>
      <c r="C92" s="2484" t="s">
        <v>909</v>
      </c>
      <c r="D92" s="2484" t="s">
        <v>887</v>
      </c>
      <c r="E92" s="2484" t="s">
        <v>888</v>
      </c>
      <c r="F92" s="2484" t="s">
        <v>912</v>
      </c>
      <c r="G92" s="2484" t="s">
        <v>890</v>
      </c>
      <c r="H92" s="2484" t="s">
        <v>891</v>
      </c>
      <c r="I92" s="2484" t="s">
        <v>892</v>
      </c>
      <c r="J92" s="2484" t="s">
        <v>893</v>
      </c>
      <c r="K92" s="2484" t="s">
        <v>917</v>
      </c>
      <c r="L92" s="2484" t="s">
        <v>895</v>
      </c>
      <c r="M92" s="2484" t="s">
        <v>896</v>
      </c>
      <c r="N92" s="2484" t="s">
        <v>920</v>
      </c>
    </row>
    <row r="93" spans="1:40">
      <c r="A93" s="3403" t="s">
        <v>2780</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04"/>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04"/>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04"/>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04"/>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04"/>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04"/>
      <c r="B99" s="1146" t="s">
        <v>1639</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05"/>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03" t="s">
        <v>1640</v>
      </c>
      <c r="B101" s="1150" t="s">
        <v>908</v>
      </c>
      <c r="C101" s="1151">
        <f>$G$3</f>
        <v>0.95</v>
      </c>
      <c r="D101" s="1151">
        <f t="shared" ref="D101:N101" si="31">$G$3</f>
        <v>0.95</v>
      </c>
      <c r="E101" s="1151">
        <f t="shared" si="31"/>
        <v>0.95</v>
      </c>
      <c r="F101" s="1151">
        <f t="shared" si="31"/>
        <v>0.95</v>
      </c>
      <c r="G101" s="1151">
        <f t="shared" si="31"/>
        <v>0.95</v>
      </c>
      <c r="H101" s="1151">
        <f t="shared" si="31"/>
        <v>0.95</v>
      </c>
      <c r="I101" s="1151">
        <f t="shared" si="31"/>
        <v>0.95</v>
      </c>
      <c r="J101" s="1151">
        <f t="shared" si="31"/>
        <v>0.95</v>
      </c>
      <c r="K101" s="1151">
        <f t="shared" si="31"/>
        <v>0.95</v>
      </c>
      <c r="L101" s="1151">
        <f t="shared" si="31"/>
        <v>0.95</v>
      </c>
      <c r="M101" s="1151">
        <f t="shared" si="31"/>
        <v>0.95</v>
      </c>
      <c r="N101" s="1151">
        <f t="shared" si="31"/>
        <v>0.95</v>
      </c>
    </row>
    <row r="102" spans="1:14">
      <c r="A102" s="3404"/>
      <c r="B102" s="1146">
        <v>1</v>
      </c>
      <c r="C102" s="1147">
        <f>1.9362/C101</f>
        <v>2.0381052631578949</v>
      </c>
      <c r="D102" s="1147">
        <f>1.9362/D101</f>
        <v>2.0381052631578949</v>
      </c>
      <c r="E102" s="1147">
        <f>1.8629/E101</f>
        <v>1.9609473684210528</v>
      </c>
      <c r="F102" s="1147">
        <f>1.8629/F101</f>
        <v>1.9609473684210528</v>
      </c>
      <c r="G102" s="1147">
        <f>1.8629/G101</f>
        <v>1.9609473684210528</v>
      </c>
      <c r="H102" s="1147">
        <f>1.8629/H101</f>
        <v>1.9609473684210528</v>
      </c>
      <c r="I102" s="1147">
        <f>1.8629/I101</f>
        <v>1.9609473684210528</v>
      </c>
      <c r="J102" s="1147">
        <f>1.942/J101</f>
        <v>2.0442105263157897</v>
      </c>
      <c r="K102" s="1147">
        <f>1.942/K101</f>
        <v>2.0442105263157897</v>
      </c>
      <c r="L102" s="1147">
        <f>1.942/L101</f>
        <v>2.0442105263157897</v>
      </c>
      <c r="M102" s="1147">
        <f>1.942/M101</f>
        <v>2.0442105263157897</v>
      </c>
      <c r="N102" s="1147">
        <f>1.942/N101</f>
        <v>2.0442105263157897</v>
      </c>
    </row>
    <row r="103" spans="1:14">
      <c r="A103" s="3404"/>
      <c r="B103" s="1146">
        <v>2</v>
      </c>
      <c r="C103" s="1147">
        <f>1.4198/C101</f>
        <v>1.4945263157894737</v>
      </c>
      <c r="D103" s="1147">
        <f>1.4198/D101</f>
        <v>1.4945263157894737</v>
      </c>
      <c r="E103" s="1147">
        <f>1.3372/E101</f>
        <v>1.407578947368421</v>
      </c>
      <c r="F103" s="1147">
        <f>1.3372/F101</f>
        <v>1.407578947368421</v>
      </c>
      <c r="G103" s="1147">
        <f>1.3372/G101</f>
        <v>1.407578947368421</v>
      </c>
      <c r="H103" s="1147">
        <f>1.3372/H101</f>
        <v>1.407578947368421</v>
      </c>
      <c r="I103" s="1147">
        <f>1.3372/I101</f>
        <v>1.407578947368421</v>
      </c>
      <c r="J103" s="1147">
        <f>1.2799/J101</f>
        <v>1.3472631578947369</v>
      </c>
      <c r="K103" s="1147">
        <f>1.2799/K101</f>
        <v>1.3472631578947369</v>
      </c>
      <c r="L103" s="1147">
        <f>1.2799/L101</f>
        <v>1.3472631578947369</v>
      </c>
      <c r="M103" s="1147">
        <f>1.2799/M101</f>
        <v>1.3472631578947369</v>
      </c>
      <c r="N103" s="1147">
        <f>1.2799/N101</f>
        <v>1.3472631578947369</v>
      </c>
    </row>
    <row r="104" spans="1:14">
      <c r="A104" s="3404"/>
      <c r="B104" s="1146">
        <v>3</v>
      </c>
      <c r="C104" s="1147">
        <f>1.1594/C101</f>
        <v>1.2204210526315791</v>
      </c>
      <c r="D104" s="1147">
        <f>1.1594/D101</f>
        <v>1.2204210526315791</v>
      </c>
      <c r="E104" s="1147">
        <f>1.0788/E101</f>
        <v>1.135578947368421</v>
      </c>
      <c r="F104" s="1147">
        <f>1.0788/F101</f>
        <v>1.135578947368421</v>
      </c>
      <c r="G104" s="1147">
        <f>1.0788/G101</f>
        <v>1.135578947368421</v>
      </c>
      <c r="H104" s="1147">
        <f>1.0788/H101</f>
        <v>1.135578947368421</v>
      </c>
      <c r="I104" s="1147">
        <f>1.0788/I101</f>
        <v>1.135578947368421</v>
      </c>
      <c r="J104" s="1147">
        <f>1.0072/J101</f>
        <v>1.0602105263157897</v>
      </c>
      <c r="K104" s="1147">
        <f>1.0072/K101</f>
        <v>1.0602105263157897</v>
      </c>
      <c r="L104" s="1147">
        <f>1.0072/L101</f>
        <v>1.0602105263157897</v>
      </c>
      <c r="M104" s="1147">
        <f>1.0072/M101</f>
        <v>1.0602105263157897</v>
      </c>
      <c r="N104" s="1147">
        <f>1.0072/N101</f>
        <v>1.0602105263157897</v>
      </c>
    </row>
    <row r="105" spans="1:14">
      <c r="A105" s="3404"/>
      <c r="B105" s="1146">
        <v>4</v>
      </c>
      <c r="C105" s="1147">
        <f>0.9622/C101</f>
        <v>1.012842105263158</v>
      </c>
      <c r="D105" s="1147">
        <f>0.9622/D101</f>
        <v>1.012842105263158</v>
      </c>
      <c r="E105" s="1147">
        <f>0.8656/E101</f>
        <v>0.91115789473684217</v>
      </c>
      <c r="F105" s="1147">
        <f>0.8656/F101</f>
        <v>0.91115789473684217</v>
      </c>
      <c r="G105" s="1147">
        <f>0.8656/G101</f>
        <v>0.91115789473684217</v>
      </c>
      <c r="H105" s="1147">
        <f>0.8656/H101</f>
        <v>0.91115789473684217</v>
      </c>
      <c r="I105" s="1147">
        <f>0.8656/I101</f>
        <v>0.91115789473684217</v>
      </c>
      <c r="J105" s="1147">
        <f>0.7525/J101</f>
        <v>0.79210526315789476</v>
      </c>
      <c r="K105" s="1147">
        <f>0.7525/K101</f>
        <v>0.79210526315789476</v>
      </c>
      <c r="L105" s="1147">
        <f>0.7525/L101</f>
        <v>0.79210526315789476</v>
      </c>
      <c r="M105" s="1147">
        <f>0.7525/M101</f>
        <v>0.79210526315789476</v>
      </c>
      <c r="N105" s="1147">
        <f>0.7525/N101</f>
        <v>0.79210526315789476</v>
      </c>
    </row>
    <row r="106" spans="1:14">
      <c r="A106" s="3404"/>
      <c r="B106" s="1146">
        <v>5</v>
      </c>
      <c r="C106" s="1147">
        <f>0.8417/C101</f>
        <v>0.88600000000000001</v>
      </c>
      <c r="D106" s="1147">
        <f>0.8417/D101</f>
        <v>0.88600000000000001</v>
      </c>
      <c r="E106" s="1147">
        <f>0.7371/E101</f>
        <v>0.7758947368421053</v>
      </c>
      <c r="F106" s="1147">
        <f>0.7371/F101</f>
        <v>0.7758947368421053</v>
      </c>
      <c r="G106" s="1147">
        <f>0.7371/G101</f>
        <v>0.7758947368421053</v>
      </c>
      <c r="H106" s="1147">
        <f>0.7371/H101</f>
        <v>0.7758947368421053</v>
      </c>
      <c r="I106" s="1147">
        <f>0.7371/I101</f>
        <v>0.7758947368421053</v>
      </c>
      <c r="J106" s="1147">
        <f>0.5659/J101</f>
        <v>0.59568421052631582</v>
      </c>
      <c r="K106" s="1147">
        <f>0.5659/K101</f>
        <v>0.59568421052631582</v>
      </c>
      <c r="L106" s="1147">
        <f>0.5659/L101</f>
        <v>0.59568421052631582</v>
      </c>
      <c r="M106" s="1147">
        <f>0.5659/M101</f>
        <v>0.59568421052631582</v>
      </c>
      <c r="N106" s="1147">
        <f>0.5659/N101</f>
        <v>0.59568421052631582</v>
      </c>
    </row>
    <row r="107" spans="1:14">
      <c r="A107" s="3404"/>
      <c r="B107" s="1146">
        <v>6</v>
      </c>
      <c r="C107" s="1147">
        <f>0.7608/C101</f>
        <v>0.80084210526315791</v>
      </c>
      <c r="D107" s="1147">
        <f>0.7608/D101</f>
        <v>0.80084210526315791</v>
      </c>
      <c r="E107" s="1147">
        <f>0.6482/E101</f>
        <v>0.68231578947368421</v>
      </c>
      <c r="F107" s="1147">
        <f>0.6482/F101</f>
        <v>0.68231578947368421</v>
      </c>
      <c r="G107" s="1147">
        <f>0.6482/G101</f>
        <v>0.68231578947368421</v>
      </c>
      <c r="H107" s="1147">
        <f>0.6482/H101</f>
        <v>0.68231578947368421</v>
      </c>
      <c r="I107" s="1147">
        <f>0.6482/I101</f>
        <v>0.68231578947368421</v>
      </c>
      <c r="J107" s="1147">
        <f>0.4525/J101</f>
        <v>0.47631578947368425</v>
      </c>
      <c r="K107" s="1147">
        <f>0.4525/K101</f>
        <v>0.47631578947368425</v>
      </c>
      <c r="L107" s="1147">
        <f>0.4525/L101</f>
        <v>0.47631578947368425</v>
      </c>
      <c r="M107" s="1147">
        <f>0.4525/M101</f>
        <v>0.47631578947368425</v>
      </c>
      <c r="N107" s="1147">
        <f>0.4525/N101</f>
        <v>0.47631578947368425</v>
      </c>
    </row>
    <row r="108" spans="1:14">
      <c r="A108" s="3404"/>
      <c r="B108" s="3406" t="s">
        <v>1641</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05"/>
      <c r="B109" s="3407"/>
      <c r="C109" s="1149">
        <f>(-0.163*(C108^2)-0.59*C108+7617)*(10^(-4))/C101</f>
        <v>0.80019452631578947</v>
      </c>
      <c r="D109" s="1149">
        <f>(-0.163*(D108^2)-0.59*D108+7617)*(10^(-4))/D101</f>
        <v>0.80019452631578947</v>
      </c>
      <c r="E109" s="1149">
        <f>(-0.161*(E108^2)-7.509*E108+6533)*(10^(-4))/E101</f>
        <v>0.68027621052631582</v>
      </c>
      <c r="F109" s="1149">
        <f>(-0.161*(F108^2)-7.509*F108+6533)*(10^(-4))/F101</f>
        <v>0.68027621052631582</v>
      </c>
      <c r="G109" s="1149">
        <f>(-0.161*(G108^2)-7.509*G108+6533)*(10^(-4))/G101</f>
        <v>0.68027621052631582</v>
      </c>
      <c r="H109" s="1149">
        <f>(-0.161*(H108^2)-7.509*H108+6533)*(10^(-4))/H101</f>
        <v>0.68027621052631582</v>
      </c>
      <c r="I109" s="1149">
        <f>(-0.161*(I108^2)-7.509*I108+6533)*(10^(-4))/I101</f>
        <v>0.68027621052631582</v>
      </c>
      <c r="J109" s="1149">
        <f>(-0.214*(J108^2)-21.991*J108+4665)*(10^(-4))/J101</f>
        <v>0.47109221052631584</v>
      </c>
      <c r="K109" s="1149">
        <f>(-0.214*(K108^2)-21.991*K108+4665)*(10^(-4))/K101</f>
        <v>0.47109221052631584</v>
      </c>
      <c r="L109" s="1149">
        <f>(-0.214*(L108^2)-21.991*L108+4665)*(10^(-4))/L101</f>
        <v>0.47109221052631584</v>
      </c>
      <c r="M109" s="1149">
        <f>(-0.214*(M108^2)-21.991*M108+4665)*(10^(-4))/M101</f>
        <v>0.47109221052631584</v>
      </c>
      <c r="N109" s="1149">
        <f>(-0.214*(N108^2)-21.991*N108+4665)*(10^(-4))/N101</f>
        <v>0.47109221052631584</v>
      </c>
    </row>
    <row r="110" spans="1:14">
      <c r="A110" s="3393" t="s">
        <v>1642</v>
      </c>
      <c r="B110" s="3393"/>
      <c r="C110" s="3393"/>
      <c r="D110" s="3393"/>
      <c r="E110" s="3393"/>
      <c r="F110" s="3393"/>
      <c r="G110" s="3393"/>
      <c r="H110" s="3393"/>
      <c r="I110" s="3393"/>
      <c r="J110" s="3393"/>
      <c r="K110" s="2483"/>
      <c r="L110" s="2483"/>
      <c r="M110" s="2483"/>
      <c r="N110" s="2483"/>
    </row>
    <row r="112" spans="1:14" ht="12.75" thickBot="1"/>
    <row r="113" spans="1:13" ht="25.5" thickBot="1">
      <c r="A113" s="1019" t="s">
        <v>898</v>
      </c>
      <c r="B113" s="2486">
        <f>G3</f>
        <v>0.95</v>
      </c>
      <c r="C113" s="1020" t="s">
        <v>899</v>
      </c>
      <c r="D113" s="1021">
        <f>SUMPRODUCT((A115:A118=F113)*(B114:M114=H113)*B115:M118)</f>
        <v>0</v>
      </c>
      <c r="E113" s="1022" t="s">
        <v>900</v>
      </c>
      <c r="F113" s="1023">
        <f>E2</f>
        <v>0</v>
      </c>
      <c r="G113" s="1022" t="s">
        <v>901</v>
      </c>
      <c r="H113" s="1023">
        <f>G2</f>
        <v>0</v>
      </c>
      <c r="I113" s="1022"/>
      <c r="J113" s="1014"/>
      <c r="K113" s="1014"/>
      <c r="L113" s="1014"/>
      <c r="M113" s="1014"/>
    </row>
    <row r="114" spans="1:13" ht="12.75">
      <c r="A114" s="1026"/>
      <c r="B114" s="1027" t="s">
        <v>886</v>
      </c>
      <c r="C114" s="1027" t="s">
        <v>887</v>
      </c>
      <c r="D114" s="1027" t="s">
        <v>888</v>
      </c>
      <c r="E114" s="1028" t="s">
        <v>889</v>
      </c>
      <c r="F114" s="1028" t="s">
        <v>890</v>
      </c>
      <c r="G114" s="1028" t="s">
        <v>891</v>
      </c>
      <c r="H114" s="1029" t="s">
        <v>892</v>
      </c>
      <c r="I114" s="1029" t="s">
        <v>893</v>
      </c>
      <c r="J114" s="1030" t="s">
        <v>894</v>
      </c>
      <c r="K114" s="1030" t="s">
        <v>895</v>
      </c>
      <c r="L114" s="1030" t="s">
        <v>896</v>
      </c>
      <c r="M114" s="1031" t="s">
        <v>897</v>
      </c>
    </row>
    <row r="115" spans="1:13" ht="12.75">
      <c r="A115" s="1032" t="s">
        <v>902</v>
      </c>
      <c r="B115" s="1033">
        <f>ROUND(0.9335-0.0094*B113,4)</f>
        <v>0.92459999999999998</v>
      </c>
      <c r="C115" s="1033">
        <f>B115</f>
        <v>0.92459999999999998</v>
      </c>
      <c r="D115" s="1033">
        <f>ROUND(0.8331-0.0109*B113,4)</f>
        <v>0.82269999999999999</v>
      </c>
      <c r="E115" s="1033">
        <f>D115</f>
        <v>0.82269999999999999</v>
      </c>
      <c r="F115" s="1033">
        <f>E115</f>
        <v>0.82269999999999999</v>
      </c>
      <c r="G115" s="1033">
        <f>F115</f>
        <v>0.82269999999999999</v>
      </c>
      <c r="H115" s="1033">
        <f>G115</f>
        <v>0.82269999999999999</v>
      </c>
      <c r="I115" s="1033">
        <f>ROUND(0.689-0.0155*B113,4)</f>
        <v>0.67430000000000001</v>
      </c>
      <c r="J115" s="1033">
        <f t="shared" ref="J115:M118" si="33">I115</f>
        <v>0.67430000000000001</v>
      </c>
      <c r="K115" s="1033">
        <f t="shared" si="33"/>
        <v>0.67430000000000001</v>
      </c>
      <c r="L115" s="1033">
        <f t="shared" si="33"/>
        <v>0.67430000000000001</v>
      </c>
      <c r="M115" s="1034">
        <f t="shared" si="33"/>
        <v>0.67430000000000001</v>
      </c>
    </row>
    <row r="116" spans="1:13" ht="12.75">
      <c r="A116" s="1032" t="s">
        <v>903</v>
      </c>
      <c r="B116" s="1033">
        <f>ROUND(0.949-0.012*B113,4)</f>
        <v>0.93759999999999999</v>
      </c>
      <c r="C116" s="1033">
        <f>B116</f>
        <v>0.93759999999999999</v>
      </c>
      <c r="D116" s="1033">
        <f>ROUND(0.8567-0.013*B113,4)</f>
        <v>0.84440000000000004</v>
      </c>
      <c r="E116" s="1033">
        <f t="shared" ref="E116:H117" si="34">D116</f>
        <v>0.84440000000000004</v>
      </c>
      <c r="F116" s="1033">
        <f t="shared" si="34"/>
        <v>0.84440000000000004</v>
      </c>
      <c r="G116" s="1033">
        <f t="shared" si="34"/>
        <v>0.84440000000000004</v>
      </c>
      <c r="H116" s="1033">
        <f t="shared" si="34"/>
        <v>0.84440000000000004</v>
      </c>
      <c r="I116" s="1033">
        <f>ROUND(0.7694-0.014*B113,4)</f>
        <v>0.75609999999999999</v>
      </c>
      <c r="J116" s="1033">
        <f t="shared" si="33"/>
        <v>0.75609999999999999</v>
      </c>
      <c r="K116" s="1033">
        <f t="shared" si="33"/>
        <v>0.75609999999999999</v>
      </c>
      <c r="L116" s="1033">
        <f t="shared" si="33"/>
        <v>0.75609999999999999</v>
      </c>
      <c r="M116" s="1034">
        <f t="shared" si="33"/>
        <v>0.75609999999999999</v>
      </c>
    </row>
    <row r="117" spans="1:13" ht="12.75">
      <c r="A117" s="1035" t="s">
        <v>904</v>
      </c>
      <c r="B117" s="1033">
        <f>ROUND(0.8808-0.006*B113,4)</f>
        <v>0.87509999999999999</v>
      </c>
      <c r="C117" s="1033">
        <f>B117</f>
        <v>0.87509999999999999</v>
      </c>
      <c r="D117" s="1033">
        <f>ROUND(0.8748-0.008*B113,4)</f>
        <v>0.86719999999999997</v>
      </c>
      <c r="E117" s="1033">
        <f t="shared" si="34"/>
        <v>0.86719999999999997</v>
      </c>
      <c r="F117" s="1033">
        <f t="shared" si="34"/>
        <v>0.86719999999999997</v>
      </c>
      <c r="G117" s="1033">
        <f t="shared" si="34"/>
        <v>0.86719999999999997</v>
      </c>
      <c r="H117" s="1033">
        <f t="shared" si="34"/>
        <v>0.86719999999999997</v>
      </c>
      <c r="I117" s="1033">
        <f>ROUND(0.7412-0.0095*B113,4)</f>
        <v>0.73219999999999996</v>
      </c>
      <c r="J117" s="1033">
        <f t="shared" si="33"/>
        <v>0.73219999999999996</v>
      </c>
      <c r="K117" s="1033">
        <f t="shared" si="33"/>
        <v>0.73219999999999996</v>
      </c>
      <c r="L117" s="1033">
        <f t="shared" si="33"/>
        <v>0.73219999999999996</v>
      </c>
      <c r="M117" s="1034">
        <f t="shared" si="33"/>
        <v>0.73219999999999996</v>
      </c>
    </row>
    <row r="118" spans="1:13" ht="13.5" thickBot="1">
      <c r="A118" s="1036" t="s">
        <v>905</v>
      </c>
      <c r="B118" s="1037">
        <f>ROUND(0.7275-0.01*B113,4)</f>
        <v>0.71799999999999997</v>
      </c>
      <c r="C118" s="1037">
        <f>B118</f>
        <v>0.71799999999999997</v>
      </c>
      <c r="D118" s="1037">
        <f>ROUND(0.7043-0.012*B113,4)</f>
        <v>0.69289999999999996</v>
      </c>
      <c r="E118" s="1037">
        <f>D118</f>
        <v>0.69289999999999996</v>
      </c>
      <c r="F118" s="1037">
        <f>E118</f>
        <v>0.69289999999999996</v>
      </c>
      <c r="G118" s="1037">
        <f>ROUND(0.6299-0.0122*B113,4)</f>
        <v>0.61829999999999996</v>
      </c>
      <c r="H118" s="1037">
        <f>G118</f>
        <v>0.61829999999999996</v>
      </c>
      <c r="I118" s="1037">
        <f>ROUND(0.5667-0.0136*B113,4)</f>
        <v>0.55379999999999996</v>
      </c>
      <c r="J118" s="1037">
        <f t="shared" si="33"/>
        <v>0.55379999999999996</v>
      </c>
      <c r="K118" s="1037">
        <f t="shared" si="33"/>
        <v>0.55379999999999996</v>
      </c>
      <c r="L118" s="1037">
        <f t="shared" si="33"/>
        <v>0.55379999999999996</v>
      </c>
      <c r="M118" s="1038">
        <f t="shared" si="33"/>
        <v>0.55379999999999996</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1434</v>
      </c>
      <c r="B1" s="1075" t="s">
        <v>909</v>
      </c>
      <c r="C1" s="1075" t="s">
        <v>910</v>
      </c>
      <c r="D1" s="1075" t="s">
        <v>911</v>
      </c>
      <c r="E1" s="1075" t="s">
        <v>912</v>
      </c>
      <c r="F1" s="1075" t="s">
        <v>913</v>
      </c>
      <c r="G1" s="1075" t="s">
        <v>914</v>
      </c>
      <c r="H1" s="1075" t="s">
        <v>915</v>
      </c>
      <c r="I1" s="1075" t="s">
        <v>916</v>
      </c>
      <c r="J1" s="1075" t="s">
        <v>917</v>
      </c>
      <c r="K1" s="1075" t="s">
        <v>918</v>
      </c>
      <c r="L1" s="1075" t="s">
        <v>919</v>
      </c>
      <c r="M1" s="1076" t="s">
        <v>920</v>
      </c>
    </row>
    <row r="2" spans="1:13" ht="19.5" customHeight="1">
      <c r="A2" s="1110" t="s">
        <v>1010</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1032</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1034</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1435</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1436</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1437</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1438</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1439</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1440</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1441</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1442</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1443</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1444</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1445</v>
      </c>
      <c r="B16" s="1129"/>
      <c r="C16" s="1130"/>
      <c r="D16" s="1130"/>
      <c r="E16" s="1129"/>
      <c r="F16" s="1130"/>
      <c r="G16" s="1130"/>
    </row>
    <row r="17" spans="1:9" ht="19.5" customHeight="1">
      <c r="A17" s="1071" t="s">
        <v>1446</v>
      </c>
      <c r="B17" s="1131" t="s">
        <v>1447</v>
      </c>
      <c r="C17" s="1131" t="s">
        <v>1646</v>
      </c>
      <c r="D17" s="1132"/>
      <c r="E17" s="1071" t="s">
        <v>1448</v>
      </c>
      <c r="F17" s="1133"/>
      <c r="G17" s="1133"/>
    </row>
    <row r="18" spans="1:9" s="1605" customFormat="1" ht="19.5" customHeight="1">
      <c r="A18" s="3399" t="s">
        <v>1010</v>
      </c>
      <c r="B18" s="1157" t="s">
        <v>1449</v>
      </c>
      <c r="C18" s="1134" t="s">
        <v>1450</v>
      </c>
      <c r="D18" s="1135"/>
      <c r="E18" s="1157">
        <v>1</v>
      </c>
      <c r="F18" s="1136" t="s">
        <v>1451</v>
      </c>
      <c r="G18" s="1137"/>
      <c r="H18" s="1108"/>
      <c r="I18" s="1108"/>
    </row>
    <row r="19" spans="1:9" s="1605" customFormat="1" ht="19.5" customHeight="1">
      <c r="A19" s="3399"/>
      <c r="B19" s="3399" t="s">
        <v>1452</v>
      </c>
      <c r="C19" s="1134" t="s">
        <v>1453</v>
      </c>
      <c r="D19" s="1135"/>
      <c r="E19" s="1157">
        <v>0.9</v>
      </c>
      <c r="F19" s="1136" t="s">
        <v>1454</v>
      </c>
      <c r="G19" s="1137"/>
      <c r="H19" s="1108"/>
      <c r="I19" s="1108"/>
    </row>
    <row r="20" spans="1:9" s="1605" customFormat="1" ht="19.5" customHeight="1">
      <c r="A20" s="3399"/>
      <c r="B20" s="3399"/>
      <c r="C20" s="1134" t="s">
        <v>1455</v>
      </c>
      <c r="D20" s="1135"/>
      <c r="E20" s="1157">
        <v>1.1000000000000001</v>
      </c>
      <c r="F20" s="1136" t="s">
        <v>1456</v>
      </c>
      <c r="G20" s="1137"/>
      <c r="H20" s="1108"/>
      <c r="I20" s="1108"/>
    </row>
    <row r="21" spans="1:9" s="1605" customFormat="1" ht="19.5" customHeight="1">
      <c r="A21" s="3399"/>
      <c r="B21" s="3399"/>
      <c r="C21" s="1134" t="s">
        <v>1457</v>
      </c>
      <c r="D21" s="1135"/>
      <c r="E21" s="1157">
        <v>0.8</v>
      </c>
      <c r="F21" s="1136" t="s">
        <v>1458</v>
      </c>
      <c r="G21" s="1137"/>
      <c r="H21" s="1108"/>
      <c r="I21" s="1108"/>
    </row>
    <row r="22" spans="1:9" s="1605" customFormat="1" ht="19.5" customHeight="1">
      <c r="A22" s="3399"/>
      <c r="B22" s="3399"/>
      <c r="C22" s="1134" t="s">
        <v>1459</v>
      </c>
      <c r="D22" s="1135"/>
      <c r="E22" s="1157">
        <v>0.5</v>
      </c>
      <c r="F22" s="1136"/>
      <c r="G22" s="1137"/>
      <c r="H22" s="1108"/>
      <c r="I22" s="1108"/>
    </row>
    <row r="23" spans="1:9" s="1605" customFormat="1" ht="19.5" customHeight="1">
      <c r="A23" s="3399" t="s">
        <v>1032</v>
      </c>
      <c r="B23" s="1157" t="s">
        <v>1449</v>
      </c>
      <c r="C23" s="1134" t="s">
        <v>1460</v>
      </c>
      <c r="D23" s="1135"/>
      <c r="E23" s="1157">
        <v>1</v>
      </c>
      <c r="F23" s="1136" t="s">
        <v>1461</v>
      </c>
      <c r="G23" s="1137"/>
      <c r="H23" s="1108"/>
      <c r="I23" s="1108"/>
    </row>
    <row r="24" spans="1:9" s="1605" customFormat="1" ht="19.5" customHeight="1">
      <c r="A24" s="3399"/>
      <c r="B24" s="3399" t="s">
        <v>1452</v>
      </c>
      <c r="C24" s="1134" t="s">
        <v>1462</v>
      </c>
      <c r="D24" s="1135"/>
      <c r="E24" s="1157">
        <v>0.5</v>
      </c>
      <c r="F24" s="1136"/>
      <c r="G24" s="1137"/>
      <c r="H24" s="1108"/>
      <c r="I24" s="1108"/>
    </row>
    <row r="25" spans="1:9" s="1605" customFormat="1" ht="19.5" customHeight="1">
      <c r="A25" s="3399"/>
      <c r="B25" s="3399"/>
      <c r="C25" s="1134" t="s">
        <v>1463</v>
      </c>
      <c r="D25" s="1135"/>
      <c r="E25" s="1157">
        <v>1.1000000000000001</v>
      </c>
      <c r="F25" s="1136"/>
      <c r="G25" s="1137"/>
      <c r="H25" s="1108"/>
      <c r="I25" s="1108"/>
    </row>
    <row r="26" spans="1:9" s="1605" customFormat="1" ht="19.5" customHeight="1">
      <c r="A26" s="3399"/>
      <c r="B26" s="3399"/>
      <c r="C26" s="1134" t="s">
        <v>1464</v>
      </c>
      <c r="D26" s="1135"/>
      <c r="E26" s="1157">
        <v>1.1000000000000001</v>
      </c>
      <c r="F26" s="1136"/>
      <c r="G26" s="1137"/>
      <c r="H26" s="1108"/>
      <c r="I26" s="1108"/>
    </row>
    <row r="27" spans="1:9" s="1605" customFormat="1" ht="19.5" customHeight="1">
      <c r="A27" s="3399"/>
      <c r="B27" s="3399"/>
      <c r="C27" s="1134" t="s">
        <v>1465</v>
      </c>
      <c r="D27" s="1135"/>
      <c r="E27" s="1157">
        <v>0.9</v>
      </c>
      <c r="F27" s="1136" t="s">
        <v>1466</v>
      </c>
      <c r="G27" s="1137"/>
      <c r="H27" s="1108"/>
      <c r="I27" s="1108"/>
    </row>
    <row r="28" spans="1:9" s="1605" customFormat="1" ht="19.5" customHeight="1">
      <c r="A28" s="3399"/>
      <c r="B28" s="3399"/>
      <c r="C28" s="1134" t="s">
        <v>1467</v>
      </c>
      <c r="D28" s="1135"/>
      <c r="E28" s="1157">
        <v>0.9</v>
      </c>
      <c r="F28" s="1136" t="s">
        <v>1468</v>
      </c>
      <c r="G28" s="1137"/>
      <c r="H28" s="1108"/>
      <c r="I28" s="1108"/>
    </row>
    <row r="29" spans="1:9" s="1605" customFormat="1" ht="19.5" customHeight="1">
      <c r="A29" s="3399"/>
      <c r="B29" s="3399"/>
      <c r="C29" s="1134" t="s">
        <v>1469</v>
      </c>
      <c r="D29" s="1135"/>
      <c r="E29" s="1157">
        <v>0.9</v>
      </c>
      <c r="F29" s="1136" t="s">
        <v>1470</v>
      </c>
      <c r="G29" s="1137"/>
      <c r="H29" s="1108"/>
      <c r="I29" s="1108"/>
    </row>
    <row r="30" spans="1:9" s="1605" customFormat="1" ht="19.5" customHeight="1">
      <c r="A30" s="3399"/>
      <c r="B30" s="3399"/>
      <c r="C30" s="1134" t="s">
        <v>1471</v>
      </c>
      <c r="D30" s="1135"/>
      <c r="E30" s="1157">
        <v>0.9</v>
      </c>
      <c r="F30" s="1136" t="s">
        <v>1472</v>
      </c>
      <c r="G30" s="1137"/>
      <c r="H30" s="1108"/>
      <c r="I30" s="1108"/>
    </row>
    <row r="31" spans="1:9" s="1605" customFormat="1" ht="19.5" customHeight="1">
      <c r="A31" s="3399"/>
      <c r="B31" s="3399"/>
      <c r="C31" s="1134" t="s">
        <v>1473</v>
      </c>
      <c r="D31" s="1135"/>
      <c r="E31" s="1157">
        <v>0.8</v>
      </c>
      <c r="F31" s="1136" t="s">
        <v>1474</v>
      </c>
      <c r="G31" s="1137"/>
      <c r="H31" s="1108"/>
      <c r="I31" s="1108"/>
    </row>
    <row r="32" spans="1:9" s="1605" customFormat="1" ht="19.5" customHeight="1">
      <c r="A32" s="3399"/>
      <c r="B32" s="3399"/>
      <c r="C32" s="1134" t="s">
        <v>1475</v>
      </c>
      <c r="D32" s="1135"/>
      <c r="E32" s="1157">
        <v>0.8</v>
      </c>
      <c r="F32" s="1136" t="s">
        <v>1476</v>
      </c>
      <c r="G32" s="1137"/>
      <c r="H32" s="1108"/>
      <c r="I32" s="1108"/>
    </row>
    <row r="33" spans="1:9" s="1605" customFormat="1" ht="19.5" customHeight="1">
      <c r="A33" s="3399" t="s">
        <v>1477</v>
      </c>
      <c r="B33" s="1157" t="s">
        <v>1449</v>
      </c>
      <c r="C33" s="1134" t="s">
        <v>1478</v>
      </c>
      <c r="D33" s="1135"/>
      <c r="E33" s="1157">
        <v>1</v>
      </c>
      <c r="F33" s="1136" t="s">
        <v>1479</v>
      </c>
      <c r="G33" s="1137"/>
      <c r="H33" s="1108"/>
      <c r="I33" s="1108"/>
    </row>
    <row r="34" spans="1:9" s="1605" customFormat="1" ht="19.5" customHeight="1">
      <c r="A34" s="3399"/>
      <c r="B34" s="1157" t="s">
        <v>1452</v>
      </c>
      <c r="C34" s="1134" t="s">
        <v>1480</v>
      </c>
      <c r="D34" s="1135"/>
      <c r="E34" s="1157">
        <v>1.5</v>
      </c>
      <c r="F34" s="1136" t="s">
        <v>1481</v>
      </c>
      <c r="G34" s="1137"/>
      <c r="H34" s="1108"/>
      <c r="I34" s="1108"/>
    </row>
    <row r="35" spans="1:9" s="1605" customFormat="1" ht="19.5" customHeight="1">
      <c r="A35" s="3399" t="s">
        <v>1435</v>
      </c>
      <c r="B35" s="1157" t="s">
        <v>1449</v>
      </c>
      <c r="C35" s="1134" t="s">
        <v>1482</v>
      </c>
      <c r="D35" s="1135"/>
      <c r="E35" s="1157">
        <v>1</v>
      </c>
      <c r="F35" s="1136" t="s">
        <v>1483</v>
      </c>
      <c r="G35" s="1137"/>
      <c r="H35" s="1108"/>
      <c r="I35" s="1108"/>
    </row>
    <row r="36" spans="1:9" s="1605" customFormat="1" ht="19.5" customHeight="1">
      <c r="A36" s="3399"/>
      <c r="B36" s="3399" t="s">
        <v>1452</v>
      </c>
      <c r="C36" s="1134" t="s">
        <v>1484</v>
      </c>
      <c r="D36" s="1135"/>
      <c r="E36" s="1157">
        <v>1</v>
      </c>
      <c r="F36" s="1136" t="s">
        <v>1485</v>
      </c>
      <c r="G36" s="1137"/>
      <c r="H36" s="1108"/>
      <c r="I36" s="1108"/>
    </row>
    <row r="37" spans="1:9" s="1605" customFormat="1" ht="19.5" customHeight="1">
      <c r="A37" s="3399"/>
      <c r="B37" s="3399"/>
      <c r="C37" s="1134" t="s">
        <v>1486</v>
      </c>
      <c r="D37" s="1135"/>
      <c r="E37" s="1157">
        <v>1.5</v>
      </c>
      <c r="F37" s="1136" t="s">
        <v>1487</v>
      </c>
      <c r="G37" s="1137"/>
      <c r="H37" s="1108"/>
      <c r="I37" s="1108"/>
    </row>
    <row r="38" spans="1:9" s="1605" customFormat="1" ht="19.5" customHeight="1">
      <c r="A38" s="3399"/>
      <c r="B38" s="3399"/>
      <c r="C38" s="1134" t="s">
        <v>1488</v>
      </c>
      <c r="D38" s="1135"/>
      <c r="E38" s="1157">
        <v>1</v>
      </c>
      <c r="F38" s="1136" t="s">
        <v>1489</v>
      </c>
      <c r="G38" s="1137"/>
      <c r="H38" s="1108"/>
      <c r="I38" s="1108"/>
    </row>
    <row r="39" spans="1:9" s="1605" customFormat="1" ht="19.5" customHeight="1">
      <c r="A39" s="3399"/>
      <c r="B39" s="3399"/>
      <c r="C39" s="1134" t="s">
        <v>1490</v>
      </c>
      <c r="D39" s="1135"/>
      <c r="E39" s="1157">
        <v>1</v>
      </c>
      <c r="F39" s="1136" t="s">
        <v>1491</v>
      </c>
      <c r="G39" s="1137"/>
      <c r="H39" s="1108"/>
      <c r="I39" s="1108"/>
    </row>
    <row r="40" spans="1:9" s="1605" customFormat="1" ht="19.5" customHeight="1">
      <c r="A40" s="1606" t="s">
        <v>1492</v>
      </c>
      <c r="B40" s="1606"/>
      <c r="C40" s="1606"/>
      <c r="D40" s="1606"/>
      <c r="E40" s="1606"/>
      <c r="F40" s="1136"/>
      <c r="G40" s="1136"/>
      <c r="H40" s="1108"/>
      <c r="I40" s="1108"/>
    </row>
    <row r="42" spans="1:9" ht="19.5" customHeight="1">
      <c r="A42" s="1138"/>
      <c r="B42" s="1071" t="s">
        <v>1493</v>
      </c>
      <c r="C42" s="1071" t="s">
        <v>1493</v>
      </c>
      <c r="D42" s="1071" t="s">
        <v>1493</v>
      </c>
      <c r="E42" s="1156" t="s">
        <v>1493</v>
      </c>
      <c r="F42" s="1156" t="s">
        <v>1493</v>
      </c>
      <c r="G42" s="1156" t="s">
        <v>1494</v>
      </c>
      <c r="H42" s="1156" t="s">
        <v>1493</v>
      </c>
    </row>
    <row r="43" spans="1:9" ht="19.5" customHeight="1">
      <c r="A43" s="1139"/>
      <c r="B43" s="1156" t="s">
        <v>1010</v>
      </c>
      <c r="C43" s="1156" t="s">
        <v>1010</v>
      </c>
      <c r="D43" s="1156" t="s">
        <v>1010</v>
      </c>
      <c r="E43" s="1156" t="s">
        <v>1010</v>
      </c>
      <c r="F43" s="1071" t="s">
        <v>1032</v>
      </c>
      <c r="G43" s="1071" t="s">
        <v>1435</v>
      </c>
      <c r="H43" s="1071" t="s">
        <v>1495</v>
      </c>
    </row>
    <row r="44" spans="1:9" ht="19.5" customHeight="1">
      <c r="A44" s="1140"/>
      <c r="B44" s="1071">
        <v>1</v>
      </c>
      <c r="C44" s="1071">
        <v>2</v>
      </c>
      <c r="D44" s="1071">
        <v>3</v>
      </c>
      <c r="E44" s="1156">
        <v>4</v>
      </c>
      <c r="F44" s="1132" t="s">
        <v>1496</v>
      </c>
      <c r="G44" s="1132" t="s">
        <v>1496</v>
      </c>
      <c r="H44" s="1132" t="s">
        <v>1496</v>
      </c>
    </row>
    <row r="45" spans="1:9" ht="19.5" customHeight="1">
      <c r="A45" s="1155" t="s">
        <v>909</v>
      </c>
      <c r="B45" s="1071">
        <v>0.8</v>
      </c>
      <c r="C45" s="1071">
        <v>0.5</v>
      </c>
      <c r="D45" s="1071">
        <v>0.36</v>
      </c>
      <c r="E45" s="1071">
        <v>0.3</v>
      </c>
      <c r="F45" s="1132">
        <v>0.3</v>
      </c>
      <c r="G45" s="1071">
        <v>0.3</v>
      </c>
      <c r="H45" s="1071">
        <v>0.25</v>
      </c>
    </row>
    <row r="46" spans="1:9" ht="19.5" customHeight="1">
      <c r="A46" s="1155" t="s">
        <v>910</v>
      </c>
      <c r="B46" s="1071">
        <v>0.8</v>
      </c>
      <c r="C46" s="1071">
        <v>0.5</v>
      </c>
      <c r="D46" s="1071">
        <v>0.36</v>
      </c>
      <c r="E46" s="1071">
        <v>0.3</v>
      </c>
      <c r="F46" s="1071">
        <v>0.3</v>
      </c>
      <c r="G46" s="1071">
        <v>0.3</v>
      </c>
      <c r="H46" s="1071">
        <v>0.25</v>
      </c>
    </row>
    <row r="47" spans="1:9" ht="19.5" customHeight="1">
      <c r="A47" s="1155" t="s">
        <v>911</v>
      </c>
      <c r="B47" s="1071">
        <v>0.7</v>
      </c>
      <c r="C47" s="1071">
        <v>0.4</v>
      </c>
      <c r="D47" s="1071">
        <v>0.28000000000000003</v>
      </c>
      <c r="E47" s="1071">
        <v>0.25</v>
      </c>
      <c r="F47" s="1071">
        <v>0.25</v>
      </c>
      <c r="G47" s="1071">
        <v>0.25</v>
      </c>
      <c r="H47" s="1071">
        <v>0.2</v>
      </c>
    </row>
    <row r="48" spans="1:9" ht="19.5" customHeight="1">
      <c r="A48" s="1155" t="s">
        <v>912</v>
      </c>
      <c r="B48" s="1071">
        <v>0.7</v>
      </c>
      <c r="C48" s="1071">
        <v>0.4</v>
      </c>
      <c r="D48" s="1071">
        <v>0.28000000000000003</v>
      </c>
      <c r="E48" s="1071">
        <v>0.25</v>
      </c>
      <c r="F48" s="1071">
        <v>0.25</v>
      </c>
      <c r="G48" s="1071">
        <v>0.25</v>
      </c>
      <c r="H48" s="1071">
        <v>0.2</v>
      </c>
    </row>
    <row r="49" spans="1:8" s="1108" customFormat="1" ht="19.5" customHeight="1">
      <c r="A49" s="1155" t="s">
        <v>913</v>
      </c>
      <c r="B49" s="1071">
        <v>0.7</v>
      </c>
      <c r="C49" s="1071">
        <v>0.4</v>
      </c>
      <c r="D49" s="1071">
        <v>0.28000000000000003</v>
      </c>
      <c r="E49" s="1071">
        <v>0.25</v>
      </c>
      <c r="F49" s="1071">
        <v>0.25</v>
      </c>
      <c r="G49" s="1071">
        <v>0.25</v>
      </c>
      <c r="H49" s="1071">
        <v>0.2</v>
      </c>
    </row>
    <row r="50" spans="1:8" s="1108" customFormat="1" ht="19.5" customHeight="1">
      <c r="A50" s="1155" t="s">
        <v>914</v>
      </c>
      <c r="B50" s="1071">
        <v>0.7</v>
      </c>
      <c r="C50" s="1071">
        <v>0.4</v>
      </c>
      <c r="D50" s="1071">
        <v>0.28000000000000003</v>
      </c>
      <c r="E50" s="1071">
        <v>0.25</v>
      </c>
      <c r="F50" s="1071">
        <v>0.25</v>
      </c>
      <c r="G50" s="1071">
        <v>0.25</v>
      </c>
      <c r="H50" s="1071">
        <v>0.2</v>
      </c>
    </row>
    <row r="51" spans="1:8" s="1108" customFormat="1" ht="19.5" customHeight="1">
      <c r="A51" s="1155" t="s">
        <v>915</v>
      </c>
      <c r="B51" s="1071">
        <v>0.7</v>
      </c>
      <c r="C51" s="1071">
        <v>0.4</v>
      </c>
      <c r="D51" s="1071">
        <v>0.28000000000000003</v>
      </c>
      <c r="E51" s="1071">
        <v>0.25</v>
      </c>
      <c r="F51" s="1071">
        <v>0.25</v>
      </c>
      <c r="G51" s="1071">
        <v>0.25</v>
      </c>
      <c r="H51" s="1071">
        <v>0.2</v>
      </c>
    </row>
    <row r="52" spans="1:8" s="1108" customFormat="1" ht="19.5" customHeight="1">
      <c r="A52" s="1155" t="s">
        <v>916</v>
      </c>
      <c r="B52" s="1071">
        <v>0.6</v>
      </c>
      <c r="C52" s="1071">
        <v>0.3</v>
      </c>
      <c r="D52" s="1071">
        <v>0.2</v>
      </c>
      <c r="E52" s="1071">
        <v>0.2</v>
      </c>
      <c r="F52" s="1071">
        <v>0.2</v>
      </c>
      <c r="G52" s="1071">
        <v>0.2</v>
      </c>
      <c r="H52" s="1071">
        <v>0.15</v>
      </c>
    </row>
    <row r="53" spans="1:8" s="1108" customFormat="1" ht="19.5" customHeight="1">
      <c r="A53" s="1155" t="s">
        <v>917</v>
      </c>
      <c r="B53" s="1071">
        <v>0.6</v>
      </c>
      <c r="C53" s="1071">
        <v>0.3</v>
      </c>
      <c r="D53" s="1071">
        <v>0.2</v>
      </c>
      <c r="E53" s="1071">
        <v>0.2</v>
      </c>
      <c r="F53" s="1071">
        <v>0.2</v>
      </c>
      <c r="G53" s="1071">
        <v>0.2</v>
      </c>
      <c r="H53" s="1071">
        <v>0.15</v>
      </c>
    </row>
    <row r="54" spans="1:8" s="1108" customFormat="1" ht="19.5" customHeight="1">
      <c r="A54" s="1155" t="s">
        <v>918</v>
      </c>
      <c r="B54" s="1071">
        <v>0.6</v>
      </c>
      <c r="C54" s="1071">
        <v>0.3</v>
      </c>
      <c r="D54" s="1071">
        <v>0.2</v>
      </c>
      <c r="E54" s="1071">
        <v>0.2</v>
      </c>
      <c r="F54" s="1071">
        <v>0.2</v>
      </c>
      <c r="G54" s="1071">
        <v>0.2</v>
      </c>
      <c r="H54" s="1071">
        <v>0.15</v>
      </c>
    </row>
    <row r="55" spans="1:8" s="1108" customFormat="1" ht="19.5" customHeight="1">
      <c r="A55" s="1155" t="s">
        <v>919</v>
      </c>
      <c r="B55" s="1071">
        <v>0.6</v>
      </c>
      <c r="C55" s="1071">
        <v>0.3</v>
      </c>
      <c r="D55" s="1071">
        <v>0.2</v>
      </c>
      <c r="E55" s="1071">
        <v>0.2</v>
      </c>
      <c r="F55" s="1071">
        <v>0.2</v>
      </c>
      <c r="G55" s="1071">
        <v>0.2</v>
      </c>
      <c r="H55" s="1071">
        <v>0.15</v>
      </c>
    </row>
    <row r="56" spans="1:8" s="1108" customFormat="1" ht="19.5" customHeight="1">
      <c r="A56" s="1155" t="s">
        <v>920</v>
      </c>
      <c r="B56" s="1071">
        <v>0.6</v>
      </c>
      <c r="C56" s="1071">
        <v>0.3</v>
      </c>
      <c r="D56" s="1071">
        <v>0.2</v>
      </c>
      <c r="E56" s="1071">
        <v>0.2</v>
      </c>
      <c r="F56" s="1071">
        <v>0.2</v>
      </c>
      <c r="G56" s="1071">
        <v>0.2</v>
      </c>
      <c r="H56" s="1071">
        <v>0.15</v>
      </c>
    </row>
    <row r="58" spans="1:8" s="1108" customFormat="1" ht="19.5" customHeight="1">
      <c r="A58" s="1141"/>
      <c r="B58" s="1129"/>
      <c r="C58" s="1129"/>
      <c r="D58" s="1129" t="s">
        <v>1497</v>
      </c>
      <c r="E58" s="1129"/>
      <c r="F58" s="1129"/>
    </row>
    <row r="59" spans="1:8" s="1108" customFormat="1" ht="19.5" customHeight="1">
      <c r="A59" s="1157" t="s">
        <v>1498</v>
      </c>
      <c r="B59" s="1157" t="s">
        <v>1499</v>
      </c>
      <c r="C59" s="1157" t="s">
        <v>1500</v>
      </c>
      <c r="D59" s="1157" t="s">
        <v>1501</v>
      </c>
      <c r="E59" s="1157" t="s">
        <v>1502</v>
      </c>
      <c r="F59" s="1157" t="s">
        <v>1503</v>
      </c>
    </row>
    <row r="60" spans="1:8" s="1108" customFormat="1" ht="19.5" customHeight="1">
      <c r="A60" s="1157"/>
      <c r="B60" s="1157"/>
      <c r="C60" s="1157" t="s">
        <v>1635</v>
      </c>
      <c r="D60" s="1157"/>
      <c r="E60" s="1142" t="s">
        <v>1444</v>
      </c>
      <c r="F60" s="1157" t="s">
        <v>1444</v>
      </c>
    </row>
    <row r="61" spans="1:8" s="1108" customFormat="1" ht="24">
      <c r="A61" s="1157">
        <v>1</v>
      </c>
      <c r="B61" s="3399" t="s">
        <v>1504</v>
      </c>
      <c r="C61" s="1071" t="s">
        <v>1505</v>
      </c>
      <c r="D61" s="1071" t="s">
        <v>1506</v>
      </c>
      <c r="E61" s="1142">
        <v>0.5</v>
      </c>
      <c r="F61" s="1157">
        <v>80</v>
      </c>
      <c r="H61" s="1108">
        <f>SUMIF(C59:C119,基准地价!C8,E59:E119)</f>
        <v>0</v>
      </c>
    </row>
    <row r="62" spans="1:8" s="1108" customFormat="1" ht="24">
      <c r="A62" s="1157">
        <v>2</v>
      </c>
      <c r="B62" s="3399"/>
      <c r="C62" s="1071" t="s">
        <v>1507</v>
      </c>
      <c r="D62" s="1071" t="s">
        <v>1508</v>
      </c>
      <c r="E62" s="1142">
        <v>0.5</v>
      </c>
      <c r="F62" s="1157">
        <v>80</v>
      </c>
    </row>
    <row r="63" spans="1:8" s="1108" customFormat="1" ht="36">
      <c r="A63" s="1157">
        <v>3</v>
      </c>
      <c r="B63" s="3399"/>
      <c r="C63" s="1071" t="s">
        <v>1509</v>
      </c>
      <c r="D63" s="1071" t="s">
        <v>1510</v>
      </c>
      <c r="E63" s="1142">
        <v>0.5</v>
      </c>
      <c r="F63" s="1157">
        <v>80</v>
      </c>
    </row>
    <row r="64" spans="1:8" s="1108" customFormat="1" ht="36">
      <c r="A64" s="1157">
        <v>4</v>
      </c>
      <c r="B64" s="3399"/>
      <c r="C64" s="1071" t="s">
        <v>1511</v>
      </c>
      <c r="D64" s="1071" t="s">
        <v>1512</v>
      </c>
      <c r="E64" s="1142">
        <v>0.4</v>
      </c>
      <c r="F64" s="1157">
        <v>60</v>
      </c>
    </row>
    <row r="65" spans="1:6" s="1108" customFormat="1" ht="36">
      <c r="A65" s="1157">
        <v>5</v>
      </c>
      <c r="B65" s="3399"/>
      <c r="C65" s="1071" t="s">
        <v>1513</v>
      </c>
      <c r="D65" s="1071" t="s">
        <v>1514</v>
      </c>
      <c r="E65" s="1142">
        <v>0.2</v>
      </c>
      <c r="F65" s="1157">
        <v>30</v>
      </c>
    </row>
    <row r="66" spans="1:6" s="1108" customFormat="1" ht="36">
      <c r="A66" s="1157">
        <v>6</v>
      </c>
      <c r="B66" s="3399"/>
      <c r="C66" s="1071" t="s">
        <v>1515</v>
      </c>
      <c r="D66" s="1071" t="s">
        <v>1516</v>
      </c>
      <c r="E66" s="1142">
        <v>0.3</v>
      </c>
      <c r="F66" s="1157">
        <v>50</v>
      </c>
    </row>
    <row r="67" spans="1:6" s="1108" customFormat="1" ht="36">
      <c r="A67" s="1157">
        <v>7</v>
      </c>
      <c r="B67" s="3399"/>
      <c r="C67" s="1071" t="s">
        <v>1517</v>
      </c>
      <c r="D67" s="1071" t="s">
        <v>1518</v>
      </c>
      <c r="E67" s="1142">
        <v>0.2</v>
      </c>
      <c r="F67" s="1157">
        <v>30</v>
      </c>
    </row>
    <row r="68" spans="1:6" s="1108" customFormat="1" ht="36">
      <c r="A68" s="1157">
        <v>8</v>
      </c>
      <c r="B68" s="3399"/>
      <c r="C68" s="1071" t="s">
        <v>1519</v>
      </c>
      <c r="D68" s="1071" t="s">
        <v>1520</v>
      </c>
      <c r="E68" s="1142">
        <v>0.2</v>
      </c>
      <c r="F68" s="1157">
        <v>30</v>
      </c>
    </row>
    <row r="69" spans="1:6" s="1108" customFormat="1" ht="36">
      <c r="A69" s="1157">
        <v>9</v>
      </c>
      <c r="B69" s="3399"/>
      <c r="C69" s="1071" t="s">
        <v>1521</v>
      </c>
      <c r="D69" s="1071" t="s">
        <v>1522</v>
      </c>
      <c r="E69" s="1142">
        <v>0.2</v>
      </c>
      <c r="F69" s="1157">
        <v>30</v>
      </c>
    </row>
    <row r="70" spans="1:6" s="1108" customFormat="1" ht="48">
      <c r="A70" s="1157">
        <v>10</v>
      </c>
      <c r="B70" s="3399"/>
      <c r="C70" s="1071" t="s">
        <v>1523</v>
      </c>
      <c r="D70" s="1071" t="s">
        <v>1524</v>
      </c>
      <c r="E70" s="1142">
        <v>0.2</v>
      </c>
      <c r="F70" s="1157">
        <v>30</v>
      </c>
    </row>
    <row r="71" spans="1:6" s="1108" customFormat="1" ht="48">
      <c r="A71" s="1157">
        <v>11</v>
      </c>
      <c r="B71" s="3399"/>
      <c r="C71" s="1071" t="s">
        <v>1525</v>
      </c>
      <c r="D71" s="1071" t="s">
        <v>1526</v>
      </c>
      <c r="E71" s="1142">
        <v>0.2</v>
      </c>
      <c r="F71" s="1157">
        <v>30</v>
      </c>
    </row>
    <row r="72" spans="1:6" s="1108" customFormat="1" ht="36">
      <c r="A72" s="1157">
        <v>12</v>
      </c>
      <c r="B72" s="3399"/>
      <c r="C72" s="1071" t="s">
        <v>1527</v>
      </c>
      <c r="D72" s="1071" t="s">
        <v>1528</v>
      </c>
      <c r="E72" s="1142">
        <v>0.5</v>
      </c>
      <c r="F72" s="1157">
        <v>80</v>
      </c>
    </row>
    <row r="73" spans="1:6" s="1108" customFormat="1" ht="24">
      <c r="A73" s="1157">
        <v>13</v>
      </c>
      <c r="B73" s="3399"/>
      <c r="C73" s="1071" t="s">
        <v>1529</v>
      </c>
      <c r="D73" s="1071" t="s">
        <v>1530</v>
      </c>
      <c r="E73" s="1142">
        <v>0.4</v>
      </c>
      <c r="F73" s="1157">
        <v>60</v>
      </c>
    </row>
    <row r="74" spans="1:6" s="1108" customFormat="1" ht="24">
      <c r="A74" s="1157">
        <v>14</v>
      </c>
      <c r="B74" s="3399"/>
      <c r="C74" s="1071" t="s">
        <v>1531</v>
      </c>
      <c r="D74" s="1071" t="s">
        <v>1532</v>
      </c>
      <c r="E74" s="1142">
        <v>0.2</v>
      </c>
      <c r="F74" s="1157">
        <v>30</v>
      </c>
    </row>
    <row r="75" spans="1:6" s="1108" customFormat="1" ht="24">
      <c r="A75" s="1157">
        <v>15</v>
      </c>
      <c r="B75" s="3399"/>
      <c r="C75" s="1071" t="s">
        <v>1533</v>
      </c>
      <c r="D75" s="1071" t="s">
        <v>1534</v>
      </c>
      <c r="E75" s="1142">
        <v>0.2</v>
      </c>
      <c r="F75" s="1157">
        <v>30</v>
      </c>
    </row>
    <row r="76" spans="1:6" s="1108" customFormat="1" ht="24">
      <c r="A76" s="1157">
        <v>16</v>
      </c>
      <c r="B76" s="3399" t="s">
        <v>1535</v>
      </c>
      <c r="C76" s="1071" t="s">
        <v>1536</v>
      </c>
      <c r="D76" s="1071" t="s">
        <v>1537</v>
      </c>
      <c r="E76" s="1142">
        <v>0.5</v>
      </c>
      <c r="F76" s="1157">
        <v>80</v>
      </c>
    </row>
    <row r="77" spans="1:6" s="1108" customFormat="1" ht="24">
      <c r="A77" s="1157">
        <v>17</v>
      </c>
      <c r="B77" s="3399"/>
      <c r="C77" s="1071" t="s">
        <v>1538</v>
      </c>
      <c r="D77" s="1071" t="s">
        <v>1539</v>
      </c>
      <c r="E77" s="1142">
        <v>0.5</v>
      </c>
      <c r="F77" s="1157">
        <v>80</v>
      </c>
    </row>
    <row r="78" spans="1:6" s="1108" customFormat="1" ht="24">
      <c r="A78" s="1157">
        <v>18</v>
      </c>
      <c r="B78" s="3399"/>
      <c r="C78" s="1071" t="s">
        <v>1540</v>
      </c>
      <c r="D78" s="1071" t="s">
        <v>1541</v>
      </c>
      <c r="E78" s="1142">
        <v>0.2</v>
      </c>
      <c r="F78" s="1157">
        <v>30</v>
      </c>
    </row>
    <row r="79" spans="1:6" s="1108" customFormat="1" ht="24">
      <c r="A79" s="1157">
        <v>19</v>
      </c>
      <c r="B79" s="3399"/>
      <c r="C79" s="1071" t="s">
        <v>1542</v>
      </c>
      <c r="D79" s="1071" t="s">
        <v>1543</v>
      </c>
      <c r="E79" s="1142">
        <v>0.5</v>
      </c>
      <c r="F79" s="1157">
        <v>80</v>
      </c>
    </row>
    <row r="80" spans="1:6" s="1108" customFormat="1" ht="36">
      <c r="A80" s="1157">
        <v>20</v>
      </c>
      <c r="B80" s="3399"/>
      <c r="C80" s="1071" t="s">
        <v>1544</v>
      </c>
      <c r="D80" s="1071" t="s">
        <v>1545</v>
      </c>
      <c r="E80" s="1142">
        <v>0.2</v>
      </c>
      <c r="F80" s="1157">
        <v>30</v>
      </c>
    </row>
    <row r="81" spans="1:6" s="1108" customFormat="1" ht="36">
      <c r="A81" s="1157">
        <v>21</v>
      </c>
      <c r="B81" s="3399"/>
      <c r="C81" s="1071" t="s">
        <v>1546</v>
      </c>
      <c r="D81" s="1071" t="s">
        <v>1547</v>
      </c>
      <c r="E81" s="1142">
        <v>0.2</v>
      </c>
      <c r="F81" s="1157">
        <v>30</v>
      </c>
    </row>
    <row r="82" spans="1:6" s="1108" customFormat="1" ht="48">
      <c r="A82" s="1157">
        <v>22</v>
      </c>
      <c r="B82" s="3399"/>
      <c r="C82" s="1071" t="s">
        <v>1548</v>
      </c>
      <c r="D82" s="1071" t="s">
        <v>1549</v>
      </c>
      <c r="E82" s="1142">
        <v>0.2</v>
      </c>
      <c r="F82" s="1157">
        <v>30</v>
      </c>
    </row>
    <row r="83" spans="1:6" s="1108" customFormat="1" ht="48">
      <c r="A83" s="1157">
        <v>23</v>
      </c>
      <c r="B83" s="3399"/>
      <c r="C83" s="1071" t="s">
        <v>1550</v>
      </c>
      <c r="D83" s="1071" t="s">
        <v>1551</v>
      </c>
      <c r="E83" s="1142">
        <v>0.2</v>
      </c>
      <c r="F83" s="1157">
        <v>30</v>
      </c>
    </row>
    <row r="84" spans="1:6" s="1108" customFormat="1" ht="36">
      <c r="A84" s="1157">
        <v>24</v>
      </c>
      <c r="B84" s="3399"/>
      <c r="C84" s="1071" t="s">
        <v>1552</v>
      </c>
      <c r="D84" s="1071" t="s">
        <v>1553</v>
      </c>
      <c r="E84" s="1142">
        <v>0.2</v>
      </c>
      <c r="F84" s="1157">
        <v>30</v>
      </c>
    </row>
    <row r="85" spans="1:6" s="1108" customFormat="1" ht="36">
      <c r="A85" s="1157">
        <v>25</v>
      </c>
      <c r="B85" s="3399"/>
      <c r="C85" s="1071" t="s">
        <v>1554</v>
      </c>
      <c r="D85" s="1071" t="s">
        <v>1555</v>
      </c>
      <c r="E85" s="1142">
        <v>0.5</v>
      </c>
      <c r="F85" s="1157">
        <v>80</v>
      </c>
    </row>
    <row r="86" spans="1:6" s="1108" customFormat="1" ht="36">
      <c r="A86" s="1157">
        <v>26</v>
      </c>
      <c r="B86" s="3399"/>
      <c r="C86" s="1071" t="s">
        <v>1556</v>
      </c>
      <c r="D86" s="1071" t="s">
        <v>1557</v>
      </c>
      <c r="E86" s="1142">
        <v>0.2</v>
      </c>
      <c r="F86" s="1157">
        <v>30</v>
      </c>
    </row>
    <row r="87" spans="1:6" s="1108" customFormat="1" ht="36">
      <c r="A87" s="1157">
        <v>27</v>
      </c>
      <c r="B87" s="3399"/>
      <c r="C87" s="1071" t="s">
        <v>1558</v>
      </c>
      <c r="D87" s="1071" t="s">
        <v>1559</v>
      </c>
      <c r="E87" s="1142">
        <v>0.2</v>
      </c>
      <c r="F87" s="1157">
        <v>30</v>
      </c>
    </row>
    <row r="88" spans="1:6" s="1108" customFormat="1" ht="36">
      <c r="A88" s="1157">
        <v>28</v>
      </c>
      <c r="B88" s="3399"/>
      <c r="C88" s="1071" t="s">
        <v>1560</v>
      </c>
      <c r="D88" s="1071" t="s">
        <v>1561</v>
      </c>
      <c r="E88" s="1142">
        <v>0.2</v>
      </c>
      <c r="F88" s="1157">
        <v>30</v>
      </c>
    </row>
    <row r="89" spans="1:6" s="1108" customFormat="1" ht="24">
      <c r="A89" s="1157">
        <v>29</v>
      </c>
      <c r="B89" s="3399"/>
      <c r="C89" s="1071" t="s">
        <v>1562</v>
      </c>
      <c r="D89" s="1071" t="s">
        <v>1563</v>
      </c>
      <c r="E89" s="1142">
        <v>0.2</v>
      </c>
      <c r="F89" s="1157">
        <v>30</v>
      </c>
    </row>
    <row r="90" spans="1:6" s="1108" customFormat="1" ht="24">
      <c r="A90" s="1157">
        <v>30</v>
      </c>
      <c r="B90" s="3399"/>
      <c r="C90" s="1071" t="s">
        <v>1564</v>
      </c>
      <c r="D90" s="1071" t="s">
        <v>1565</v>
      </c>
      <c r="E90" s="1142">
        <v>0.2</v>
      </c>
      <c r="F90" s="1157">
        <v>30</v>
      </c>
    </row>
    <row r="91" spans="1:6" s="1108" customFormat="1" ht="36">
      <c r="A91" s="1157">
        <v>31</v>
      </c>
      <c r="B91" s="3399"/>
      <c r="C91" s="1071" t="s">
        <v>1566</v>
      </c>
      <c r="D91" s="1071" t="s">
        <v>1567</v>
      </c>
      <c r="E91" s="1142">
        <v>0.2</v>
      </c>
      <c r="F91" s="1157">
        <v>30</v>
      </c>
    </row>
    <row r="92" spans="1:6" s="1108" customFormat="1" ht="24">
      <c r="A92" s="1157">
        <v>32</v>
      </c>
      <c r="B92" s="3399" t="s">
        <v>1568</v>
      </c>
      <c r="C92" s="1157" t="s">
        <v>1569</v>
      </c>
      <c r="D92" s="1071" t="s">
        <v>1570</v>
      </c>
      <c r="E92" s="1142">
        <v>0.2</v>
      </c>
      <c r="F92" s="1157">
        <v>30</v>
      </c>
    </row>
    <row r="93" spans="1:6" s="1108" customFormat="1" ht="36">
      <c r="A93" s="1157">
        <v>33</v>
      </c>
      <c r="B93" s="3399"/>
      <c r="C93" s="1157" t="s">
        <v>1571</v>
      </c>
      <c r="D93" s="1071" t="s">
        <v>1572</v>
      </c>
      <c r="E93" s="1142">
        <v>0.2</v>
      </c>
      <c r="F93" s="1157">
        <v>30</v>
      </c>
    </row>
    <row r="94" spans="1:6" s="1108" customFormat="1" ht="48">
      <c r="A94" s="1157">
        <v>34</v>
      </c>
      <c r="B94" s="3399"/>
      <c r="C94" s="1157" t="s">
        <v>1573</v>
      </c>
      <c r="D94" s="1071" t="s">
        <v>1574</v>
      </c>
      <c r="E94" s="1142">
        <v>0.2</v>
      </c>
      <c r="F94" s="1157">
        <v>30</v>
      </c>
    </row>
    <row r="95" spans="1:6" s="1108" customFormat="1" ht="36">
      <c r="A95" s="1157">
        <v>35</v>
      </c>
      <c r="B95" s="3399"/>
      <c r="C95" s="1157" t="s">
        <v>1575</v>
      </c>
      <c r="D95" s="1071" t="s">
        <v>1576</v>
      </c>
      <c r="E95" s="1142">
        <v>0.2</v>
      </c>
      <c r="F95" s="1157">
        <v>30</v>
      </c>
    </row>
    <row r="96" spans="1:6" s="1108" customFormat="1" ht="48">
      <c r="A96" s="1157">
        <v>36</v>
      </c>
      <c r="B96" s="3399"/>
      <c r="C96" s="1071" t="s">
        <v>1577</v>
      </c>
      <c r="D96" s="1071" t="s">
        <v>1578</v>
      </c>
      <c r="E96" s="1142">
        <v>0.2</v>
      </c>
      <c r="F96" s="1157">
        <v>30</v>
      </c>
    </row>
    <row r="97" spans="1:6" s="1108" customFormat="1" ht="36">
      <c r="A97" s="1157">
        <v>37</v>
      </c>
      <c r="B97" s="3399"/>
      <c r="C97" s="1157" t="s">
        <v>1579</v>
      </c>
      <c r="D97" s="1071" t="s">
        <v>1580</v>
      </c>
      <c r="E97" s="1142">
        <v>0.2</v>
      </c>
      <c r="F97" s="1157">
        <v>30</v>
      </c>
    </row>
    <row r="98" spans="1:6" s="1108" customFormat="1" ht="36">
      <c r="A98" s="1157">
        <v>38</v>
      </c>
      <c r="B98" s="3399"/>
      <c r="C98" s="1157" t="s">
        <v>1581</v>
      </c>
      <c r="D98" s="1071" t="s">
        <v>1582</v>
      </c>
      <c r="E98" s="1142">
        <v>0.2</v>
      </c>
      <c r="F98" s="1157">
        <v>30</v>
      </c>
    </row>
    <row r="99" spans="1:6" s="1108" customFormat="1" ht="36">
      <c r="A99" s="1157">
        <v>39</v>
      </c>
      <c r="B99" s="3399" t="s">
        <v>1583</v>
      </c>
      <c r="C99" s="1157" t="s">
        <v>1584</v>
      </c>
      <c r="D99" s="1071" t="s">
        <v>1585</v>
      </c>
      <c r="E99" s="1142">
        <v>0.3</v>
      </c>
      <c r="F99" s="1157">
        <v>50</v>
      </c>
    </row>
    <row r="100" spans="1:6" s="1108" customFormat="1" ht="24">
      <c r="A100" s="1157">
        <v>40</v>
      </c>
      <c r="B100" s="3399"/>
      <c r="C100" s="1157" t="s">
        <v>1586</v>
      </c>
      <c r="D100" s="1071" t="s">
        <v>1587</v>
      </c>
      <c r="E100" s="1142">
        <v>0.2</v>
      </c>
      <c r="F100" s="1157">
        <v>30</v>
      </c>
    </row>
    <row r="101" spans="1:6" s="1108" customFormat="1" ht="36">
      <c r="A101" s="1157">
        <v>41</v>
      </c>
      <c r="B101" s="3399"/>
      <c r="C101" s="1157" t="s">
        <v>1588</v>
      </c>
      <c r="D101" s="1071" t="s">
        <v>1585</v>
      </c>
      <c r="E101" s="1142">
        <v>0.2</v>
      </c>
      <c r="F101" s="1157">
        <v>30</v>
      </c>
    </row>
    <row r="102" spans="1:6" s="1108" customFormat="1" ht="48">
      <c r="A102" s="1157">
        <v>42</v>
      </c>
      <c r="B102" s="1157" t="s">
        <v>1589</v>
      </c>
      <c r="C102" s="1071" t="s">
        <v>1590</v>
      </c>
      <c r="D102" s="1071" t="s">
        <v>1591</v>
      </c>
      <c r="E102" s="1142">
        <v>0.2</v>
      </c>
      <c r="F102" s="1157">
        <v>30</v>
      </c>
    </row>
    <row r="103" spans="1:6" s="1108" customFormat="1" ht="24">
      <c r="A103" s="1157">
        <v>43</v>
      </c>
      <c r="B103" s="1157" t="s">
        <v>1592</v>
      </c>
      <c r="C103" s="1157" t="s">
        <v>1593</v>
      </c>
      <c r="D103" s="1071" t="s">
        <v>1594</v>
      </c>
      <c r="E103" s="1142">
        <v>0.2</v>
      </c>
      <c r="F103" s="1157">
        <v>30</v>
      </c>
    </row>
    <row r="104" spans="1:6" s="1108" customFormat="1" ht="36">
      <c r="A104" s="1157">
        <v>44</v>
      </c>
      <c r="B104" s="1157" t="s">
        <v>1595</v>
      </c>
      <c r="C104" s="1157" t="s">
        <v>1596</v>
      </c>
      <c r="D104" s="1071" t="s">
        <v>1597</v>
      </c>
      <c r="E104" s="1142">
        <v>0.2</v>
      </c>
      <c r="F104" s="1157">
        <v>30</v>
      </c>
    </row>
    <row r="105" spans="1:6" s="1108" customFormat="1" ht="36">
      <c r="A105" s="1157">
        <v>45</v>
      </c>
      <c r="B105" s="3399" t="s">
        <v>1598</v>
      </c>
      <c r="C105" s="1157" t="s">
        <v>1599</v>
      </c>
      <c r="D105" s="1071" t="s">
        <v>1600</v>
      </c>
      <c r="E105" s="1142">
        <v>0.2</v>
      </c>
      <c r="F105" s="1157">
        <v>30</v>
      </c>
    </row>
    <row r="106" spans="1:6" s="1108" customFormat="1" ht="36">
      <c r="A106" s="1157">
        <v>46</v>
      </c>
      <c r="B106" s="3399"/>
      <c r="C106" s="1157" t="s">
        <v>1601</v>
      </c>
      <c r="D106" s="1071" t="s">
        <v>1602</v>
      </c>
      <c r="E106" s="1142">
        <v>0.2</v>
      </c>
      <c r="F106" s="1157">
        <v>30</v>
      </c>
    </row>
    <row r="107" spans="1:6" s="1108" customFormat="1" ht="36">
      <c r="A107" s="1157">
        <v>47</v>
      </c>
      <c r="B107" s="3399" t="s">
        <v>1603</v>
      </c>
      <c r="C107" s="1157" t="s">
        <v>1604</v>
      </c>
      <c r="D107" s="1071" t="s">
        <v>1605</v>
      </c>
      <c r="E107" s="1142">
        <v>0.3</v>
      </c>
      <c r="F107" s="1157">
        <v>50</v>
      </c>
    </row>
    <row r="108" spans="1:6" s="1108" customFormat="1" ht="36">
      <c r="A108" s="1157">
        <v>48</v>
      </c>
      <c r="B108" s="3399"/>
      <c r="C108" s="1157" t="s">
        <v>1606</v>
      </c>
      <c r="D108" s="1071" t="s">
        <v>1607</v>
      </c>
      <c r="E108" s="1142">
        <v>0.2</v>
      </c>
      <c r="F108" s="1157">
        <v>30</v>
      </c>
    </row>
    <row r="109" spans="1:6" s="1108" customFormat="1" ht="36">
      <c r="A109" s="1157">
        <v>49</v>
      </c>
      <c r="B109" s="1157" t="s">
        <v>1608</v>
      </c>
      <c r="C109" s="1157" t="s">
        <v>1609</v>
      </c>
      <c r="D109" s="1071" t="s">
        <v>1610</v>
      </c>
      <c r="E109" s="1142">
        <v>0.2</v>
      </c>
      <c r="F109" s="1157">
        <v>30</v>
      </c>
    </row>
    <row r="110" spans="1:6" s="1108" customFormat="1" ht="36">
      <c r="A110" s="1157">
        <v>50</v>
      </c>
      <c r="B110" s="1157" t="s">
        <v>1611</v>
      </c>
      <c r="C110" s="1157" t="s">
        <v>1612</v>
      </c>
      <c r="D110" s="1071" t="s">
        <v>1613</v>
      </c>
      <c r="E110" s="1142">
        <v>0.2</v>
      </c>
      <c r="F110" s="1157">
        <v>30</v>
      </c>
    </row>
    <row r="111" spans="1:6" s="1108" customFormat="1" ht="36">
      <c r="A111" s="1157">
        <v>51</v>
      </c>
      <c r="B111" s="3399" t="s">
        <v>1614</v>
      </c>
      <c r="C111" s="1157" t="s">
        <v>1615</v>
      </c>
      <c r="D111" s="1071" t="s">
        <v>1616</v>
      </c>
      <c r="E111" s="1142">
        <v>0.2</v>
      </c>
      <c r="F111" s="1157">
        <v>30</v>
      </c>
    </row>
    <row r="112" spans="1:6" s="1108" customFormat="1" ht="24">
      <c r="A112" s="1157">
        <v>52</v>
      </c>
      <c r="B112" s="3399"/>
      <c r="C112" s="1157" t="s">
        <v>1617</v>
      </c>
      <c r="D112" s="1071" t="s">
        <v>1618</v>
      </c>
      <c r="E112" s="1142">
        <v>0.2</v>
      </c>
      <c r="F112" s="1157">
        <v>30</v>
      </c>
    </row>
    <row r="113" spans="1:14" s="1108" customFormat="1" ht="24">
      <c r="A113" s="1157">
        <v>53</v>
      </c>
      <c r="B113" s="3399"/>
      <c r="C113" s="1157" t="s">
        <v>1619</v>
      </c>
      <c r="D113" s="1071" t="s">
        <v>1620</v>
      </c>
      <c r="E113" s="1142">
        <v>0.2</v>
      </c>
      <c r="F113" s="1157">
        <v>30</v>
      </c>
    </row>
    <row r="114" spans="1:14" ht="36">
      <c r="A114" s="1157">
        <v>54</v>
      </c>
      <c r="B114" s="1157" t="s">
        <v>1621</v>
      </c>
      <c r="C114" s="1157" t="s">
        <v>1622</v>
      </c>
      <c r="D114" s="1071" t="s">
        <v>1623</v>
      </c>
      <c r="E114" s="1142">
        <v>0.2</v>
      </c>
      <c r="F114" s="1157">
        <v>30</v>
      </c>
    </row>
    <row r="115" spans="1:14" ht="24">
      <c r="A115" s="1157">
        <v>55</v>
      </c>
      <c r="B115" s="1157" t="s">
        <v>1624</v>
      </c>
      <c r="C115" s="1157" t="s">
        <v>1625</v>
      </c>
      <c r="D115" s="1071" t="s">
        <v>1626</v>
      </c>
      <c r="E115" s="1142">
        <v>0.2</v>
      </c>
      <c r="F115" s="1157">
        <v>30</v>
      </c>
    </row>
    <row r="116" spans="1:14" ht="24">
      <c r="A116" s="1157">
        <v>56</v>
      </c>
      <c r="B116" s="3399" t="s">
        <v>1627</v>
      </c>
      <c r="C116" s="1157" t="s">
        <v>1628</v>
      </c>
      <c r="D116" s="1071" t="s">
        <v>1629</v>
      </c>
      <c r="E116" s="1142">
        <v>0.2</v>
      </c>
      <c r="F116" s="1157">
        <v>30</v>
      </c>
    </row>
    <row r="117" spans="1:14" ht="36">
      <c r="A117" s="1157">
        <v>57</v>
      </c>
      <c r="B117" s="3399"/>
      <c r="C117" s="1157" t="s">
        <v>1630</v>
      </c>
      <c r="D117" s="1071" t="s">
        <v>1631</v>
      </c>
      <c r="E117" s="1142">
        <v>0.2</v>
      </c>
      <c r="F117" s="1157">
        <v>30</v>
      </c>
    </row>
    <row r="118" spans="1:14" ht="36">
      <c r="A118" s="1157">
        <v>58</v>
      </c>
      <c r="B118" s="1157" t="s">
        <v>1632</v>
      </c>
      <c r="C118" s="1157" t="s">
        <v>1633</v>
      </c>
      <c r="D118" s="1071" t="s">
        <v>1634</v>
      </c>
      <c r="E118" s="1142">
        <v>0.2</v>
      </c>
      <c r="F118" s="1157">
        <v>30</v>
      </c>
    </row>
    <row r="119" spans="1:14" ht="13.5">
      <c r="A119" s="1157"/>
      <c r="B119" s="1157"/>
      <c r="C119" s="1157"/>
      <c r="D119" s="1157"/>
      <c r="E119" s="1142"/>
      <c r="F119" s="1157"/>
    </row>
    <row r="121" spans="1:14" ht="19.5" customHeight="1">
      <c r="A121" s="3398" t="s">
        <v>1636</v>
      </c>
      <c r="B121" s="3398"/>
      <c r="C121" s="3398"/>
      <c r="D121" s="3398"/>
      <c r="E121" s="3398"/>
      <c r="F121" s="3398"/>
      <c r="G121" s="3398"/>
      <c r="H121" s="3398"/>
      <c r="I121" s="3398"/>
      <c r="J121" s="3398"/>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08" t="s">
        <v>1042</v>
      </c>
      <c r="B1" s="3408"/>
      <c r="C1" s="3408"/>
      <c r="D1" s="3408"/>
      <c r="E1" s="3408"/>
      <c r="F1" s="3408"/>
      <c r="H1" s="1073"/>
      <c r="I1" s="1074" t="s">
        <v>1043</v>
      </c>
      <c r="J1" s="1075" t="s">
        <v>1044</v>
      </c>
      <c r="K1" s="1075" t="s">
        <v>1045</v>
      </c>
      <c r="L1" s="1075" t="s">
        <v>1046</v>
      </c>
      <c r="M1" s="1075" t="s">
        <v>1047</v>
      </c>
      <c r="N1" s="1075" t="s">
        <v>1048</v>
      </c>
      <c r="O1" s="1075" t="s">
        <v>1049</v>
      </c>
      <c r="P1" s="1075" t="s">
        <v>1050</v>
      </c>
      <c r="Q1" s="1075" t="s">
        <v>1051</v>
      </c>
      <c r="R1" s="1075" t="s">
        <v>1052</v>
      </c>
      <c r="S1" s="1075" t="s">
        <v>1053</v>
      </c>
      <c r="T1" s="1076" t="s">
        <v>1054</v>
      </c>
    </row>
    <row r="2" spans="1:20" ht="14.25" thickBot="1">
      <c r="A2" s="3409" t="s">
        <v>1055</v>
      </c>
      <c r="B2" s="3409"/>
      <c r="C2" s="3409"/>
      <c r="D2" s="3409"/>
      <c r="E2" s="3409"/>
      <c r="F2" s="3409"/>
      <c r="I2" s="1077" t="s">
        <v>1056</v>
      </c>
      <c r="J2" s="1078" t="s">
        <v>1057</v>
      </c>
      <c r="K2" s="1078" t="s">
        <v>1058</v>
      </c>
      <c r="L2" s="1078" t="s">
        <v>1059</v>
      </c>
      <c r="M2" s="1078" t="s">
        <v>1060</v>
      </c>
      <c r="N2" s="1078" t="s">
        <v>1061</v>
      </c>
      <c r="O2" s="1078" t="s">
        <v>1062</v>
      </c>
      <c r="P2" s="1078" t="s">
        <v>1063</v>
      </c>
      <c r="Q2" s="1078" t="s">
        <v>1064</v>
      </c>
      <c r="R2" s="1078" t="s">
        <v>1065</v>
      </c>
      <c r="S2" s="1078" t="s">
        <v>1066</v>
      </c>
      <c r="T2" s="1078" t="s">
        <v>1067</v>
      </c>
    </row>
    <row r="3" spans="1:20" s="1073" customFormat="1" ht="19.5" customHeight="1">
      <c r="A3" s="3410" t="s">
        <v>1068</v>
      </c>
      <c r="B3" s="1079"/>
      <c r="C3" s="1080" t="s">
        <v>1069</v>
      </c>
      <c r="D3" s="1080" t="s">
        <v>1070</v>
      </c>
      <c r="E3" s="1080" t="s">
        <v>1071</v>
      </c>
      <c r="F3" s="1080" t="s">
        <v>1072</v>
      </c>
      <c r="G3" s="1081"/>
      <c r="I3" s="1077" t="s">
        <v>1073</v>
      </c>
      <c r="J3" s="1078" t="s">
        <v>1074</v>
      </c>
      <c r="K3" s="1078" t="s">
        <v>1075</v>
      </c>
      <c r="L3" s="1078" t="s">
        <v>1076</v>
      </c>
      <c r="M3" s="1078" t="s">
        <v>1077</v>
      </c>
      <c r="N3" s="1078" t="s">
        <v>1078</v>
      </c>
      <c r="O3" s="1078" t="s">
        <v>1079</v>
      </c>
      <c r="P3" s="1078" t="s">
        <v>1080</v>
      </c>
      <c r="Q3" s="1078" t="s">
        <v>1081</v>
      </c>
      <c r="R3" s="1078" t="s">
        <v>1082</v>
      </c>
      <c r="S3" s="1078" t="s">
        <v>1083</v>
      </c>
      <c r="T3" s="1078" t="s">
        <v>1084</v>
      </c>
    </row>
    <row r="4" spans="1:20" s="1073" customFormat="1" ht="19.5" customHeight="1" thickBot="1">
      <c r="A4" s="3411"/>
      <c r="B4" s="1082" t="s">
        <v>1085</v>
      </c>
      <c r="C4" s="1082" t="s">
        <v>1086</v>
      </c>
      <c r="D4" s="1082" t="s">
        <v>1086</v>
      </c>
      <c r="E4" s="1082" t="s">
        <v>1086</v>
      </c>
      <c r="F4" s="1083" t="s">
        <v>1086</v>
      </c>
      <c r="G4" s="1081"/>
      <c r="I4" s="1077" t="s">
        <v>1087</v>
      </c>
      <c r="J4" s="1078" t="s">
        <v>1088</v>
      </c>
      <c r="K4" s="1078" t="s">
        <v>1089</v>
      </c>
      <c r="L4" s="1078" t="s">
        <v>1090</v>
      </c>
      <c r="M4" s="1078" t="s">
        <v>1091</v>
      </c>
      <c r="N4" s="1078" t="s">
        <v>1092</v>
      </c>
      <c r="O4" s="1078" t="s">
        <v>1093</v>
      </c>
      <c r="P4" s="1078" t="s">
        <v>1094</v>
      </c>
      <c r="Q4" s="1078" t="s">
        <v>1095</v>
      </c>
      <c r="R4" s="1078" t="s">
        <v>1096</v>
      </c>
      <c r="S4" s="1078" t="s">
        <v>1097</v>
      </c>
      <c r="T4" s="1078" t="s">
        <v>1098</v>
      </c>
    </row>
    <row r="5" spans="1:20" ht="14.25" customHeight="1" thickBot="1">
      <c r="A5" s="1084" t="s">
        <v>1099</v>
      </c>
      <c r="B5" s="1085" t="s">
        <v>1056</v>
      </c>
      <c r="C5" s="1085">
        <v>29530</v>
      </c>
      <c r="D5" s="1085">
        <v>28130</v>
      </c>
      <c r="E5" s="1085">
        <v>27930</v>
      </c>
      <c r="F5" s="1086">
        <v>11300</v>
      </c>
      <c r="G5" s="1087" t="s">
        <v>1043</v>
      </c>
      <c r="H5" s="1088">
        <f>SUMPRODUCT((B5:B9=基准地价!I2)*(C3:F3=基准地价!E2)*(C5:F9))</f>
        <v>0</v>
      </c>
      <c r="I5" s="1077" t="s">
        <v>1100</v>
      </c>
      <c r="J5" s="1078" t="s">
        <v>1101</v>
      </c>
      <c r="K5" s="1078" t="s">
        <v>1102</v>
      </c>
      <c r="L5" s="1078" t="s">
        <v>1103</v>
      </c>
      <c r="M5" s="1078" t="s">
        <v>1104</v>
      </c>
      <c r="N5" s="1078" t="s">
        <v>1105</v>
      </c>
      <c r="O5" s="1078" t="s">
        <v>1106</v>
      </c>
      <c r="P5" s="1078" t="s">
        <v>1107</v>
      </c>
      <c r="Q5" s="1078" t="s">
        <v>1108</v>
      </c>
      <c r="R5" s="1078" t="s">
        <v>1109</v>
      </c>
      <c r="S5" s="1078" t="s">
        <v>1110</v>
      </c>
      <c r="T5" s="1078" t="s">
        <v>1111</v>
      </c>
    </row>
    <row r="6" spans="1:20" ht="14.25" customHeight="1" thickBot="1">
      <c r="A6" s="1084" t="s">
        <v>1099</v>
      </c>
      <c r="B6" s="1078" t="s">
        <v>1112</v>
      </c>
      <c r="C6" s="1078">
        <v>30290</v>
      </c>
      <c r="D6" s="1078">
        <v>29210</v>
      </c>
      <c r="E6" s="1078">
        <v>28860</v>
      </c>
      <c r="F6" s="1089">
        <v>12600</v>
      </c>
      <c r="G6" s="1090" t="s">
        <v>1113</v>
      </c>
      <c r="H6" s="1091">
        <f>SUMPRODUCT((B10:B28=基准地价!I2)*(C3:F3=基准地价!E2)*(C10:F28))</f>
        <v>0</v>
      </c>
      <c r="I6" s="1077" t="s">
        <v>1114</v>
      </c>
      <c r="J6" s="1078" t="s">
        <v>1115</v>
      </c>
      <c r="K6" s="1078" t="s">
        <v>1116</v>
      </c>
      <c r="L6" s="1078" t="s">
        <v>1117</v>
      </c>
      <c r="M6" s="1078" t="s">
        <v>1118</v>
      </c>
      <c r="N6" s="1078" t="s">
        <v>1119</v>
      </c>
      <c r="O6" s="1078" t="s">
        <v>1120</v>
      </c>
      <c r="P6" s="1078" t="s">
        <v>1121</v>
      </c>
      <c r="Q6" s="1078" t="s">
        <v>1122</v>
      </c>
      <c r="R6" s="1078" t="s">
        <v>1123</v>
      </c>
      <c r="S6" s="1078" t="s">
        <v>1124</v>
      </c>
      <c r="T6" s="1078" t="s">
        <v>1125</v>
      </c>
    </row>
    <row r="7" spans="1:20" ht="14.25" customHeight="1" thickBot="1">
      <c r="A7" s="1084" t="s">
        <v>1099</v>
      </c>
      <c r="B7" s="1092" t="s">
        <v>1087</v>
      </c>
      <c r="C7" s="1078">
        <v>29350</v>
      </c>
      <c r="D7" s="1078">
        <v>28410</v>
      </c>
      <c r="E7" s="1078">
        <v>27990</v>
      </c>
      <c r="F7" s="1089">
        <v>12300</v>
      </c>
      <c r="G7" s="1090" t="s">
        <v>911</v>
      </c>
      <c r="H7" s="1091">
        <f>SUMPRODUCT((B29:B48=基准地价!I2)*(C3:F3=基准地价!E2)*(C29:F48))</f>
        <v>0</v>
      </c>
      <c r="J7" s="1078" t="s">
        <v>1126</v>
      </c>
      <c r="K7" s="1078" t="s">
        <v>1127</v>
      </c>
      <c r="L7" s="1078" t="s">
        <v>1128</v>
      </c>
      <c r="M7" s="1078" t="s">
        <v>1129</v>
      </c>
      <c r="N7" s="1078" t="s">
        <v>1130</v>
      </c>
      <c r="O7" s="1078" t="s">
        <v>1131</v>
      </c>
      <c r="P7" s="1078" t="s">
        <v>1132</v>
      </c>
      <c r="Q7" s="1078" t="s">
        <v>1133</v>
      </c>
      <c r="R7" s="1078" t="s">
        <v>1134</v>
      </c>
      <c r="S7" s="1078" t="s">
        <v>1135</v>
      </c>
      <c r="T7" s="1092" t="s">
        <v>1136</v>
      </c>
    </row>
    <row r="8" spans="1:20" ht="14.25" customHeight="1" thickBot="1">
      <c r="A8" s="1084" t="s">
        <v>1099</v>
      </c>
      <c r="B8" s="1078" t="s">
        <v>1100</v>
      </c>
      <c r="C8" s="1078">
        <v>30890</v>
      </c>
      <c r="D8" s="1078">
        <v>29780</v>
      </c>
      <c r="E8" s="1078">
        <v>29270</v>
      </c>
      <c r="F8" s="1089">
        <v>11600</v>
      </c>
      <c r="G8" s="1090" t="s">
        <v>912</v>
      </c>
      <c r="H8" s="1091">
        <f>SUMPRODUCT((B49:B75=基准地价!I2)*(C3:F3=基准地价!E2)*(C49:F75))</f>
        <v>0</v>
      </c>
      <c r="J8" s="1078" t="s">
        <v>1137</v>
      </c>
      <c r="K8" s="1078" t="s">
        <v>1138</v>
      </c>
      <c r="L8" s="1078" t="s">
        <v>1139</v>
      </c>
      <c r="M8" s="1078" t="s">
        <v>1140</v>
      </c>
      <c r="N8" s="1078" t="s">
        <v>1141</v>
      </c>
      <c r="O8" s="1078" t="s">
        <v>1142</v>
      </c>
      <c r="P8" s="1078" t="s">
        <v>1143</v>
      </c>
      <c r="Q8" s="1078" t="s">
        <v>1144</v>
      </c>
      <c r="R8" s="1078" t="s">
        <v>1145</v>
      </c>
      <c r="S8" s="1078" t="s">
        <v>1146</v>
      </c>
      <c r="T8" s="1078" t="s">
        <v>1147</v>
      </c>
    </row>
    <row r="9" spans="1:20" ht="14.25" customHeight="1" thickBot="1">
      <c r="A9" s="1084" t="s">
        <v>1099</v>
      </c>
      <c r="B9" s="1093" t="s">
        <v>1114</v>
      </c>
      <c r="C9" s="1094">
        <v>28140</v>
      </c>
      <c r="D9" s="1094"/>
      <c r="E9" s="1094"/>
      <c r="F9" s="1095"/>
      <c r="G9" s="1090" t="s">
        <v>913</v>
      </c>
      <c r="H9" s="1091">
        <f>SUMPRODUCT((B76:B109=基准地价!I2)*(C3:F3=基准地价!E2)*(C76:F109))</f>
        <v>0</v>
      </c>
      <c r="J9" s="1078" t="s">
        <v>1148</v>
      </c>
      <c r="K9" s="1078" t="s">
        <v>1149</v>
      </c>
      <c r="L9" s="1078" t="s">
        <v>1150</v>
      </c>
      <c r="M9" s="1078" t="s">
        <v>1151</v>
      </c>
      <c r="N9" s="1078" t="s">
        <v>1152</v>
      </c>
      <c r="O9" s="1078" t="s">
        <v>1153</v>
      </c>
      <c r="P9" s="1078" t="s">
        <v>1154</v>
      </c>
      <c r="Q9" s="1078" t="s">
        <v>1155</v>
      </c>
      <c r="R9" s="1078" t="s">
        <v>1156</v>
      </c>
      <c r="S9" s="1078" t="s">
        <v>1157</v>
      </c>
    </row>
    <row r="10" spans="1:20" ht="14.25" customHeight="1" thickBot="1">
      <c r="A10" s="1084" t="s">
        <v>1158</v>
      </c>
      <c r="B10" s="1085" t="s">
        <v>1159</v>
      </c>
      <c r="C10" s="1085">
        <v>27450</v>
      </c>
      <c r="D10" s="1085">
        <v>26180</v>
      </c>
      <c r="E10" s="1085">
        <v>25980</v>
      </c>
      <c r="F10" s="1086">
        <v>8910</v>
      </c>
      <c r="G10" s="1090" t="s">
        <v>914</v>
      </c>
      <c r="H10" s="1091">
        <f>SUMPRODUCT((B110:B157=基准地价!I2)*(C3:F3=基准地价!E2)*(C110:F157))</f>
        <v>0</v>
      </c>
      <c r="J10" s="1078" t="s">
        <v>1160</v>
      </c>
      <c r="K10" s="1078" t="s">
        <v>1161</v>
      </c>
      <c r="L10" s="1078" t="s">
        <v>1162</v>
      </c>
      <c r="M10" s="1078" t="s">
        <v>1163</v>
      </c>
      <c r="N10" s="1078" t="s">
        <v>1164</v>
      </c>
      <c r="O10" s="1078" t="s">
        <v>1165</v>
      </c>
      <c r="P10" s="1078" t="s">
        <v>1166</v>
      </c>
      <c r="Q10" s="1078" t="s">
        <v>1167</v>
      </c>
      <c r="R10" s="1078" t="s">
        <v>1168</v>
      </c>
      <c r="S10" s="1078" t="s">
        <v>1169</v>
      </c>
    </row>
    <row r="11" spans="1:20" ht="14.25" customHeight="1" thickBot="1">
      <c r="A11" s="1084" t="s">
        <v>1158</v>
      </c>
      <c r="B11" s="1092" t="s">
        <v>1074</v>
      </c>
      <c r="C11" s="1078">
        <v>22950</v>
      </c>
      <c r="D11" s="1078">
        <v>22630</v>
      </c>
      <c r="E11" s="1078">
        <v>22030</v>
      </c>
      <c r="F11" s="1096">
        <v>8330</v>
      </c>
      <c r="G11" s="1090" t="s">
        <v>915</v>
      </c>
      <c r="H11" s="1091">
        <f>SUMPRODUCT((B158:B205=基准地价!I2)*(C3:F3=基准地价!E2)*(C158:F205))</f>
        <v>0</v>
      </c>
      <c r="J11" s="1078" t="s">
        <v>1170</v>
      </c>
      <c r="K11" s="1078" t="s">
        <v>1171</v>
      </c>
      <c r="L11" s="1078" t="s">
        <v>1172</v>
      </c>
      <c r="M11" s="1078" t="s">
        <v>1173</v>
      </c>
      <c r="N11" s="1078" t="s">
        <v>1174</v>
      </c>
      <c r="O11" s="1078" t="s">
        <v>1175</v>
      </c>
      <c r="P11" s="1078" t="s">
        <v>1176</v>
      </c>
      <c r="Q11" s="1078" t="s">
        <v>1177</v>
      </c>
      <c r="R11" s="1078" t="s">
        <v>1178</v>
      </c>
      <c r="S11" s="1078" t="s">
        <v>1179</v>
      </c>
    </row>
    <row r="12" spans="1:20" ht="14.25" customHeight="1" thickBot="1">
      <c r="A12" s="1084" t="s">
        <v>1158</v>
      </c>
      <c r="B12" s="1092" t="s">
        <v>1088</v>
      </c>
      <c r="C12" s="1078">
        <v>24940</v>
      </c>
      <c r="D12" s="1078">
        <v>23180</v>
      </c>
      <c r="E12" s="1078">
        <v>22910</v>
      </c>
      <c r="F12" s="1096">
        <v>7180</v>
      </c>
      <c r="G12" s="1090" t="s">
        <v>916</v>
      </c>
      <c r="H12" s="1091">
        <f>SUMPRODUCT((B206:B244=基准地价!I2)*(C3:F3=基准地价!E2)*(C206:F244))</f>
        <v>0</v>
      </c>
      <c r="J12" s="1078" t="s">
        <v>1180</v>
      </c>
      <c r="K12" s="1078" t="s">
        <v>1181</v>
      </c>
      <c r="L12" s="1078" t="s">
        <v>1182</v>
      </c>
      <c r="M12" s="1078" t="s">
        <v>1183</v>
      </c>
      <c r="N12" s="1078" t="s">
        <v>1184</v>
      </c>
      <c r="O12" s="1078" t="s">
        <v>1185</v>
      </c>
      <c r="P12" s="1078" t="s">
        <v>1186</v>
      </c>
      <c r="Q12" s="1078" t="s">
        <v>1187</v>
      </c>
      <c r="R12" s="1078" t="s">
        <v>1188</v>
      </c>
      <c r="S12" s="1078" t="s">
        <v>1189</v>
      </c>
    </row>
    <row r="13" spans="1:20" ht="14.25" customHeight="1" thickBot="1">
      <c r="A13" s="1084" t="s">
        <v>1158</v>
      </c>
      <c r="B13" s="1092" t="s">
        <v>1101</v>
      </c>
      <c r="C13" s="1078">
        <v>24140</v>
      </c>
      <c r="D13" s="1078">
        <v>22270</v>
      </c>
      <c r="E13" s="1078">
        <v>21950</v>
      </c>
      <c r="F13" s="1096">
        <v>7600</v>
      </c>
      <c r="G13" s="1090" t="s">
        <v>917</v>
      </c>
      <c r="H13" s="1091">
        <f>SUMPRODUCT((B245:B289=基准地价!I2)*(C3:F3=基准地价!E2)*(C245:F289))</f>
        <v>0</v>
      </c>
      <c r="J13" s="1078" t="s">
        <v>1190</v>
      </c>
      <c r="K13" s="1078" t="s">
        <v>1191</v>
      </c>
      <c r="L13" s="1078" t="s">
        <v>1192</v>
      </c>
      <c r="M13" s="1078" t="s">
        <v>1193</v>
      </c>
      <c r="N13" s="1078" t="s">
        <v>1194</v>
      </c>
      <c r="O13" s="1078" t="s">
        <v>1195</v>
      </c>
      <c r="P13" s="1078" t="s">
        <v>1196</v>
      </c>
      <c r="Q13" s="1078" t="s">
        <v>1197</v>
      </c>
      <c r="R13" s="1078" t="s">
        <v>1198</v>
      </c>
      <c r="S13" s="1078" t="s">
        <v>1199</v>
      </c>
    </row>
    <row r="14" spans="1:20" ht="14.25" customHeight="1" thickBot="1">
      <c r="A14" s="1084" t="s">
        <v>1158</v>
      </c>
      <c r="B14" s="1092" t="s">
        <v>1115</v>
      </c>
      <c r="C14" s="1078">
        <v>25600</v>
      </c>
      <c r="D14" s="1078">
        <v>22260</v>
      </c>
      <c r="E14" s="1078">
        <v>22110</v>
      </c>
      <c r="F14" s="1096">
        <v>7630</v>
      </c>
      <c r="G14" s="1090" t="s">
        <v>918</v>
      </c>
      <c r="H14" s="1091">
        <f>SUMPRODUCT((B290:B316=基准地价!I2)*(C3:F3=基准地价!E2)*(C290:F316))</f>
        <v>0</v>
      </c>
      <c r="J14" s="1078" t="s">
        <v>1200</v>
      </c>
      <c r="K14" s="1078" t="s">
        <v>1201</v>
      </c>
      <c r="L14" s="1078" t="s">
        <v>1202</v>
      </c>
      <c r="M14" s="1078" t="s">
        <v>1203</v>
      </c>
      <c r="N14" s="1078" t="s">
        <v>1204</v>
      </c>
      <c r="O14" s="1078" t="s">
        <v>1205</v>
      </c>
      <c r="P14" s="1078" t="s">
        <v>1206</v>
      </c>
      <c r="Q14" s="1078" t="s">
        <v>1207</v>
      </c>
      <c r="R14" s="1078" t="s">
        <v>1208</v>
      </c>
      <c r="S14" s="1078" t="s">
        <v>1209</v>
      </c>
    </row>
    <row r="15" spans="1:20" ht="14.25" customHeight="1" thickBot="1">
      <c r="A15" s="1084" t="s">
        <v>1158</v>
      </c>
      <c r="B15" s="1092" t="s">
        <v>1126</v>
      </c>
      <c r="C15" s="1078">
        <v>24760</v>
      </c>
      <c r="D15" s="1078">
        <v>24440</v>
      </c>
      <c r="E15" s="1078">
        <v>24130</v>
      </c>
      <c r="F15" s="1096">
        <v>9480</v>
      </c>
      <c r="G15" s="1090" t="s">
        <v>919</v>
      </c>
      <c r="H15" s="1091">
        <f>SUMPRODUCT((B317:B337=基准地价!I2)*(C3:F3=基准地价!E2)*(C317:F337))</f>
        <v>0</v>
      </c>
      <c r="J15" s="1078" t="s">
        <v>1210</v>
      </c>
      <c r="K15" s="1078" t="s">
        <v>1211</v>
      </c>
      <c r="L15" s="1078" t="s">
        <v>1212</v>
      </c>
      <c r="M15" s="1078" t="s">
        <v>1213</v>
      </c>
      <c r="N15" s="1078" t="s">
        <v>1214</v>
      </c>
      <c r="O15" s="1078" t="s">
        <v>1215</v>
      </c>
      <c r="P15" s="1078" t="s">
        <v>1216</v>
      </c>
      <c r="Q15" s="1078" t="s">
        <v>1217</v>
      </c>
      <c r="R15" s="1078" t="s">
        <v>1218</v>
      </c>
      <c r="S15" s="1078" t="s">
        <v>1219</v>
      </c>
    </row>
    <row r="16" spans="1:20" ht="14.25" customHeight="1" thickBot="1">
      <c r="A16" s="1084" t="s">
        <v>1158</v>
      </c>
      <c r="B16" s="1092" t="s">
        <v>1137</v>
      </c>
      <c r="C16" s="1078">
        <v>22220</v>
      </c>
      <c r="D16" s="1078">
        <v>22310</v>
      </c>
      <c r="E16" s="1078">
        <v>22000</v>
      </c>
      <c r="F16" s="1096">
        <v>8900</v>
      </c>
      <c r="G16" s="1097" t="s">
        <v>920</v>
      </c>
      <c r="H16" s="1098">
        <f>SUMPRODUCT((B338:B344=基准地价!I2)*(C3:F3=基准地价!E2)*(C338:F344))</f>
        <v>0</v>
      </c>
      <c r="J16" s="1078" t="s">
        <v>1220</v>
      </c>
      <c r="K16" s="1078" t="s">
        <v>1221</v>
      </c>
      <c r="L16" s="1078" t="s">
        <v>1222</v>
      </c>
      <c r="M16" s="1078" t="s">
        <v>1223</v>
      </c>
      <c r="N16" s="1078" t="s">
        <v>1224</v>
      </c>
      <c r="O16" s="1078" t="s">
        <v>1225</v>
      </c>
      <c r="P16" s="1078" t="s">
        <v>1226</v>
      </c>
      <c r="Q16" s="1078" t="s">
        <v>1227</v>
      </c>
      <c r="R16" s="1078" t="s">
        <v>1228</v>
      </c>
      <c r="S16" s="1078" t="s">
        <v>1229</v>
      </c>
    </row>
    <row r="17" spans="1:19" ht="14.25" customHeight="1" thickBot="1">
      <c r="A17" s="1084" t="s">
        <v>1158</v>
      </c>
      <c r="B17" s="1092" t="s">
        <v>1148</v>
      </c>
      <c r="C17" s="1078">
        <v>24700</v>
      </c>
      <c r="D17" s="1078">
        <v>25150</v>
      </c>
      <c r="E17" s="1078">
        <v>24700</v>
      </c>
      <c r="F17" s="1099"/>
      <c r="H17" s="1100"/>
      <c r="J17" s="1078" t="s">
        <v>1230</v>
      </c>
      <c r="K17" s="1078" t="s">
        <v>1231</v>
      </c>
      <c r="L17" s="1078" t="s">
        <v>1232</v>
      </c>
      <c r="M17" s="1078" t="s">
        <v>1233</v>
      </c>
      <c r="N17" s="1078" t="s">
        <v>1234</v>
      </c>
      <c r="O17" s="1078" t="s">
        <v>1235</v>
      </c>
      <c r="P17" s="1078" t="s">
        <v>1236</v>
      </c>
      <c r="Q17" s="1078" t="s">
        <v>1237</v>
      </c>
      <c r="R17" s="1078" t="s">
        <v>1238</v>
      </c>
      <c r="S17" s="1078" t="s">
        <v>1239</v>
      </c>
    </row>
    <row r="18" spans="1:19" ht="14.25" customHeight="1" thickBot="1">
      <c r="A18" s="1084" t="s">
        <v>1158</v>
      </c>
      <c r="B18" s="1092" t="s">
        <v>1160</v>
      </c>
      <c r="C18" s="1078">
        <v>22350</v>
      </c>
      <c r="D18" s="1078">
        <v>24340</v>
      </c>
      <c r="E18" s="1078">
        <v>24100</v>
      </c>
      <c r="F18" s="1099"/>
      <c r="H18" s="1100"/>
      <c r="J18" s="1078" t="s">
        <v>1240</v>
      </c>
      <c r="K18" s="1078" t="s">
        <v>1241</v>
      </c>
      <c r="L18" s="1078" t="s">
        <v>1242</v>
      </c>
      <c r="M18" s="1078" t="s">
        <v>1243</v>
      </c>
      <c r="N18" s="1078" t="s">
        <v>1244</v>
      </c>
      <c r="O18" s="1078" t="s">
        <v>1245</v>
      </c>
      <c r="P18" s="1078" t="s">
        <v>1246</v>
      </c>
      <c r="Q18" s="1078" t="s">
        <v>1247</v>
      </c>
      <c r="R18" s="1078" t="s">
        <v>1248</v>
      </c>
      <c r="S18" s="1078" t="s">
        <v>1249</v>
      </c>
    </row>
    <row r="19" spans="1:19" ht="14.25" customHeight="1" thickBot="1">
      <c r="A19" s="1084" t="s">
        <v>1158</v>
      </c>
      <c r="B19" s="1092" t="s">
        <v>1170</v>
      </c>
      <c r="C19" s="1078">
        <v>23430</v>
      </c>
      <c r="D19" s="1078">
        <v>21580</v>
      </c>
      <c r="E19" s="1078">
        <v>21350</v>
      </c>
      <c r="F19" s="1099"/>
      <c r="H19" s="1100"/>
      <c r="J19" s="1078" t="s">
        <v>1250</v>
      </c>
      <c r="K19" s="1078" t="s">
        <v>1251</v>
      </c>
      <c r="L19" s="1078" t="s">
        <v>1252</v>
      </c>
      <c r="M19" s="1078" t="s">
        <v>1253</v>
      </c>
      <c r="N19" s="1078" t="s">
        <v>1254</v>
      </c>
      <c r="O19" s="1078" t="s">
        <v>1255</v>
      </c>
      <c r="P19" s="1078" t="s">
        <v>1256</v>
      </c>
      <c r="Q19" s="1078" t="s">
        <v>1257</v>
      </c>
      <c r="R19" s="1078" t="s">
        <v>1258</v>
      </c>
      <c r="S19" s="1078" t="s">
        <v>1259</v>
      </c>
    </row>
    <row r="20" spans="1:19" ht="14.25" customHeight="1" thickBot="1">
      <c r="A20" s="1084" t="s">
        <v>1158</v>
      </c>
      <c r="B20" s="1092" t="s">
        <v>1180</v>
      </c>
      <c r="C20" s="1078">
        <v>27660</v>
      </c>
      <c r="D20" s="1078">
        <v>24240</v>
      </c>
      <c r="E20" s="1078">
        <v>24020</v>
      </c>
      <c r="F20" s="1099"/>
      <c r="J20" s="1078" t="s">
        <v>1260</v>
      </c>
      <c r="K20" s="1078" t="s">
        <v>1261</v>
      </c>
      <c r="L20" s="1078" t="s">
        <v>1262</v>
      </c>
      <c r="M20" s="1078" t="s">
        <v>1263</v>
      </c>
      <c r="N20" s="1078" t="s">
        <v>1264</v>
      </c>
      <c r="O20" s="1078" t="s">
        <v>1265</v>
      </c>
      <c r="P20" s="1078" t="s">
        <v>1266</v>
      </c>
      <c r="Q20" s="1078" t="s">
        <v>1267</v>
      </c>
      <c r="R20" s="1078" t="s">
        <v>1268</v>
      </c>
      <c r="S20" s="1078" t="s">
        <v>1269</v>
      </c>
    </row>
    <row r="21" spans="1:19" ht="14.25" customHeight="1" thickBot="1">
      <c r="A21" s="1084" t="s">
        <v>1158</v>
      </c>
      <c r="B21" s="1092" t="s">
        <v>1190</v>
      </c>
      <c r="C21" s="1078">
        <v>24720</v>
      </c>
      <c r="D21" s="1078">
        <v>21670</v>
      </c>
      <c r="E21" s="1078">
        <v>21510</v>
      </c>
      <c r="F21" s="1099"/>
      <c r="K21" s="1078" t="s">
        <v>1270</v>
      </c>
      <c r="L21" s="1078" t="s">
        <v>1271</v>
      </c>
      <c r="M21" s="1078" t="s">
        <v>1272</v>
      </c>
      <c r="N21" s="1078" t="s">
        <v>1273</v>
      </c>
      <c r="O21" s="1078" t="s">
        <v>1274</v>
      </c>
      <c r="P21" s="1078" t="s">
        <v>1275</v>
      </c>
      <c r="Q21" s="1078" t="s">
        <v>1276</v>
      </c>
      <c r="R21" s="1078" t="s">
        <v>1277</v>
      </c>
      <c r="S21" s="1078" t="s">
        <v>1278</v>
      </c>
    </row>
    <row r="22" spans="1:19" ht="14.25" customHeight="1" thickBot="1">
      <c r="A22" s="1084" t="s">
        <v>1158</v>
      </c>
      <c r="B22" s="1092" t="s">
        <v>1279</v>
      </c>
      <c r="C22" s="1078">
        <v>26530</v>
      </c>
      <c r="D22" s="1078">
        <v>22980</v>
      </c>
      <c r="E22" s="1078">
        <v>22650</v>
      </c>
      <c r="F22" s="1099"/>
      <c r="L22" s="1078" t="s">
        <v>1280</v>
      </c>
      <c r="M22" s="1078" t="s">
        <v>1281</v>
      </c>
      <c r="N22" s="1078" t="s">
        <v>1282</v>
      </c>
      <c r="O22" s="1078" t="s">
        <v>1283</v>
      </c>
      <c r="P22" s="1078" t="s">
        <v>1284</v>
      </c>
      <c r="Q22" s="1078" t="s">
        <v>1285</v>
      </c>
      <c r="R22" s="1078" t="s">
        <v>1286</v>
      </c>
      <c r="S22" s="1092" t="s">
        <v>1287</v>
      </c>
    </row>
    <row r="23" spans="1:19" ht="14.25" customHeight="1" thickBot="1">
      <c r="A23" s="1084" t="s">
        <v>1158</v>
      </c>
      <c r="B23" s="1092" t="s">
        <v>1210</v>
      </c>
      <c r="C23" s="1078">
        <v>24700</v>
      </c>
      <c r="D23" s="1078">
        <v>27290</v>
      </c>
      <c r="E23" s="1078">
        <v>26710</v>
      </c>
      <c r="F23" s="1099"/>
      <c r="L23" s="1078" t="s">
        <v>1288</v>
      </c>
      <c r="M23" s="1078" t="s">
        <v>1289</v>
      </c>
      <c r="N23" s="1078" t="s">
        <v>1290</v>
      </c>
      <c r="O23" s="1078" t="s">
        <v>1291</v>
      </c>
      <c r="P23" s="1078" t="s">
        <v>1292</v>
      </c>
      <c r="Q23" s="1078" t="s">
        <v>1293</v>
      </c>
      <c r="R23" s="1078" t="s">
        <v>1294</v>
      </c>
    </row>
    <row r="24" spans="1:19" ht="14.25" customHeight="1" thickBot="1">
      <c r="A24" s="1084" t="s">
        <v>1158</v>
      </c>
      <c r="B24" s="1092" t="s">
        <v>1220</v>
      </c>
      <c r="C24" s="1078">
        <v>23070</v>
      </c>
      <c r="D24" s="1078">
        <v>24130</v>
      </c>
      <c r="E24" s="1078">
        <v>23860</v>
      </c>
      <c r="F24" s="1099"/>
      <c r="L24" s="1078" t="s">
        <v>1295</v>
      </c>
      <c r="M24" s="1078" t="s">
        <v>1296</v>
      </c>
      <c r="N24" s="1078" t="s">
        <v>1297</v>
      </c>
      <c r="O24" s="1078" t="s">
        <v>1298</v>
      </c>
      <c r="P24" s="1078" t="s">
        <v>1299</v>
      </c>
      <c r="Q24" s="1078" t="s">
        <v>1300</v>
      </c>
      <c r="R24" s="1078" t="s">
        <v>1301</v>
      </c>
    </row>
    <row r="25" spans="1:19" ht="14.25" customHeight="1" thickBot="1">
      <c r="A25" s="1084" t="s">
        <v>1158</v>
      </c>
      <c r="B25" s="1092" t="s">
        <v>1230</v>
      </c>
      <c r="C25" s="1078">
        <v>27550</v>
      </c>
      <c r="D25" s="1078">
        <v>25850</v>
      </c>
      <c r="E25" s="1078">
        <v>25340</v>
      </c>
      <c r="F25" s="1099"/>
      <c r="L25" s="1078" t="s">
        <v>1302</v>
      </c>
      <c r="M25" s="1078" t="s">
        <v>1303</v>
      </c>
      <c r="N25" s="1078" t="s">
        <v>1304</v>
      </c>
      <c r="O25" s="1078" t="s">
        <v>1305</v>
      </c>
      <c r="P25" s="1078" t="s">
        <v>1306</v>
      </c>
      <c r="Q25" s="1078" t="s">
        <v>1307</v>
      </c>
      <c r="R25" s="1078" t="s">
        <v>1308</v>
      </c>
    </row>
    <row r="26" spans="1:19" ht="14.25" customHeight="1" thickBot="1">
      <c r="A26" s="1084" t="s">
        <v>1158</v>
      </c>
      <c r="B26" s="1092" t="s">
        <v>1240</v>
      </c>
      <c r="C26" s="1078"/>
      <c r="D26" s="1078">
        <v>23900</v>
      </c>
      <c r="E26" s="1078">
        <v>23590</v>
      </c>
      <c r="F26" s="1099"/>
      <c r="L26" s="1078" t="s">
        <v>1309</v>
      </c>
      <c r="M26" s="1078" t="s">
        <v>1310</v>
      </c>
      <c r="N26" s="1078" t="s">
        <v>1311</v>
      </c>
      <c r="O26" s="1078" t="s">
        <v>1312</v>
      </c>
      <c r="P26" s="1078" t="s">
        <v>1313</v>
      </c>
      <c r="Q26" s="1078" t="s">
        <v>1314</v>
      </c>
      <c r="R26" s="1078" t="s">
        <v>1315</v>
      </c>
    </row>
    <row r="27" spans="1:19" ht="14.25" customHeight="1" thickBot="1">
      <c r="A27" s="1084" t="s">
        <v>1158</v>
      </c>
      <c r="B27" s="1092" t="s">
        <v>1250</v>
      </c>
      <c r="C27" s="1078"/>
      <c r="D27" s="1078">
        <v>22850</v>
      </c>
      <c r="E27" s="1078">
        <v>21920</v>
      </c>
      <c r="F27" s="1099"/>
      <c r="L27" s="1078" t="s">
        <v>1316</v>
      </c>
      <c r="M27" s="1078" t="s">
        <v>1317</v>
      </c>
      <c r="N27" s="1078" t="s">
        <v>1318</v>
      </c>
      <c r="O27" s="1078" t="s">
        <v>1319</v>
      </c>
      <c r="P27" s="1078" t="s">
        <v>1320</v>
      </c>
      <c r="Q27" s="1078" t="s">
        <v>1321</v>
      </c>
      <c r="R27" s="1078" t="s">
        <v>1322</v>
      </c>
    </row>
    <row r="28" spans="1:19" ht="14.25" customHeight="1" thickBot="1">
      <c r="A28" s="1101" t="s">
        <v>1158</v>
      </c>
      <c r="B28" s="1093" t="s">
        <v>1260</v>
      </c>
      <c r="C28" s="1094"/>
      <c r="D28" s="1094">
        <v>26610</v>
      </c>
      <c r="E28" s="1094">
        <v>26370</v>
      </c>
      <c r="F28" s="1095"/>
      <c r="L28" s="1078" t="s">
        <v>1323</v>
      </c>
      <c r="M28" s="1078" t="s">
        <v>1324</v>
      </c>
      <c r="N28" s="1078" t="s">
        <v>1325</v>
      </c>
      <c r="O28" s="1078" t="s">
        <v>1326</v>
      </c>
      <c r="P28" s="1078" t="s">
        <v>1327</v>
      </c>
      <c r="Q28" s="1078" t="s">
        <v>1328</v>
      </c>
    </row>
    <row r="29" spans="1:19" ht="14.25" customHeight="1" thickBot="1">
      <c r="A29" s="1084" t="s">
        <v>1329</v>
      </c>
      <c r="B29" s="1085" t="s">
        <v>1330</v>
      </c>
      <c r="C29" s="1085">
        <v>22090</v>
      </c>
      <c r="D29" s="1085">
        <v>21860</v>
      </c>
      <c r="E29" s="1085">
        <v>19380</v>
      </c>
      <c r="F29" s="1086">
        <v>6610</v>
      </c>
      <c r="M29" s="1078" t="s">
        <v>1331</v>
      </c>
      <c r="N29" s="1078" t="s">
        <v>1332</v>
      </c>
      <c r="O29" s="1078" t="s">
        <v>1333</v>
      </c>
      <c r="P29" s="1078" t="s">
        <v>1334</v>
      </c>
      <c r="Q29" s="1078" t="s">
        <v>1335</v>
      </c>
    </row>
    <row r="30" spans="1:19" ht="14.25" customHeight="1" thickBot="1">
      <c r="A30" s="1084" t="s">
        <v>1329</v>
      </c>
      <c r="B30" s="1092" t="s">
        <v>1075</v>
      </c>
      <c r="C30" s="1078">
        <v>21380</v>
      </c>
      <c r="D30" s="1078">
        <v>19930</v>
      </c>
      <c r="E30" s="1078">
        <v>19860</v>
      </c>
      <c r="F30" s="1096">
        <v>6010</v>
      </c>
      <c r="H30" s="1100"/>
      <c r="M30" s="1078" t="s">
        <v>1336</v>
      </c>
      <c r="N30" s="1078" t="s">
        <v>1337</v>
      </c>
      <c r="O30" s="1078" t="s">
        <v>1338</v>
      </c>
      <c r="P30" s="1078" t="s">
        <v>2434</v>
      </c>
      <c r="Q30" s="1078" t="s">
        <v>1339</v>
      </c>
    </row>
    <row r="31" spans="1:19" ht="14.25" customHeight="1" thickBot="1">
      <c r="A31" s="1084" t="s">
        <v>1329</v>
      </c>
      <c r="B31" s="1092" t="s">
        <v>1089</v>
      </c>
      <c r="C31" s="1078">
        <v>21670</v>
      </c>
      <c r="D31" s="1078">
        <v>20660</v>
      </c>
      <c r="E31" s="1078">
        <v>20290</v>
      </c>
      <c r="F31" s="1096">
        <v>5840</v>
      </c>
      <c r="H31" s="1100"/>
      <c r="M31" s="1078" t="s">
        <v>1340</v>
      </c>
      <c r="N31" s="1078" t="s">
        <v>1341</v>
      </c>
      <c r="O31" s="1078" t="s">
        <v>1342</v>
      </c>
      <c r="P31" s="1078" t="s">
        <v>1343</v>
      </c>
      <c r="Q31" s="1078" t="s">
        <v>1344</v>
      </c>
    </row>
    <row r="32" spans="1:19" ht="14.25" customHeight="1" thickBot="1">
      <c r="A32" s="1084" t="s">
        <v>1329</v>
      </c>
      <c r="B32" s="1092" t="s">
        <v>1102</v>
      </c>
      <c r="C32" s="1078">
        <v>22280</v>
      </c>
      <c r="D32" s="1078">
        <v>21800</v>
      </c>
      <c r="E32" s="1078">
        <v>17650</v>
      </c>
      <c r="F32" s="1096">
        <v>4690</v>
      </c>
      <c r="H32" s="1100"/>
      <c r="M32" s="1078" t="s">
        <v>1345</v>
      </c>
      <c r="N32" s="1078" t="s">
        <v>1346</v>
      </c>
      <c r="O32" s="1078" t="s">
        <v>1347</v>
      </c>
      <c r="P32" s="1078" t="s">
        <v>1348</v>
      </c>
      <c r="Q32" s="1078" t="s">
        <v>1349</v>
      </c>
    </row>
    <row r="33" spans="1:17" ht="14.25" customHeight="1" thickBot="1">
      <c r="A33" s="1084" t="s">
        <v>1329</v>
      </c>
      <c r="B33" s="1092" t="s">
        <v>1116</v>
      </c>
      <c r="C33" s="1078">
        <v>22130</v>
      </c>
      <c r="D33" s="1078">
        <v>20460</v>
      </c>
      <c r="E33" s="1078">
        <v>18500</v>
      </c>
      <c r="F33" s="1096">
        <v>5340</v>
      </c>
      <c r="H33" s="1100"/>
      <c r="M33" s="1078" t="s">
        <v>1350</v>
      </c>
      <c r="N33" s="1078" t="s">
        <v>1351</v>
      </c>
      <c r="O33" s="1078" t="s">
        <v>1352</v>
      </c>
      <c r="P33" s="1078" t="s">
        <v>1353</v>
      </c>
      <c r="Q33" s="1078" t="s">
        <v>1354</v>
      </c>
    </row>
    <row r="34" spans="1:17" ht="14.25" customHeight="1" thickBot="1">
      <c r="A34" s="1084" t="s">
        <v>1329</v>
      </c>
      <c r="B34" s="1092" t="s">
        <v>1127</v>
      </c>
      <c r="C34" s="1078">
        <v>22070</v>
      </c>
      <c r="D34" s="1078">
        <v>20110</v>
      </c>
      <c r="E34" s="1078">
        <v>18830</v>
      </c>
      <c r="F34" s="1096">
        <v>5190</v>
      </c>
      <c r="H34" s="1100"/>
      <c r="M34" s="1078" t="s">
        <v>1355</v>
      </c>
      <c r="N34" s="1078" t="s">
        <v>1356</v>
      </c>
      <c r="O34" s="1078" t="s">
        <v>1357</v>
      </c>
      <c r="P34" s="1078" t="s">
        <v>1358</v>
      </c>
      <c r="Q34" s="1078" t="s">
        <v>1359</v>
      </c>
    </row>
    <row r="35" spans="1:17" ht="14.25" customHeight="1" thickBot="1">
      <c r="A35" s="1084" t="s">
        <v>1329</v>
      </c>
      <c r="B35" s="1092" t="s">
        <v>1138</v>
      </c>
      <c r="C35" s="1078">
        <v>22240</v>
      </c>
      <c r="D35" s="1078">
        <v>19550</v>
      </c>
      <c r="E35" s="1078">
        <v>19220</v>
      </c>
      <c r="F35" s="1096">
        <v>5800</v>
      </c>
      <c r="H35" s="1100"/>
      <c r="M35" s="1078" t="s">
        <v>1360</v>
      </c>
      <c r="N35" s="1078" t="s">
        <v>1361</v>
      </c>
      <c r="O35" s="1078" t="s">
        <v>1362</v>
      </c>
      <c r="P35" s="1078" t="s">
        <v>1363</v>
      </c>
      <c r="Q35" s="1078" t="s">
        <v>1364</v>
      </c>
    </row>
    <row r="36" spans="1:17" ht="14.25" customHeight="1" thickBot="1">
      <c r="A36" s="1084" t="s">
        <v>1329</v>
      </c>
      <c r="B36" s="1092" t="s">
        <v>1149</v>
      </c>
      <c r="C36" s="1078">
        <v>19750</v>
      </c>
      <c r="D36" s="1078">
        <v>19790</v>
      </c>
      <c r="E36" s="1078">
        <v>18510</v>
      </c>
      <c r="F36" s="1096">
        <v>6520</v>
      </c>
      <c r="H36" s="1100"/>
      <c r="N36" s="1078" t="s">
        <v>1365</v>
      </c>
      <c r="O36" s="1078" t="s">
        <v>1366</v>
      </c>
      <c r="P36" s="1078" t="s">
        <v>1367</v>
      </c>
      <c r="Q36" s="1078" t="s">
        <v>1368</v>
      </c>
    </row>
    <row r="37" spans="1:17" ht="14.25" customHeight="1" thickBot="1">
      <c r="A37" s="1084" t="s">
        <v>1329</v>
      </c>
      <c r="B37" s="1092" t="s">
        <v>1161</v>
      </c>
      <c r="C37" s="1078">
        <v>22380</v>
      </c>
      <c r="D37" s="1078">
        <v>18530</v>
      </c>
      <c r="E37" s="1078">
        <v>17930</v>
      </c>
      <c r="F37" s="1096">
        <v>6270</v>
      </c>
      <c r="H37" s="1102"/>
      <c r="N37" s="1078" t="s">
        <v>1369</v>
      </c>
      <c r="O37" s="1078" t="s">
        <v>1370</v>
      </c>
      <c r="P37" s="1078" t="s">
        <v>1371</v>
      </c>
      <c r="Q37" s="1078" t="s">
        <v>1372</v>
      </c>
    </row>
    <row r="38" spans="1:17" ht="14.25" customHeight="1" thickBot="1">
      <c r="A38" s="1084" t="s">
        <v>1329</v>
      </c>
      <c r="B38" s="1092" t="s">
        <v>1171</v>
      </c>
      <c r="C38" s="1078">
        <v>20200</v>
      </c>
      <c r="D38" s="1078">
        <v>20070</v>
      </c>
      <c r="E38" s="1078">
        <v>19950</v>
      </c>
      <c r="F38" s="1096"/>
      <c r="H38" s="1103"/>
      <c r="N38" s="1078" t="s">
        <v>1373</v>
      </c>
      <c r="O38" s="1078" t="s">
        <v>1374</v>
      </c>
      <c r="P38" s="1078" t="s">
        <v>1375</v>
      </c>
      <c r="Q38" s="1078" t="s">
        <v>1376</v>
      </c>
    </row>
    <row r="39" spans="1:17" ht="14.25" customHeight="1" thickBot="1">
      <c r="A39" s="1084" t="s">
        <v>1329</v>
      </c>
      <c r="B39" s="1092" t="s">
        <v>1181</v>
      </c>
      <c r="C39" s="1078">
        <v>19300</v>
      </c>
      <c r="D39" s="1078">
        <v>20360</v>
      </c>
      <c r="E39" s="1078">
        <v>20230</v>
      </c>
      <c r="F39" s="1096"/>
      <c r="H39" s="1103"/>
      <c r="N39" s="1078" t="s">
        <v>1377</v>
      </c>
      <c r="O39" s="1078" t="s">
        <v>1378</v>
      </c>
      <c r="P39" s="1078" t="s">
        <v>1379</v>
      </c>
      <c r="Q39" s="1078" t="s">
        <v>1380</v>
      </c>
    </row>
    <row r="40" spans="1:17" ht="14.25" customHeight="1" thickBot="1">
      <c r="A40" s="1084" t="s">
        <v>1329</v>
      </c>
      <c r="B40" s="1092" t="s">
        <v>1191</v>
      </c>
      <c r="C40" s="1078">
        <v>20210</v>
      </c>
      <c r="D40" s="1078">
        <v>19060</v>
      </c>
      <c r="E40" s="1078">
        <v>18890</v>
      </c>
      <c r="F40" s="1096"/>
      <c r="H40" s="1103"/>
      <c r="N40" s="1078" t="s">
        <v>1381</v>
      </c>
      <c r="O40" s="1078" t="s">
        <v>1382</v>
      </c>
      <c r="P40" s="1078" t="s">
        <v>1383</v>
      </c>
      <c r="Q40" s="1078" t="s">
        <v>1384</v>
      </c>
    </row>
    <row r="41" spans="1:17" ht="14.25" customHeight="1" thickBot="1">
      <c r="A41" s="1084" t="s">
        <v>1329</v>
      </c>
      <c r="B41" s="1092" t="s">
        <v>1201</v>
      </c>
      <c r="C41" s="1078">
        <v>20560</v>
      </c>
      <c r="D41" s="1078">
        <v>21040</v>
      </c>
      <c r="E41" s="1078">
        <v>20740</v>
      </c>
      <c r="F41" s="1096"/>
      <c r="H41" s="1103"/>
      <c r="N41" s="1092" t="s">
        <v>1385</v>
      </c>
      <c r="O41" s="1092" t="s">
        <v>1386</v>
      </c>
      <c r="Q41" s="1092" t="s">
        <v>1387</v>
      </c>
    </row>
    <row r="42" spans="1:17" ht="14.25" customHeight="1" thickBot="1">
      <c r="A42" s="1084" t="s">
        <v>1329</v>
      </c>
      <c r="B42" s="1092" t="s">
        <v>1211</v>
      </c>
      <c r="C42" s="1078">
        <v>19280</v>
      </c>
      <c r="D42" s="1078">
        <v>22940</v>
      </c>
      <c r="E42" s="1078">
        <v>22500</v>
      </c>
      <c r="F42" s="1096"/>
      <c r="H42" s="1103"/>
      <c r="N42" s="1078" t="s">
        <v>1388</v>
      </c>
      <c r="O42" s="1078" t="s">
        <v>1389</v>
      </c>
      <c r="Q42" s="1078" t="s">
        <v>1390</v>
      </c>
    </row>
    <row r="43" spans="1:17" ht="14.25" customHeight="1" thickBot="1">
      <c r="A43" s="1084" t="s">
        <v>1329</v>
      </c>
      <c r="B43" s="1092" t="s">
        <v>1221</v>
      </c>
      <c r="C43" s="1078">
        <v>21520</v>
      </c>
      <c r="D43" s="1078">
        <v>19230</v>
      </c>
      <c r="E43" s="1078">
        <v>18540</v>
      </c>
      <c r="F43" s="1096"/>
      <c r="H43" s="1103"/>
      <c r="N43" s="1078" t="s">
        <v>1391</v>
      </c>
      <c r="O43" s="1078" t="s">
        <v>1392</v>
      </c>
      <c r="Q43" s="1078" t="s">
        <v>1393</v>
      </c>
    </row>
    <row r="44" spans="1:17" ht="14.25" customHeight="1" thickBot="1">
      <c r="A44" s="1084" t="s">
        <v>1329</v>
      </c>
      <c r="B44" s="1092" t="s">
        <v>1231</v>
      </c>
      <c r="C44" s="1078">
        <v>23260</v>
      </c>
      <c r="D44" s="1078">
        <v>21180</v>
      </c>
      <c r="E44" s="1078">
        <v>20730</v>
      </c>
      <c r="F44" s="1096"/>
      <c r="H44" s="1103"/>
      <c r="N44" s="1078" t="s">
        <v>1394</v>
      </c>
      <c r="O44" s="1078" t="s">
        <v>1395</v>
      </c>
      <c r="Q44" s="1078" t="s">
        <v>1396</v>
      </c>
    </row>
    <row r="45" spans="1:17" ht="14.25" customHeight="1" thickBot="1">
      <c r="A45" s="1084" t="s">
        <v>1329</v>
      </c>
      <c r="B45" s="1092" t="s">
        <v>1241</v>
      </c>
      <c r="C45" s="1078">
        <v>19610</v>
      </c>
      <c r="D45" s="1078">
        <v>18090</v>
      </c>
      <c r="E45" s="1078">
        <v>17970</v>
      </c>
      <c r="F45" s="1096"/>
      <c r="H45" s="1100"/>
      <c r="N45" s="1078" t="s">
        <v>1397</v>
      </c>
      <c r="O45" s="1078" t="s">
        <v>1398</v>
      </c>
      <c r="Q45" s="1078" t="s">
        <v>1399</v>
      </c>
    </row>
    <row r="46" spans="1:17" ht="14.25" customHeight="1" thickBot="1">
      <c r="A46" s="1084" t="s">
        <v>1329</v>
      </c>
      <c r="B46" s="1092" t="s">
        <v>1251</v>
      </c>
      <c r="C46" s="1078">
        <v>21660</v>
      </c>
      <c r="D46" s="1078">
        <v>19190</v>
      </c>
      <c r="E46" s="1078">
        <v>19790</v>
      </c>
      <c r="F46" s="1096"/>
      <c r="H46" s="1103"/>
      <c r="N46" s="1078" t="s">
        <v>1400</v>
      </c>
      <c r="O46" s="1078" t="s">
        <v>1401</v>
      </c>
      <c r="Q46" s="1078" t="s">
        <v>1402</v>
      </c>
    </row>
    <row r="47" spans="1:17" ht="14.25" customHeight="1" thickBot="1">
      <c r="A47" s="1084" t="s">
        <v>1329</v>
      </c>
      <c r="B47" s="1092" t="s">
        <v>1261</v>
      </c>
      <c r="C47" s="1078">
        <v>18220</v>
      </c>
      <c r="D47" s="1078"/>
      <c r="E47" s="1078">
        <v>17220</v>
      </c>
      <c r="F47" s="1096"/>
      <c r="H47" s="1103"/>
      <c r="N47" s="1078" t="s">
        <v>1403</v>
      </c>
      <c r="O47" s="1078" t="s">
        <v>1404</v>
      </c>
    </row>
    <row r="48" spans="1:17" ht="14.25" customHeight="1" thickBot="1">
      <c r="A48" s="1084" t="s">
        <v>1329</v>
      </c>
      <c r="B48" s="1093" t="s">
        <v>1270</v>
      </c>
      <c r="C48" s="1094">
        <v>19430</v>
      </c>
      <c r="D48" s="1094"/>
      <c r="E48" s="1094">
        <v>17830</v>
      </c>
      <c r="F48" s="1104"/>
      <c r="H48" s="1100"/>
      <c r="N48" s="1078" t="s">
        <v>1405</v>
      </c>
      <c r="O48" s="1078" t="s">
        <v>1406</v>
      </c>
    </row>
    <row r="49" spans="1:15" ht="14.25" customHeight="1" thickBot="1">
      <c r="A49" s="1084" t="s">
        <v>927</v>
      </c>
      <c r="B49" s="1085" t="s">
        <v>1407</v>
      </c>
      <c r="C49" s="1085">
        <v>17090</v>
      </c>
      <c r="D49" s="1085">
        <v>16950</v>
      </c>
      <c r="E49" s="1085">
        <v>16310</v>
      </c>
      <c r="F49" s="1086">
        <v>4540</v>
      </c>
      <c r="H49" s="1103"/>
      <c r="N49" s="1078" t="s">
        <v>1408</v>
      </c>
      <c r="O49" s="1078" t="s">
        <v>1409</v>
      </c>
    </row>
    <row r="50" spans="1:15" ht="14.25" customHeight="1" thickBot="1">
      <c r="A50" s="1084" t="s">
        <v>927</v>
      </c>
      <c r="B50" s="1078" t="s">
        <v>1076</v>
      </c>
      <c r="C50" s="1078">
        <v>19040</v>
      </c>
      <c r="D50" s="1078">
        <v>16960</v>
      </c>
      <c r="E50" s="1078">
        <v>14800</v>
      </c>
      <c r="F50" s="1096">
        <v>3940</v>
      </c>
      <c r="H50" s="1103"/>
    </row>
    <row r="51" spans="1:15" ht="14.25" customHeight="1" thickBot="1">
      <c r="A51" s="1084" t="s">
        <v>927</v>
      </c>
      <c r="B51" s="1078" t="s">
        <v>1090</v>
      </c>
      <c r="C51" s="1078">
        <v>17040</v>
      </c>
      <c r="D51" s="1078">
        <v>16930</v>
      </c>
      <c r="E51" s="1078">
        <v>15030</v>
      </c>
      <c r="F51" s="1096">
        <v>4120</v>
      </c>
      <c r="H51" s="1103"/>
    </row>
    <row r="52" spans="1:15" ht="14.25" customHeight="1" thickBot="1">
      <c r="A52" s="1084" t="s">
        <v>927</v>
      </c>
      <c r="B52" s="1078" t="s">
        <v>1103</v>
      </c>
      <c r="C52" s="1078">
        <v>17110</v>
      </c>
      <c r="D52" s="1078">
        <v>17750</v>
      </c>
      <c r="E52" s="1078">
        <v>17310</v>
      </c>
      <c r="F52" s="1096">
        <v>3220</v>
      </c>
      <c r="H52" s="1103"/>
    </row>
    <row r="53" spans="1:15" ht="14.25" customHeight="1" thickBot="1">
      <c r="A53" s="1084" t="s">
        <v>927</v>
      </c>
      <c r="B53" s="1078" t="s">
        <v>1117</v>
      </c>
      <c r="C53" s="1078">
        <v>17810</v>
      </c>
      <c r="D53" s="1078">
        <v>17260</v>
      </c>
      <c r="E53" s="1078">
        <v>17090</v>
      </c>
      <c r="F53" s="1096">
        <v>3520</v>
      </c>
      <c r="H53" s="1103"/>
    </row>
    <row r="54" spans="1:15" ht="14.25" customHeight="1" thickBot="1">
      <c r="A54" s="1084" t="s">
        <v>927</v>
      </c>
      <c r="B54" s="1078" t="s">
        <v>1128</v>
      </c>
      <c r="C54" s="1078">
        <v>17410</v>
      </c>
      <c r="D54" s="1078">
        <v>16780</v>
      </c>
      <c r="E54" s="1078">
        <v>16370</v>
      </c>
      <c r="F54" s="1096">
        <v>3410</v>
      </c>
      <c r="H54" s="1103"/>
    </row>
    <row r="55" spans="1:15" ht="14.25" customHeight="1" thickBot="1">
      <c r="A55" s="1084" t="s">
        <v>927</v>
      </c>
      <c r="B55" s="1078" t="s">
        <v>1139</v>
      </c>
      <c r="C55" s="1078">
        <v>16930</v>
      </c>
      <c r="D55" s="1078">
        <v>14720</v>
      </c>
      <c r="E55" s="1078">
        <v>15000</v>
      </c>
      <c r="F55" s="1096">
        <v>3710</v>
      </c>
      <c r="H55" s="1103"/>
    </row>
    <row r="56" spans="1:15" ht="14.25" customHeight="1" thickBot="1">
      <c r="A56" s="1084" t="s">
        <v>927</v>
      </c>
      <c r="B56" s="1078" t="s">
        <v>1150</v>
      </c>
      <c r="C56" s="1078">
        <v>14930</v>
      </c>
      <c r="D56" s="1078">
        <v>15850</v>
      </c>
      <c r="E56" s="1078">
        <v>14320</v>
      </c>
      <c r="F56" s="1096">
        <v>3960</v>
      </c>
      <c r="H56" s="1103"/>
    </row>
    <row r="57" spans="1:15" ht="14.25" customHeight="1" thickBot="1">
      <c r="A57" s="1084" t="s">
        <v>927</v>
      </c>
      <c r="B57" s="1078" t="s">
        <v>1162</v>
      </c>
      <c r="C57" s="1078">
        <v>16160</v>
      </c>
      <c r="D57" s="1078">
        <v>16190</v>
      </c>
      <c r="E57" s="1078">
        <v>15650</v>
      </c>
      <c r="F57" s="1096">
        <v>4200</v>
      </c>
      <c r="H57" s="1103"/>
    </row>
    <row r="58" spans="1:15" ht="14.25" customHeight="1" thickBot="1">
      <c r="A58" s="1084" t="s">
        <v>927</v>
      </c>
      <c r="B58" s="1078" t="s">
        <v>1172</v>
      </c>
      <c r="C58" s="1078">
        <v>16360</v>
      </c>
      <c r="D58" s="1078">
        <v>14050</v>
      </c>
      <c r="E58" s="1078">
        <v>16070</v>
      </c>
      <c r="F58" s="1096">
        <v>3990</v>
      </c>
      <c r="H58" s="1103"/>
    </row>
    <row r="59" spans="1:15" ht="14.25" customHeight="1" thickBot="1">
      <c r="A59" s="1084" t="s">
        <v>927</v>
      </c>
      <c r="B59" s="1078" t="s">
        <v>1182</v>
      </c>
      <c r="C59" s="1078">
        <v>14160</v>
      </c>
      <c r="D59" s="1078">
        <v>16620</v>
      </c>
      <c r="E59" s="1078">
        <v>13940</v>
      </c>
      <c r="F59" s="1096">
        <v>4260</v>
      </c>
      <c r="H59" s="1103"/>
    </row>
    <row r="60" spans="1:15" ht="14.25" customHeight="1" thickBot="1">
      <c r="A60" s="1084" t="s">
        <v>927</v>
      </c>
      <c r="B60" s="1078" t="s">
        <v>1192</v>
      </c>
      <c r="C60" s="1078">
        <v>16750</v>
      </c>
      <c r="D60" s="1078">
        <v>13910</v>
      </c>
      <c r="E60" s="1078">
        <v>16550</v>
      </c>
      <c r="F60" s="1096">
        <v>4550</v>
      </c>
      <c r="H60" s="1103"/>
    </row>
    <row r="61" spans="1:15" ht="14.25" customHeight="1" thickBot="1">
      <c r="A61" s="1084" t="s">
        <v>927</v>
      </c>
      <c r="B61" s="1078" t="s">
        <v>1202</v>
      </c>
      <c r="C61" s="1078">
        <v>14000</v>
      </c>
      <c r="D61" s="1078">
        <v>14550</v>
      </c>
      <c r="E61" s="1078">
        <v>13860</v>
      </c>
      <c r="F61" s="1105"/>
      <c r="H61" s="1103"/>
    </row>
    <row r="62" spans="1:15" ht="14.25" customHeight="1" thickBot="1">
      <c r="A62" s="1084" t="s">
        <v>927</v>
      </c>
      <c r="B62" s="1078" t="s">
        <v>1212</v>
      </c>
      <c r="C62" s="1078">
        <v>14660</v>
      </c>
      <c r="D62" s="1078">
        <v>17450</v>
      </c>
      <c r="E62" s="1078">
        <v>14470</v>
      </c>
      <c r="F62" s="1105"/>
      <c r="H62" s="1103"/>
    </row>
    <row r="63" spans="1:15" ht="14.25" customHeight="1" thickBot="1">
      <c r="A63" s="1084" t="s">
        <v>927</v>
      </c>
      <c r="B63" s="1078" t="s">
        <v>1222</v>
      </c>
      <c r="C63" s="1078">
        <v>17610</v>
      </c>
      <c r="D63" s="1078">
        <v>16500</v>
      </c>
      <c r="E63" s="1078">
        <v>17330</v>
      </c>
      <c r="F63" s="1105"/>
      <c r="H63" s="1103"/>
    </row>
    <row r="64" spans="1:15" ht="14.25" customHeight="1" thickBot="1">
      <c r="A64" s="1084" t="s">
        <v>927</v>
      </c>
      <c r="B64" s="1078" t="s">
        <v>1232</v>
      </c>
      <c r="C64" s="1078">
        <v>16590</v>
      </c>
      <c r="D64" s="1078">
        <v>15130</v>
      </c>
      <c r="E64" s="1078">
        <v>16420</v>
      </c>
      <c r="F64" s="1105"/>
      <c r="H64" s="1103"/>
    </row>
    <row r="65" spans="1:8" s="1072" customFormat="1" ht="14.25" customHeight="1" thickBot="1">
      <c r="A65" s="1084" t="s">
        <v>927</v>
      </c>
      <c r="B65" s="1078" t="s">
        <v>1242</v>
      </c>
      <c r="C65" s="1078">
        <v>15220</v>
      </c>
      <c r="D65" s="1078">
        <v>14660</v>
      </c>
      <c r="E65" s="1078">
        <v>15060</v>
      </c>
      <c r="F65" s="1096"/>
      <c r="H65" s="1103"/>
    </row>
    <row r="66" spans="1:8" s="1072" customFormat="1" ht="14.25" customHeight="1" thickBot="1">
      <c r="A66" s="1084" t="s">
        <v>927</v>
      </c>
      <c r="B66" s="1078" t="s">
        <v>1252</v>
      </c>
      <c r="C66" s="1078">
        <v>14720</v>
      </c>
      <c r="D66" s="1078">
        <v>15970</v>
      </c>
      <c r="E66" s="1078">
        <v>14610</v>
      </c>
      <c r="F66" s="1096"/>
      <c r="H66" s="1103"/>
    </row>
    <row r="67" spans="1:8" s="1072" customFormat="1" ht="14.25" customHeight="1" thickBot="1">
      <c r="A67" s="1084" t="s">
        <v>927</v>
      </c>
      <c r="B67" s="1078" t="s">
        <v>1262</v>
      </c>
      <c r="C67" s="1078">
        <v>16080</v>
      </c>
      <c r="D67" s="1078">
        <v>14840</v>
      </c>
      <c r="E67" s="1078">
        <v>15630</v>
      </c>
      <c r="F67" s="1096"/>
      <c r="H67" s="1103"/>
    </row>
    <row r="68" spans="1:8" s="1072" customFormat="1" ht="14.25" customHeight="1" thickBot="1">
      <c r="A68" s="1084" t="s">
        <v>927</v>
      </c>
      <c r="B68" s="1078" t="s">
        <v>1271</v>
      </c>
      <c r="C68" s="1078">
        <v>14940</v>
      </c>
      <c r="D68" s="1078">
        <v>18000</v>
      </c>
      <c r="E68" s="1078">
        <v>14040</v>
      </c>
      <c r="F68" s="1096"/>
      <c r="H68" s="1103"/>
    </row>
    <row r="69" spans="1:8" s="1072" customFormat="1" ht="14.25" customHeight="1" thickBot="1">
      <c r="A69" s="1084" t="s">
        <v>927</v>
      </c>
      <c r="B69" s="1078" t="s">
        <v>1280</v>
      </c>
      <c r="C69" s="1078">
        <v>18810</v>
      </c>
      <c r="D69" s="1078">
        <v>15100</v>
      </c>
      <c r="E69" s="1078">
        <v>14710</v>
      </c>
      <c r="F69" s="1096"/>
      <c r="H69" s="1103"/>
    </row>
    <row r="70" spans="1:8" s="1072" customFormat="1" ht="14.25" customHeight="1" thickBot="1">
      <c r="A70" s="1084" t="s">
        <v>927</v>
      </c>
      <c r="B70" s="1078" t="s">
        <v>1288</v>
      </c>
      <c r="C70" s="1078">
        <v>18270</v>
      </c>
      <c r="D70" s="1078"/>
      <c r="E70" s="1078"/>
      <c r="F70" s="1096"/>
      <c r="H70" s="1103"/>
    </row>
    <row r="71" spans="1:8" s="1072" customFormat="1" ht="14.25" customHeight="1" thickBot="1">
      <c r="A71" s="1084" t="s">
        <v>927</v>
      </c>
      <c r="B71" s="1078" t="s">
        <v>1295</v>
      </c>
      <c r="C71" s="1078">
        <v>15230</v>
      </c>
      <c r="D71" s="1078"/>
      <c r="E71" s="1078"/>
      <c r="F71" s="1096"/>
      <c r="H71" s="1103"/>
    </row>
    <row r="72" spans="1:8" s="1072" customFormat="1" ht="14.25" customHeight="1" thickBot="1">
      <c r="A72" s="1084" t="s">
        <v>927</v>
      </c>
      <c r="B72" s="1078" t="s">
        <v>1302</v>
      </c>
      <c r="C72" s="1078"/>
      <c r="D72" s="1078"/>
      <c r="E72" s="1078"/>
      <c r="F72" s="1096">
        <v>4120</v>
      </c>
      <c r="H72" s="1103"/>
    </row>
    <row r="73" spans="1:8" s="1072" customFormat="1" ht="14.25" customHeight="1" thickBot="1">
      <c r="A73" s="1084" t="s">
        <v>927</v>
      </c>
      <c r="B73" s="1078" t="s">
        <v>1309</v>
      </c>
      <c r="C73" s="1078"/>
      <c r="D73" s="1078"/>
      <c r="E73" s="1078"/>
      <c r="F73" s="1096">
        <v>3930</v>
      </c>
      <c r="H73" s="1103"/>
    </row>
    <row r="74" spans="1:8" s="1072" customFormat="1" ht="14.25" customHeight="1" thickBot="1">
      <c r="A74" s="1084" t="s">
        <v>927</v>
      </c>
      <c r="B74" s="1078" t="s">
        <v>1316</v>
      </c>
      <c r="C74" s="1078"/>
      <c r="D74" s="1078"/>
      <c r="E74" s="1078"/>
      <c r="F74" s="1096">
        <v>4060</v>
      </c>
      <c r="H74" s="1103"/>
    </row>
    <row r="75" spans="1:8" s="1072" customFormat="1" ht="14.25" customHeight="1" thickBot="1">
      <c r="A75" s="1084" t="s">
        <v>927</v>
      </c>
      <c r="B75" s="1094" t="s">
        <v>1323</v>
      </c>
      <c r="C75" s="1094"/>
      <c r="D75" s="1094"/>
      <c r="E75" s="1094"/>
      <c r="F75" s="1104">
        <v>3750</v>
      </c>
      <c r="H75" s="1103"/>
    </row>
    <row r="76" spans="1:8" s="1072" customFormat="1" ht="14.25" customHeight="1" thickBot="1">
      <c r="A76" s="1084" t="s">
        <v>1410</v>
      </c>
      <c r="B76" s="1085" t="s">
        <v>1411</v>
      </c>
      <c r="C76" s="1085">
        <v>14690</v>
      </c>
      <c r="D76" s="1085">
        <v>14640</v>
      </c>
      <c r="E76" s="1085">
        <v>14590</v>
      </c>
      <c r="F76" s="1086">
        <v>3060</v>
      </c>
      <c r="H76" s="1103"/>
    </row>
    <row r="77" spans="1:8" s="1072" customFormat="1" ht="14.25" customHeight="1" thickBot="1">
      <c r="A77" s="1084" t="s">
        <v>1410</v>
      </c>
      <c r="B77" s="1078" t="s">
        <v>1077</v>
      </c>
      <c r="C77" s="1078">
        <v>12550</v>
      </c>
      <c r="D77" s="1078">
        <v>12480</v>
      </c>
      <c r="E77" s="1078">
        <v>12450</v>
      </c>
      <c r="F77" s="1096">
        <v>2590</v>
      </c>
      <c r="H77" s="1103"/>
    </row>
    <row r="78" spans="1:8" s="1072" customFormat="1" ht="14.25" customHeight="1" thickBot="1">
      <c r="A78" s="1084" t="s">
        <v>1410</v>
      </c>
      <c r="B78" s="1078" t="s">
        <v>1091</v>
      </c>
      <c r="C78" s="1078">
        <v>14360</v>
      </c>
      <c r="D78" s="1078">
        <v>14320</v>
      </c>
      <c r="E78" s="1078">
        <v>12510</v>
      </c>
      <c r="F78" s="1096">
        <v>2700</v>
      </c>
      <c r="H78" s="1103"/>
    </row>
    <row r="79" spans="1:8" s="1072" customFormat="1" ht="14.25" customHeight="1" thickBot="1">
      <c r="A79" s="1084" t="s">
        <v>1410</v>
      </c>
      <c r="B79" s="1078" t="s">
        <v>1104</v>
      </c>
      <c r="C79" s="1078">
        <v>12590</v>
      </c>
      <c r="D79" s="1078">
        <v>12540</v>
      </c>
      <c r="E79" s="1078">
        <v>12350</v>
      </c>
      <c r="F79" s="1096">
        <v>2740</v>
      </c>
      <c r="H79" s="1103"/>
    </row>
    <row r="80" spans="1:8" s="1072" customFormat="1" ht="14.25" customHeight="1" thickBot="1">
      <c r="A80" s="1084" t="s">
        <v>1410</v>
      </c>
      <c r="B80" s="1078" t="s">
        <v>1118</v>
      </c>
      <c r="C80" s="1078">
        <v>12450</v>
      </c>
      <c r="D80" s="1078">
        <v>12370</v>
      </c>
      <c r="E80" s="1078">
        <v>10790</v>
      </c>
      <c r="F80" s="1096">
        <v>2290</v>
      </c>
      <c r="H80" s="1103"/>
    </row>
    <row r="81" spans="1:8" s="1072" customFormat="1" ht="14.25" customHeight="1" thickBot="1">
      <c r="A81" s="1084" t="s">
        <v>1410</v>
      </c>
      <c r="B81" s="1078" t="s">
        <v>1129</v>
      </c>
      <c r="C81" s="1078">
        <v>14210</v>
      </c>
      <c r="D81" s="1078">
        <v>14150</v>
      </c>
      <c r="E81" s="1078">
        <v>12730</v>
      </c>
      <c r="F81" s="1096">
        <v>2240</v>
      </c>
      <c r="H81" s="1103"/>
    </row>
    <row r="82" spans="1:8" s="1072" customFormat="1" ht="14.25" customHeight="1" thickBot="1">
      <c r="A82" s="1084" t="s">
        <v>1410</v>
      </c>
      <c r="B82" s="1078" t="s">
        <v>1140</v>
      </c>
      <c r="C82" s="1078">
        <v>10860</v>
      </c>
      <c r="D82" s="1078">
        <v>10820</v>
      </c>
      <c r="E82" s="1078">
        <v>14720</v>
      </c>
      <c r="F82" s="1096">
        <v>2490</v>
      </c>
      <c r="H82" s="1103"/>
    </row>
    <row r="83" spans="1:8" s="1072" customFormat="1" ht="14.25" customHeight="1" thickBot="1">
      <c r="A83" s="1084" t="s">
        <v>1410</v>
      </c>
      <c r="B83" s="1078" t="s">
        <v>1151</v>
      </c>
      <c r="C83" s="1078">
        <v>12810</v>
      </c>
      <c r="D83" s="1078">
        <v>12760</v>
      </c>
      <c r="E83" s="1078">
        <v>14830</v>
      </c>
      <c r="F83" s="1096">
        <v>2450</v>
      </c>
      <c r="H83" s="1103"/>
    </row>
    <row r="84" spans="1:8" s="1072" customFormat="1" ht="14.25" customHeight="1" thickBot="1">
      <c r="A84" s="1084" t="s">
        <v>1410</v>
      </c>
      <c r="B84" s="1078" t="s">
        <v>1163</v>
      </c>
      <c r="C84" s="1078">
        <v>14950</v>
      </c>
      <c r="D84" s="1078">
        <v>14810</v>
      </c>
      <c r="E84" s="1078">
        <v>12590</v>
      </c>
      <c r="F84" s="1096">
        <v>2540</v>
      </c>
      <c r="H84" s="1103"/>
    </row>
    <row r="85" spans="1:8" s="1072" customFormat="1" ht="14.25" customHeight="1" thickBot="1">
      <c r="A85" s="1084" t="s">
        <v>1410</v>
      </c>
      <c r="B85" s="1078" t="s">
        <v>1173</v>
      </c>
      <c r="C85" s="1078">
        <v>14960</v>
      </c>
      <c r="D85" s="1078">
        <v>14890</v>
      </c>
      <c r="E85" s="1078">
        <v>12840</v>
      </c>
      <c r="F85" s="1096">
        <v>2840</v>
      </c>
      <c r="H85" s="1103"/>
    </row>
    <row r="86" spans="1:8" s="1072" customFormat="1" ht="14.25" customHeight="1" thickBot="1">
      <c r="A86" s="1084" t="s">
        <v>1410</v>
      </c>
      <c r="B86" s="1078" t="s">
        <v>1183</v>
      </c>
      <c r="C86" s="1078">
        <v>12730</v>
      </c>
      <c r="D86" s="1078">
        <v>12660</v>
      </c>
      <c r="E86" s="1078">
        <v>13310</v>
      </c>
      <c r="F86" s="1096">
        <v>3140</v>
      </c>
      <c r="H86" s="1103"/>
    </row>
    <row r="87" spans="1:8" s="1072" customFormat="1" ht="14.25" customHeight="1" thickBot="1">
      <c r="A87" s="1084" t="s">
        <v>1410</v>
      </c>
      <c r="B87" s="1078" t="s">
        <v>1193</v>
      </c>
      <c r="C87" s="1078">
        <v>12940</v>
      </c>
      <c r="D87" s="1078">
        <v>12890</v>
      </c>
      <c r="E87" s="1078">
        <v>11580</v>
      </c>
      <c r="F87" s="1105"/>
      <c r="H87" s="1103"/>
    </row>
    <row r="88" spans="1:8" s="1072" customFormat="1" ht="14.25" customHeight="1" thickBot="1">
      <c r="A88" s="1084" t="s">
        <v>1410</v>
      </c>
      <c r="B88" s="1078" t="s">
        <v>1203</v>
      </c>
      <c r="C88" s="1078">
        <v>13430</v>
      </c>
      <c r="D88" s="1078">
        <v>13360</v>
      </c>
      <c r="E88" s="1078">
        <v>12790</v>
      </c>
      <c r="F88" s="1105"/>
      <c r="H88" s="1103"/>
    </row>
    <row r="89" spans="1:8" s="1072" customFormat="1" ht="14.25" customHeight="1" thickBot="1">
      <c r="A89" s="1084" t="s">
        <v>1410</v>
      </c>
      <c r="B89" s="1078" t="s">
        <v>1213</v>
      </c>
      <c r="C89" s="1078">
        <v>11680</v>
      </c>
      <c r="D89" s="1078">
        <v>11630</v>
      </c>
      <c r="E89" s="1078">
        <v>11320</v>
      </c>
      <c r="F89" s="1105"/>
      <c r="H89" s="1103"/>
    </row>
    <row r="90" spans="1:8" s="1072" customFormat="1" ht="14.25" customHeight="1" thickBot="1">
      <c r="A90" s="1084" t="s">
        <v>1410</v>
      </c>
      <c r="B90" s="1078" t="s">
        <v>1223</v>
      </c>
      <c r="C90" s="1078">
        <v>12890</v>
      </c>
      <c r="D90" s="1078">
        <v>12820</v>
      </c>
      <c r="E90" s="1078">
        <v>12710</v>
      </c>
      <c r="F90" s="1105"/>
      <c r="H90" s="1103"/>
    </row>
    <row r="91" spans="1:8" s="1072" customFormat="1" ht="14.25" customHeight="1" thickBot="1">
      <c r="A91" s="1084" t="s">
        <v>1410</v>
      </c>
      <c r="B91" s="1078" t="s">
        <v>1233</v>
      </c>
      <c r="C91" s="1078">
        <v>11410</v>
      </c>
      <c r="D91" s="1078">
        <v>11360</v>
      </c>
      <c r="E91" s="1078">
        <v>12670</v>
      </c>
      <c r="F91" s="1105"/>
      <c r="H91" s="1103"/>
    </row>
    <row r="92" spans="1:8" s="1072" customFormat="1" ht="14.25" customHeight="1" thickBot="1">
      <c r="A92" s="1084" t="s">
        <v>1410</v>
      </c>
      <c r="B92" s="1078" t="s">
        <v>1243</v>
      </c>
      <c r="C92" s="1078">
        <v>12770</v>
      </c>
      <c r="D92" s="1078">
        <v>12740</v>
      </c>
      <c r="E92" s="1078">
        <v>11970</v>
      </c>
      <c r="F92" s="1105"/>
      <c r="H92" s="1103"/>
    </row>
    <row r="93" spans="1:8" s="1072" customFormat="1" ht="14.25" customHeight="1" thickBot="1">
      <c r="A93" s="1084" t="s">
        <v>1410</v>
      </c>
      <c r="B93" s="1078" t="s">
        <v>1253</v>
      </c>
      <c r="C93" s="1078">
        <v>12740</v>
      </c>
      <c r="D93" s="1078">
        <v>12700</v>
      </c>
      <c r="E93" s="1078">
        <v>12540</v>
      </c>
      <c r="F93" s="1105"/>
      <c r="H93" s="1103"/>
    </row>
    <row r="94" spans="1:8" s="1072" customFormat="1" ht="14.25" customHeight="1" thickBot="1">
      <c r="A94" s="1084" t="s">
        <v>1410</v>
      </c>
      <c r="B94" s="1078" t="s">
        <v>1263</v>
      </c>
      <c r="C94" s="1078">
        <v>12020</v>
      </c>
      <c r="D94" s="1078">
        <v>11990</v>
      </c>
      <c r="E94" s="1078">
        <v>13110</v>
      </c>
      <c r="F94" s="1105"/>
      <c r="H94" s="1103"/>
    </row>
    <row r="95" spans="1:8" s="1072" customFormat="1" ht="14.25" customHeight="1" thickBot="1">
      <c r="A95" s="1084" t="s">
        <v>1410</v>
      </c>
      <c r="B95" s="1078" t="s">
        <v>1272</v>
      </c>
      <c r="C95" s="1078">
        <v>12620</v>
      </c>
      <c r="D95" s="1078">
        <v>12580</v>
      </c>
      <c r="E95" s="1078">
        <v>13160</v>
      </c>
      <c r="F95" s="1096"/>
      <c r="H95" s="1103"/>
    </row>
    <row r="96" spans="1:8" s="1072" customFormat="1" ht="14.25" customHeight="1" thickBot="1">
      <c r="A96" s="1084" t="s">
        <v>1410</v>
      </c>
      <c r="B96" s="1078" t="s">
        <v>1281</v>
      </c>
      <c r="C96" s="1078">
        <v>13200</v>
      </c>
      <c r="D96" s="1078">
        <v>13150</v>
      </c>
      <c r="E96" s="1078">
        <v>12900</v>
      </c>
      <c r="F96" s="1096"/>
      <c r="H96" s="1103"/>
    </row>
    <row r="97" spans="1:8" s="1072" customFormat="1" ht="14.25" customHeight="1" thickBot="1">
      <c r="A97" s="1084" t="s">
        <v>1410</v>
      </c>
      <c r="B97" s="1078" t="s">
        <v>1289</v>
      </c>
      <c r="C97" s="1078">
        <v>13270</v>
      </c>
      <c r="D97" s="1078">
        <v>13210</v>
      </c>
      <c r="E97" s="1078">
        <v>11080</v>
      </c>
      <c r="F97" s="1096"/>
      <c r="H97" s="1103"/>
    </row>
    <row r="98" spans="1:8" s="1072" customFormat="1" ht="14.25" customHeight="1" thickBot="1">
      <c r="A98" s="1084" t="s">
        <v>1410</v>
      </c>
      <c r="B98" s="1078" t="s">
        <v>1296</v>
      </c>
      <c r="C98" s="1078">
        <v>13010</v>
      </c>
      <c r="D98" s="1078">
        <v>12930</v>
      </c>
      <c r="E98" s="1078">
        <v>12840</v>
      </c>
      <c r="F98" s="1096"/>
      <c r="H98" s="1103"/>
    </row>
    <row r="99" spans="1:8" s="1072" customFormat="1" ht="14.25" customHeight="1" thickBot="1">
      <c r="A99" s="1084" t="s">
        <v>1410</v>
      </c>
      <c r="B99" s="1078" t="s">
        <v>1303</v>
      </c>
      <c r="C99" s="1078">
        <v>11190</v>
      </c>
      <c r="D99" s="1078">
        <v>11130</v>
      </c>
      <c r="E99" s="1078"/>
      <c r="F99" s="1096"/>
      <c r="H99" s="1103"/>
    </row>
    <row r="100" spans="1:8" s="1072" customFormat="1" ht="14.25" customHeight="1" thickBot="1">
      <c r="A100" s="1084" t="s">
        <v>1410</v>
      </c>
      <c r="B100" s="1078" t="s">
        <v>1310</v>
      </c>
      <c r="C100" s="1078">
        <v>14280</v>
      </c>
      <c r="D100" s="1078">
        <v>14180</v>
      </c>
      <c r="E100" s="1078"/>
      <c r="F100" s="1096"/>
      <c r="H100" s="1103"/>
    </row>
    <row r="101" spans="1:8" s="1072" customFormat="1" ht="14.25" customHeight="1" thickBot="1">
      <c r="A101" s="1084" t="s">
        <v>1410</v>
      </c>
      <c r="B101" s="1078" t="s">
        <v>1317</v>
      </c>
      <c r="C101" s="1078">
        <v>12960</v>
      </c>
      <c r="D101" s="1078">
        <v>12890</v>
      </c>
      <c r="E101" s="1078"/>
      <c r="F101" s="1096"/>
      <c r="H101" s="1103"/>
    </row>
    <row r="102" spans="1:8" s="1072" customFormat="1" ht="14.25" customHeight="1" thickBot="1">
      <c r="A102" s="1084" t="s">
        <v>1410</v>
      </c>
      <c r="B102" s="1078" t="s">
        <v>1324</v>
      </c>
      <c r="C102" s="1078"/>
      <c r="D102" s="1078"/>
      <c r="E102" s="1078"/>
      <c r="F102" s="1096">
        <v>3100</v>
      </c>
      <c r="H102" s="1103"/>
    </row>
    <row r="103" spans="1:8" s="1072" customFormat="1" ht="14.25" customHeight="1" thickBot="1">
      <c r="A103" s="1084" t="s">
        <v>1410</v>
      </c>
      <c r="B103" s="1078" t="s">
        <v>1331</v>
      </c>
      <c r="C103" s="1078"/>
      <c r="D103" s="1078"/>
      <c r="E103" s="1078"/>
      <c r="F103" s="1096">
        <v>2320</v>
      </c>
      <c r="H103" s="1103"/>
    </row>
    <row r="104" spans="1:8" s="1072" customFormat="1" ht="14.25" customHeight="1" thickBot="1">
      <c r="A104" s="1084" t="s">
        <v>1410</v>
      </c>
      <c r="B104" s="1078" t="s">
        <v>1336</v>
      </c>
      <c r="C104" s="1078"/>
      <c r="D104" s="1078"/>
      <c r="E104" s="1078"/>
      <c r="F104" s="1096">
        <v>2320</v>
      </c>
      <c r="H104" s="1103"/>
    </row>
    <row r="105" spans="1:8" s="1072" customFormat="1" ht="14.25" customHeight="1" thickBot="1">
      <c r="A105" s="1084" t="s">
        <v>1410</v>
      </c>
      <c r="B105" s="1078" t="s">
        <v>1340</v>
      </c>
      <c r="C105" s="1078"/>
      <c r="D105" s="1078"/>
      <c r="E105" s="1078"/>
      <c r="F105" s="1096">
        <v>2320</v>
      </c>
      <c r="H105" s="1103"/>
    </row>
    <row r="106" spans="1:8" s="1072" customFormat="1" ht="14.25" customHeight="1" thickBot="1">
      <c r="A106" s="1084" t="s">
        <v>1410</v>
      </c>
      <c r="B106" s="1078" t="s">
        <v>1345</v>
      </c>
      <c r="C106" s="1078"/>
      <c r="D106" s="1078"/>
      <c r="E106" s="1078"/>
      <c r="F106" s="1096">
        <v>2320</v>
      </c>
      <c r="H106" s="1103"/>
    </row>
    <row r="107" spans="1:8" s="1072" customFormat="1" ht="14.25" customHeight="1" thickBot="1">
      <c r="A107" s="1084" t="s">
        <v>1410</v>
      </c>
      <c r="B107" s="1078" t="s">
        <v>1350</v>
      </c>
      <c r="C107" s="1078"/>
      <c r="D107" s="1078"/>
      <c r="E107" s="1078"/>
      <c r="F107" s="1096">
        <v>2280</v>
      </c>
      <c r="H107" s="1103"/>
    </row>
    <row r="108" spans="1:8" s="1072" customFormat="1" ht="14.25" customHeight="1" thickBot="1">
      <c r="A108" s="1084" t="s">
        <v>1410</v>
      </c>
      <c r="B108" s="1078" t="s">
        <v>1355</v>
      </c>
      <c r="C108" s="1078"/>
      <c r="D108" s="1078"/>
      <c r="E108" s="1078"/>
      <c r="F108" s="1096">
        <v>2280</v>
      </c>
      <c r="H108" s="1103"/>
    </row>
    <row r="109" spans="1:8" s="1072" customFormat="1" ht="14.25" customHeight="1" thickBot="1">
      <c r="A109" s="1084" t="s">
        <v>1410</v>
      </c>
      <c r="B109" s="1094" t="s">
        <v>1360</v>
      </c>
      <c r="C109" s="1094"/>
      <c r="D109" s="1094"/>
      <c r="E109" s="1094"/>
      <c r="F109" s="1104">
        <v>2280</v>
      </c>
      <c r="H109" s="1103"/>
    </row>
    <row r="110" spans="1:8" s="1072" customFormat="1" ht="14.25" customHeight="1" thickBot="1">
      <c r="A110" s="1084" t="s">
        <v>1412</v>
      </c>
      <c r="B110" s="1085" t="s">
        <v>1413</v>
      </c>
      <c r="C110" s="1085">
        <v>10520</v>
      </c>
      <c r="D110" s="1085">
        <v>10490</v>
      </c>
      <c r="E110" s="1085">
        <v>10760</v>
      </c>
      <c r="F110" s="1086">
        <v>2160</v>
      </c>
      <c r="H110" s="1103"/>
    </row>
    <row r="111" spans="1:8" s="1072" customFormat="1" ht="14.25" customHeight="1" thickBot="1">
      <c r="A111" s="1084" t="s">
        <v>1412</v>
      </c>
      <c r="B111" s="1078" t="s">
        <v>1078</v>
      </c>
      <c r="C111" s="1078">
        <v>10090</v>
      </c>
      <c r="D111" s="1078">
        <v>10060</v>
      </c>
      <c r="E111" s="1078">
        <v>10300</v>
      </c>
      <c r="F111" s="1096">
        <v>2010</v>
      </c>
      <c r="H111" s="1103"/>
    </row>
    <row r="112" spans="1:8" s="1072" customFormat="1" ht="14.25" customHeight="1" thickBot="1">
      <c r="A112" s="1084" t="s">
        <v>1412</v>
      </c>
      <c r="B112" s="1078" t="s">
        <v>1092</v>
      </c>
      <c r="C112" s="1078">
        <v>9910</v>
      </c>
      <c r="D112" s="1078">
        <v>9850</v>
      </c>
      <c r="E112" s="1078">
        <v>9960</v>
      </c>
      <c r="F112" s="1096">
        <v>2090</v>
      </c>
      <c r="H112" s="1103"/>
    </row>
    <row r="113" spans="1:8" s="1072" customFormat="1" ht="14.25" customHeight="1" thickBot="1">
      <c r="A113" s="1084" t="s">
        <v>1412</v>
      </c>
      <c r="B113" s="1078" t="s">
        <v>1105</v>
      </c>
      <c r="C113" s="1078">
        <v>11430</v>
      </c>
      <c r="D113" s="1078">
        <v>11400</v>
      </c>
      <c r="E113" s="1078">
        <v>11710</v>
      </c>
      <c r="F113" s="1096">
        <v>2050</v>
      </c>
      <c r="H113" s="1103"/>
    </row>
    <row r="114" spans="1:8" s="1072" customFormat="1" ht="14.25" customHeight="1" thickBot="1">
      <c r="A114" s="1084" t="s">
        <v>1412</v>
      </c>
      <c r="B114" s="1078" t="s">
        <v>1119</v>
      </c>
      <c r="C114" s="1078">
        <v>11390</v>
      </c>
      <c r="D114" s="1078">
        <v>11350</v>
      </c>
      <c r="E114" s="1078">
        <v>11640</v>
      </c>
      <c r="F114" s="1096">
        <v>1620</v>
      </c>
      <c r="H114" s="1103"/>
    </row>
    <row r="115" spans="1:8" s="1072" customFormat="1" ht="14.25" customHeight="1" thickBot="1">
      <c r="A115" s="1084" t="s">
        <v>1412</v>
      </c>
      <c r="B115" s="1078" t="s">
        <v>1130</v>
      </c>
      <c r="C115" s="1078">
        <v>9930</v>
      </c>
      <c r="D115" s="1078">
        <v>9900</v>
      </c>
      <c r="E115" s="1078">
        <v>10160</v>
      </c>
      <c r="F115" s="1096">
        <v>1580</v>
      </c>
      <c r="H115" s="1103"/>
    </row>
    <row r="116" spans="1:8" s="1072" customFormat="1" ht="14.25" customHeight="1" thickBot="1">
      <c r="A116" s="1084" t="s">
        <v>1412</v>
      </c>
      <c r="B116" s="1078" t="s">
        <v>1141</v>
      </c>
      <c r="C116" s="1078">
        <v>9150</v>
      </c>
      <c r="D116" s="1078">
        <v>9120</v>
      </c>
      <c r="E116" s="1078">
        <v>9380</v>
      </c>
      <c r="F116" s="1096">
        <v>1750</v>
      </c>
      <c r="H116" s="1103"/>
    </row>
    <row r="117" spans="1:8" s="1072" customFormat="1" ht="14.25" customHeight="1" thickBot="1">
      <c r="A117" s="1084" t="s">
        <v>1412</v>
      </c>
      <c r="B117" s="1078" t="s">
        <v>1152</v>
      </c>
      <c r="C117" s="1078">
        <v>10680</v>
      </c>
      <c r="D117" s="1078">
        <v>10650</v>
      </c>
      <c r="E117" s="1078">
        <v>10970</v>
      </c>
      <c r="F117" s="1096">
        <v>1730</v>
      </c>
      <c r="H117" s="1103"/>
    </row>
    <row r="118" spans="1:8" s="1072" customFormat="1" ht="14.25" customHeight="1" thickBot="1">
      <c r="A118" s="1084" t="s">
        <v>1412</v>
      </c>
      <c r="B118" s="1078" t="s">
        <v>1164</v>
      </c>
      <c r="C118" s="1078">
        <v>10080</v>
      </c>
      <c r="D118" s="1078">
        <v>10050</v>
      </c>
      <c r="E118" s="1078">
        <v>10350</v>
      </c>
      <c r="F118" s="1096">
        <v>1920</v>
      </c>
      <c r="H118" s="1103"/>
    </row>
    <row r="119" spans="1:8" s="1072" customFormat="1" ht="14.25" customHeight="1" thickBot="1">
      <c r="A119" s="1084" t="s">
        <v>1412</v>
      </c>
      <c r="B119" s="1078" t="s">
        <v>1174</v>
      </c>
      <c r="C119" s="1078">
        <v>9450</v>
      </c>
      <c r="D119" s="1078">
        <v>9410</v>
      </c>
      <c r="E119" s="1078">
        <v>9680</v>
      </c>
      <c r="F119" s="1096">
        <v>1880</v>
      </c>
      <c r="H119" s="1103"/>
    </row>
    <row r="120" spans="1:8" s="1072" customFormat="1" ht="14.25" customHeight="1" thickBot="1">
      <c r="A120" s="1084" t="s">
        <v>1412</v>
      </c>
      <c r="B120" s="1078" t="s">
        <v>1184</v>
      </c>
      <c r="C120" s="1078">
        <v>8730</v>
      </c>
      <c r="D120" s="1078">
        <v>8700</v>
      </c>
      <c r="E120" s="1078">
        <v>8950</v>
      </c>
      <c r="F120" s="1096">
        <v>1830</v>
      </c>
      <c r="H120" s="1103"/>
    </row>
    <row r="121" spans="1:8" s="1072" customFormat="1" ht="14.25" customHeight="1" thickBot="1">
      <c r="A121" s="1084" t="s">
        <v>1412</v>
      </c>
      <c r="B121" s="1078" t="s">
        <v>1194</v>
      </c>
      <c r="C121" s="1078">
        <v>10070</v>
      </c>
      <c r="D121" s="1078">
        <v>10040</v>
      </c>
      <c r="E121" s="1078">
        <v>10270</v>
      </c>
      <c r="F121" s="1096">
        <v>1960</v>
      </c>
      <c r="H121" s="1103"/>
    </row>
    <row r="122" spans="1:8" s="1072" customFormat="1" ht="14.25" customHeight="1" thickBot="1">
      <c r="A122" s="1084" t="s">
        <v>1412</v>
      </c>
      <c r="B122" s="1078" t="s">
        <v>1204</v>
      </c>
      <c r="C122" s="1078">
        <v>10500</v>
      </c>
      <c r="D122" s="1078">
        <v>10470</v>
      </c>
      <c r="E122" s="1078">
        <v>10780</v>
      </c>
      <c r="F122" s="1096">
        <v>2180</v>
      </c>
      <c r="H122" s="1103"/>
    </row>
    <row r="123" spans="1:8" s="1072" customFormat="1" ht="14.25" customHeight="1" thickBot="1">
      <c r="A123" s="1084" t="s">
        <v>1412</v>
      </c>
      <c r="B123" s="1078" t="s">
        <v>1214</v>
      </c>
      <c r="C123" s="1078">
        <v>10390</v>
      </c>
      <c r="D123" s="1078">
        <v>10360</v>
      </c>
      <c r="E123" s="1078">
        <v>10660</v>
      </c>
      <c r="F123" s="1096">
        <v>2040</v>
      </c>
      <c r="H123" s="1103"/>
    </row>
    <row r="124" spans="1:8" s="1072" customFormat="1" ht="14.25" customHeight="1" thickBot="1">
      <c r="A124" s="1084" t="s">
        <v>1412</v>
      </c>
      <c r="B124" s="1078" t="s">
        <v>1224</v>
      </c>
      <c r="C124" s="1078">
        <v>10390</v>
      </c>
      <c r="D124" s="1078">
        <v>10360</v>
      </c>
      <c r="E124" s="1078">
        <v>10680</v>
      </c>
      <c r="F124" s="1105"/>
      <c r="H124" s="1103"/>
    </row>
    <row r="125" spans="1:8" s="1072" customFormat="1" ht="14.25" customHeight="1" thickBot="1">
      <c r="A125" s="1084" t="s">
        <v>1412</v>
      </c>
      <c r="B125" s="1078" t="s">
        <v>1234</v>
      </c>
      <c r="C125" s="1078">
        <v>10440</v>
      </c>
      <c r="D125" s="1078">
        <v>10410</v>
      </c>
      <c r="E125" s="1078">
        <v>10710</v>
      </c>
      <c r="F125" s="1105"/>
      <c r="H125" s="1103"/>
    </row>
    <row r="126" spans="1:8" s="1072" customFormat="1" ht="14.25" customHeight="1" thickBot="1">
      <c r="A126" s="1084" t="s">
        <v>1412</v>
      </c>
      <c r="B126" s="1078" t="s">
        <v>1244</v>
      </c>
      <c r="C126" s="1078">
        <v>10780</v>
      </c>
      <c r="D126" s="1078">
        <v>10750</v>
      </c>
      <c r="E126" s="1078">
        <v>11080</v>
      </c>
      <c r="F126" s="1105"/>
      <c r="H126" s="1103"/>
    </row>
    <row r="127" spans="1:8" s="1072" customFormat="1" ht="14.25" customHeight="1" thickBot="1">
      <c r="A127" s="1084" t="s">
        <v>1412</v>
      </c>
      <c r="B127" s="1078" t="s">
        <v>1254</v>
      </c>
      <c r="C127" s="1078">
        <v>10100</v>
      </c>
      <c r="D127" s="1078">
        <v>10070</v>
      </c>
      <c r="E127" s="1078">
        <v>10350</v>
      </c>
      <c r="F127" s="1105"/>
      <c r="H127" s="1103"/>
    </row>
    <row r="128" spans="1:8" s="1072" customFormat="1" ht="14.25" customHeight="1" thickBot="1">
      <c r="A128" s="1084" t="s">
        <v>1412</v>
      </c>
      <c r="B128" s="1078" t="s">
        <v>1264</v>
      </c>
      <c r="C128" s="1078">
        <v>9200</v>
      </c>
      <c r="D128" s="1078">
        <v>9160</v>
      </c>
      <c r="E128" s="1078">
        <v>9660</v>
      </c>
      <c r="F128" s="1105"/>
      <c r="H128" s="1103"/>
    </row>
    <row r="129" spans="1:8" s="1072" customFormat="1" ht="14.25" customHeight="1" thickBot="1">
      <c r="A129" s="1084" t="s">
        <v>1412</v>
      </c>
      <c r="B129" s="1078" t="s">
        <v>1273</v>
      </c>
      <c r="C129" s="1078">
        <v>10340</v>
      </c>
      <c r="D129" s="1078">
        <v>10310</v>
      </c>
      <c r="E129" s="1078">
        <v>10580</v>
      </c>
      <c r="F129" s="1105"/>
      <c r="H129" s="1103"/>
    </row>
    <row r="130" spans="1:8" s="1072" customFormat="1" ht="14.25" customHeight="1" thickBot="1">
      <c r="A130" s="1084" t="s">
        <v>1412</v>
      </c>
      <c r="B130" s="1078" t="s">
        <v>1282</v>
      </c>
      <c r="C130" s="1078">
        <v>9680</v>
      </c>
      <c r="D130" s="1078">
        <v>9660</v>
      </c>
      <c r="E130" s="1078">
        <v>9950</v>
      </c>
      <c r="F130" s="1105"/>
      <c r="H130" s="1103"/>
    </row>
    <row r="131" spans="1:8" s="1072" customFormat="1" ht="14.25" customHeight="1" thickBot="1">
      <c r="A131" s="1084" t="s">
        <v>1412</v>
      </c>
      <c r="B131" s="1078" t="s">
        <v>1290</v>
      </c>
      <c r="C131" s="1078">
        <v>9540</v>
      </c>
      <c r="D131" s="1078">
        <v>9510</v>
      </c>
      <c r="E131" s="1078">
        <v>9790</v>
      </c>
      <c r="F131" s="1105"/>
      <c r="H131" s="1103"/>
    </row>
    <row r="132" spans="1:8" s="1072" customFormat="1" ht="14.25" customHeight="1" thickBot="1">
      <c r="A132" s="1084" t="s">
        <v>1412</v>
      </c>
      <c r="B132" s="1078" t="s">
        <v>1297</v>
      </c>
      <c r="C132" s="1078">
        <v>9320</v>
      </c>
      <c r="D132" s="1078">
        <v>9290</v>
      </c>
      <c r="E132" s="1078">
        <v>9570</v>
      </c>
      <c r="F132" s="1105"/>
      <c r="H132" s="1103"/>
    </row>
    <row r="133" spans="1:8" s="1072" customFormat="1" ht="14.25" customHeight="1" thickBot="1">
      <c r="A133" s="1084" t="s">
        <v>1412</v>
      </c>
      <c r="B133" s="1078" t="s">
        <v>1304</v>
      </c>
      <c r="C133" s="1078">
        <v>10310</v>
      </c>
      <c r="D133" s="1078">
        <v>10280</v>
      </c>
      <c r="E133" s="1078">
        <v>10530</v>
      </c>
      <c r="F133" s="1105"/>
      <c r="H133" s="1103"/>
    </row>
    <row r="134" spans="1:8" s="1072" customFormat="1" ht="14.25" customHeight="1" thickBot="1">
      <c r="A134" s="1084" t="s">
        <v>1412</v>
      </c>
      <c r="B134" s="1078" t="s">
        <v>1311</v>
      </c>
      <c r="C134" s="1078">
        <v>10370</v>
      </c>
      <c r="D134" s="1078">
        <v>10310</v>
      </c>
      <c r="E134" s="1078">
        <v>10240</v>
      </c>
      <c r="F134" s="1096">
        <v>2060</v>
      </c>
      <c r="H134" s="1103"/>
    </row>
    <row r="135" spans="1:8" s="1072" customFormat="1" ht="14.25" customHeight="1" thickBot="1">
      <c r="A135" s="1084" t="s">
        <v>1412</v>
      </c>
      <c r="B135" s="1078" t="s">
        <v>1318</v>
      </c>
      <c r="C135" s="1078">
        <v>9300</v>
      </c>
      <c r="D135" s="1078">
        <v>9270</v>
      </c>
      <c r="E135" s="1078">
        <v>9350</v>
      </c>
      <c r="F135" s="1105"/>
      <c r="H135" s="1103"/>
    </row>
    <row r="136" spans="1:8" s="1072" customFormat="1" ht="14.25" customHeight="1" thickBot="1">
      <c r="A136" s="1084" t="s">
        <v>1412</v>
      </c>
      <c r="B136" s="1078" t="s">
        <v>1325</v>
      </c>
      <c r="C136" s="1078">
        <v>10160</v>
      </c>
      <c r="D136" s="1078">
        <v>10110</v>
      </c>
      <c r="E136" s="1078">
        <v>10080</v>
      </c>
      <c r="F136" s="1105"/>
      <c r="H136" s="1103"/>
    </row>
    <row r="137" spans="1:8" s="1072" customFormat="1" ht="14.25" customHeight="1" thickBot="1">
      <c r="A137" s="1084" t="s">
        <v>1412</v>
      </c>
      <c r="B137" s="1078" t="s">
        <v>1332</v>
      </c>
      <c r="C137" s="1078">
        <v>9200</v>
      </c>
      <c r="D137" s="1078">
        <v>9170</v>
      </c>
      <c r="E137" s="1078">
        <v>9450</v>
      </c>
      <c r="F137" s="1105"/>
      <c r="H137" s="1103"/>
    </row>
    <row r="138" spans="1:8" s="1072" customFormat="1" ht="14.25" customHeight="1" thickBot="1">
      <c r="A138" s="1084" t="s">
        <v>1412</v>
      </c>
      <c r="B138" s="1078" t="s">
        <v>1337</v>
      </c>
      <c r="C138" s="1078">
        <v>9690</v>
      </c>
      <c r="D138" s="1078">
        <v>9660</v>
      </c>
      <c r="E138" s="1078">
        <v>9840</v>
      </c>
      <c r="F138" s="1105"/>
      <c r="H138" s="1103"/>
    </row>
    <row r="139" spans="1:8" s="1072" customFormat="1" ht="14.25" customHeight="1" thickBot="1">
      <c r="A139" s="1084" t="s">
        <v>1412</v>
      </c>
      <c r="B139" s="1078" t="s">
        <v>1341</v>
      </c>
      <c r="C139" s="1078">
        <v>10290</v>
      </c>
      <c r="D139" s="1078">
        <v>10260</v>
      </c>
      <c r="E139" s="1078">
        <v>10550</v>
      </c>
      <c r="F139" s="1096">
        <v>1700</v>
      </c>
      <c r="H139" s="1103"/>
    </row>
    <row r="140" spans="1:8" s="1072" customFormat="1" ht="14.25" customHeight="1" thickBot="1">
      <c r="A140" s="1084" t="s">
        <v>1412</v>
      </c>
      <c r="B140" s="1078" t="s">
        <v>1346</v>
      </c>
      <c r="C140" s="1078">
        <v>9740</v>
      </c>
      <c r="D140" s="1078">
        <v>9710</v>
      </c>
      <c r="E140" s="1078">
        <v>10000</v>
      </c>
      <c r="F140" s="1096">
        <v>2000</v>
      </c>
      <c r="H140" s="1103"/>
    </row>
    <row r="141" spans="1:8" s="1072" customFormat="1" ht="14.25" customHeight="1" thickBot="1">
      <c r="A141" s="1084" t="s">
        <v>1412</v>
      </c>
      <c r="B141" s="1078" t="s">
        <v>1351</v>
      </c>
      <c r="C141" s="1078">
        <v>9810</v>
      </c>
      <c r="D141" s="1078">
        <v>9770</v>
      </c>
      <c r="E141" s="1078">
        <v>10060</v>
      </c>
      <c r="F141" s="1105"/>
      <c r="H141" s="1103"/>
    </row>
    <row r="142" spans="1:8" s="1072" customFormat="1" ht="14.25" customHeight="1" thickBot="1">
      <c r="A142" s="1084" t="s">
        <v>1412</v>
      </c>
      <c r="B142" s="1078" t="s">
        <v>1356</v>
      </c>
      <c r="C142" s="1078">
        <v>9300</v>
      </c>
      <c r="D142" s="1078">
        <v>9270</v>
      </c>
      <c r="E142" s="1078">
        <v>9530</v>
      </c>
      <c r="F142" s="1105"/>
      <c r="H142" s="1103"/>
    </row>
    <row r="143" spans="1:8" s="1072" customFormat="1" ht="14.25" customHeight="1" thickBot="1">
      <c r="A143" s="1084" t="s">
        <v>1412</v>
      </c>
      <c r="B143" s="1078" t="s">
        <v>1361</v>
      </c>
      <c r="C143" s="1078">
        <v>10080</v>
      </c>
      <c r="D143" s="1078">
        <v>10050</v>
      </c>
      <c r="E143" s="1078">
        <v>10340</v>
      </c>
      <c r="F143" s="1105"/>
      <c r="H143" s="1103"/>
    </row>
    <row r="144" spans="1:8" s="1072" customFormat="1" ht="14.25" customHeight="1" thickBot="1">
      <c r="A144" s="1084" t="s">
        <v>1412</v>
      </c>
      <c r="B144" s="1078" t="s">
        <v>1365</v>
      </c>
      <c r="C144" s="1078">
        <v>9820</v>
      </c>
      <c r="D144" s="1078">
        <v>9750</v>
      </c>
      <c r="E144" s="1078">
        <v>9900</v>
      </c>
      <c r="F144" s="1105"/>
      <c r="H144" s="1103"/>
    </row>
    <row r="145" spans="1:8" s="1072" customFormat="1" ht="14.25" customHeight="1" thickBot="1">
      <c r="A145" s="1084" t="s">
        <v>1412</v>
      </c>
      <c r="B145" s="1078" t="s">
        <v>1369</v>
      </c>
      <c r="C145" s="1078"/>
      <c r="D145" s="1078"/>
      <c r="E145" s="1078"/>
      <c r="F145" s="1096">
        <v>1740</v>
      </c>
      <c r="H145" s="1103"/>
    </row>
    <row r="146" spans="1:8" s="1072" customFormat="1" ht="14.25" customHeight="1" thickBot="1">
      <c r="A146" s="1084" t="s">
        <v>1412</v>
      </c>
      <c r="B146" s="1078" t="s">
        <v>1373</v>
      </c>
      <c r="C146" s="1078"/>
      <c r="D146" s="1078"/>
      <c r="E146" s="1078"/>
      <c r="F146" s="1096">
        <v>1740</v>
      </c>
      <c r="H146" s="1103"/>
    </row>
    <row r="147" spans="1:8" s="1072" customFormat="1" ht="14.25" customHeight="1" thickBot="1">
      <c r="A147" s="1084" t="s">
        <v>1412</v>
      </c>
      <c r="B147" s="1078" t="s">
        <v>1377</v>
      </c>
      <c r="C147" s="1078"/>
      <c r="D147" s="1078"/>
      <c r="E147" s="1078"/>
      <c r="F147" s="1096">
        <v>1740</v>
      </c>
      <c r="H147" s="1103"/>
    </row>
    <row r="148" spans="1:8" s="1072" customFormat="1" ht="14.25" customHeight="1" thickBot="1">
      <c r="A148" s="1084" t="s">
        <v>1412</v>
      </c>
      <c r="B148" s="1078" t="s">
        <v>1381</v>
      </c>
      <c r="C148" s="1078"/>
      <c r="D148" s="1078"/>
      <c r="E148" s="1078"/>
      <c r="F148" s="1096">
        <v>1740</v>
      </c>
      <c r="H148" s="1103"/>
    </row>
    <row r="149" spans="1:8" s="1072" customFormat="1" ht="14.25" customHeight="1" thickBot="1">
      <c r="A149" s="1084" t="s">
        <v>1412</v>
      </c>
      <c r="B149" s="1078" t="s">
        <v>1385</v>
      </c>
      <c r="C149" s="1078"/>
      <c r="D149" s="1078"/>
      <c r="E149" s="1078"/>
      <c r="F149" s="1096">
        <v>1740</v>
      </c>
      <c r="H149" s="1103"/>
    </row>
    <row r="150" spans="1:8" s="1072" customFormat="1" ht="14.25" customHeight="1" thickBot="1">
      <c r="A150" s="1084" t="s">
        <v>1412</v>
      </c>
      <c r="B150" s="1078" t="s">
        <v>1388</v>
      </c>
      <c r="C150" s="1078"/>
      <c r="D150" s="1078"/>
      <c r="E150" s="1078"/>
      <c r="F150" s="1096">
        <v>1610</v>
      </c>
      <c r="H150" s="1103"/>
    </row>
    <row r="151" spans="1:8" s="1072" customFormat="1" ht="14.25" customHeight="1" thickBot="1">
      <c r="A151" s="1084" t="s">
        <v>1412</v>
      </c>
      <c r="B151" s="1078" t="s">
        <v>1391</v>
      </c>
      <c r="C151" s="1078"/>
      <c r="D151" s="1078"/>
      <c r="E151" s="1078"/>
      <c r="F151" s="1096">
        <v>1610</v>
      </c>
      <c r="H151" s="1103"/>
    </row>
    <row r="152" spans="1:8" s="1072" customFormat="1" ht="14.25" customHeight="1" thickBot="1">
      <c r="A152" s="1084" t="s">
        <v>1412</v>
      </c>
      <c r="B152" s="1078" t="s">
        <v>1394</v>
      </c>
      <c r="C152" s="1078"/>
      <c r="D152" s="1078"/>
      <c r="E152" s="1078"/>
      <c r="F152" s="1096">
        <v>1610</v>
      </c>
      <c r="H152" s="1103"/>
    </row>
    <row r="153" spans="1:8" s="1072" customFormat="1" ht="14.25" customHeight="1" thickBot="1">
      <c r="A153" s="1084" t="s">
        <v>1412</v>
      </c>
      <c r="B153" s="1078" t="s">
        <v>1397</v>
      </c>
      <c r="C153" s="1078"/>
      <c r="D153" s="1078"/>
      <c r="E153" s="1078"/>
      <c r="F153" s="1096">
        <v>1610</v>
      </c>
      <c r="H153" s="1103"/>
    </row>
    <row r="154" spans="1:8" s="1072" customFormat="1" ht="14.25" customHeight="1" thickBot="1">
      <c r="A154" s="1084" t="s">
        <v>1412</v>
      </c>
      <c r="B154" s="1078" t="s">
        <v>1400</v>
      </c>
      <c r="C154" s="1078"/>
      <c r="D154" s="1078"/>
      <c r="E154" s="1078"/>
      <c r="F154" s="1096">
        <v>1610</v>
      </c>
      <c r="H154" s="1103"/>
    </row>
    <row r="155" spans="1:8" s="1072" customFormat="1" ht="14.25" customHeight="1" thickBot="1">
      <c r="A155" s="1084" t="s">
        <v>1412</v>
      </c>
      <c r="B155" s="1078" t="s">
        <v>1403</v>
      </c>
      <c r="C155" s="1078"/>
      <c r="D155" s="1078"/>
      <c r="E155" s="1078"/>
      <c r="F155" s="1096">
        <v>1800</v>
      </c>
      <c r="H155" s="1103"/>
    </row>
    <row r="156" spans="1:8" s="1072" customFormat="1" ht="14.25" customHeight="1" thickBot="1">
      <c r="A156" s="1084" t="s">
        <v>1412</v>
      </c>
      <c r="B156" s="1078" t="s">
        <v>1405</v>
      </c>
      <c r="C156" s="1078"/>
      <c r="D156" s="1078"/>
      <c r="E156" s="1078"/>
      <c r="F156" s="1096">
        <v>1910</v>
      </c>
      <c r="H156" s="1103"/>
    </row>
    <row r="157" spans="1:8" s="1072" customFormat="1" ht="14.25" customHeight="1" thickBot="1">
      <c r="A157" s="1084" t="s">
        <v>1412</v>
      </c>
      <c r="B157" s="1094" t="s">
        <v>1408</v>
      </c>
      <c r="C157" s="1094"/>
      <c r="D157" s="1094"/>
      <c r="E157" s="1094"/>
      <c r="F157" s="1104">
        <v>1500</v>
      </c>
      <c r="H157" s="1103"/>
    </row>
    <row r="158" spans="1:8" s="1072" customFormat="1" ht="14.25" customHeight="1" thickBot="1">
      <c r="A158" s="1084" t="s">
        <v>1414</v>
      </c>
      <c r="B158" s="1085" t="s">
        <v>1415</v>
      </c>
      <c r="C158" s="1085">
        <v>8170</v>
      </c>
      <c r="D158" s="1085">
        <v>8140</v>
      </c>
      <c r="E158" s="1085">
        <v>8590</v>
      </c>
      <c r="F158" s="1086">
        <v>1450</v>
      </c>
      <c r="H158" s="1103"/>
    </row>
    <row r="159" spans="1:8" s="1072" customFormat="1" ht="14.25" customHeight="1" thickBot="1">
      <c r="A159" s="1084" t="s">
        <v>1414</v>
      </c>
      <c r="B159" s="1078" t="s">
        <v>1079</v>
      </c>
      <c r="C159" s="1078">
        <v>7410</v>
      </c>
      <c r="D159" s="1078">
        <v>7370</v>
      </c>
      <c r="E159" s="1078">
        <v>8030</v>
      </c>
      <c r="F159" s="1096">
        <v>1510</v>
      </c>
      <c r="H159" s="1103"/>
    </row>
    <row r="160" spans="1:8" s="1072" customFormat="1" ht="14.25" customHeight="1" thickBot="1">
      <c r="A160" s="1084" t="s">
        <v>1414</v>
      </c>
      <c r="B160" s="1078" t="s">
        <v>1093</v>
      </c>
      <c r="C160" s="1078">
        <v>7240</v>
      </c>
      <c r="D160" s="1078">
        <v>7210</v>
      </c>
      <c r="E160" s="1078">
        <v>7860</v>
      </c>
      <c r="F160" s="1096">
        <v>1370</v>
      </c>
      <c r="H160" s="1103"/>
    </row>
    <row r="161" spans="1:8" s="1072" customFormat="1" ht="14.25" customHeight="1" thickBot="1">
      <c r="A161" s="1084" t="s">
        <v>1414</v>
      </c>
      <c r="B161" s="1078" t="s">
        <v>1106</v>
      </c>
      <c r="C161" s="1078">
        <v>7720</v>
      </c>
      <c r="D161" s="1078">
        <v>7690</v>
      </c>
      <c r="E161" s="1078">
        <v>8200</v>
      </c>
      <c r="F161" s="1096">
        <v>1190</v>
      </c>
      <c r="H161" s="1103"/>
    </row>
    <row r="162" spans="1:8" s="1072" customFormat="1" ht="14.25" customHeight="1" thickBot="1">
      <c r="A162" s="1084" t="s">
        <v>1414</v>
      </c>
      <c r="B162" s="1078" t="s">
        <v>1120</v>
      </c>
      <c r="C162" s="1078">
        <v>6900</v>
      </c>
      <c r="D162" s="1078">
        <v>6870</v>
      </c>
      <c r="E162" s="1078">
        <v>7500</v>
      </c>
      <c r="F162" s="1096">
        <v>1390</v>
      </c>
      <c r="H162" s="1103"/>
    </row>
    <row r="163" spans="1:8" s="1072" customFormat="1" ht="14.25" customHeight="1" thickBot="1">
      <c r="A163" s="1084" t="s">
        <v>1414</v>
      </c>
      <c r="B163" s="1078" t="s">
        <v>1131</v>
      </c>
      <c r="C163" s="1078">
        <v>7120</v>
      </c>
      <c r="D163" s="1078">
        <v>7090</v>
      </c>
      <c r="E163" s="1078">
        <v>7690</v>
      </c>
      <c r="F163" s="1096">
        <v>1230</v>
      </c>
      <c r="H163" s="1103"/>
    </row>
    <row r="164" spans="1:8" s="1072" customFormat="1" ht="14.25" customHeight="1" thickBot="1">
      <c r="A164" s="1084" t="s">
        <v>1414</v>
      </c>
      <c r="B164" s="1078" t="s">
        <v>1142</v>
      </c>
      <c r="C164" s="1078">
        <v>6560</v>
      </c>
      <c r="D164" s="1078">
        <v>6530</v>
      </c>
      <c r="E164" s="1078">
        <v>7110</v>
      </c>
      <c r="F164" s="1096">
        <v>1340</v>
      </c>
      <c r="H164" s="1103"/>
    </row>
    <row r="165" spans="1:8" s="1072" customFormat="1" ht="14.25" customHeight="1" thickBot="1">
      <c r="A165" s="1084" t="s">
        <v>1414</v>
      </c>
      <c r="B165" s="1078" t="s">
        <v>1153</v>
      </c>
      <c r="C165" s="1078">
        <v>7450</v>
      </c>
      <c r="D165" s="1078">
        <v>7430</v>
      </c>
      <c r="E165" s="1078">
        <v>8110</v>
      </c>
      <c r="F165" s="1096">
        <v>1290</v>
      </c>
      <c r="H165" s="1103"/>
    </row>
    <row r="166" spans="1:8" s="1072" customFormat="1" ht="14.25" customHeight="1" thickBot="1">
      <c r="A166" s="1084" t="s">
        <v>1414</v>
      </c>
      <c r="B166" s="1078" t="s">
        <v>1165</v>
      </c>
      <c r="C166" s="1078">
        <v>7490</v>
      </c>
      <c r="D166" s="1078">
        <v>7460</v>
      </c>
      <c r="E166" s="1078">
        <v>8150</v>
      </c>
      <c r="F166" s="1096">
        <v>1350</v>
      </c>
      <c r="H166" s="1103"/>
    </row>
    <row r="167" spans="1:8" s="1072" customFormat="1" ht="14.25" customHeight="1" thickBot="1">
      <c r="A167" s="1084" t="s">
        <v>1414</v>
      </c>
      <c r="B167" s="1078" t="s">
        <v>1175</v>
      </c>
      <c r="C167" s="1078">
        <v>7540</v>
      </c>
      <c r="D167" s="1078">
        <v>7510</v>
      </c>
      <c r="E167" s="1078">
        <v>8030</v>
      </c>
      <c r="F167" s="1105"/>
      <c r="H167" s="1103"/>
    </row>
    <row r="168" spans="1:8" s="1072" customFormat="1" ht="14.25" customHeight="1" thickBot="1">
      <c r="A168" s="1084" t="s">
        <v>1414</v>
      </c>
      <c r="B168" s="1078" t="s">
        <v>1185</v>
      </c>
      <c r="C168" s="1078">
        <v>7210</v>
      </c>
      <c r="D168" s="1078">
        <v>7180</v>
      </c>
      <c r="E168" s="1078">
        <v>7830</v>
      </c>
      <c r="F168" s="1105"/>
      <c r="H168" s="1103"/>
    </row>
    <row r="169" spans="1:8" s="1072" customFormat="1" ht="14.25" customHeight="1" thickBot="1">
      <c r="A169" s="1084" t="s">
        <v>1414</v>
      </c>
      <c r="B169" s="1078" t="s">
        <v>1195</v>
      </c>
      <c r="C169" s="1078">
        <v>7040</v>
      </c>
      <c r="D169" s="1078">
        <v>7020</v>
      </c>
      <c r="E169" s="1078">
        <v>7670</v>
      </c>
      <c r="F169" s="1105"/>
      <c r="H169" s="1103"/>
    </row>
    <row r="170" spans="1:8" s="1072" customFormat="1" ht="14.25" customHeight="1" thickBot="1">
      <c r="A170" s="1084" t="s">
        <v>1414</v>
      </c>
      <c r="B170" s="1078" t="s">
        <v>1205</v>
      </c>
      <c r="C170" s="1078">
        <v>8040</v>
      </c>
      <c r="D170" s="1078">
        <v>7190</v>
      </c>
      <c r="E170" s="1078">
        <v>7850</v>
      </c>
      <c r="F170" s="1105"/>
      <c r="H170" s="1103"/>
    </row>
    <row r="171" spans="1:8" s="1072" customFormat="1" ht="14.25" customHeight="1" thickBot="1">
      <c r="A171" s="1084" t="s">
        <v>1414</v>
      </c>
      <c r="B171" s="1078" t="s">
        <v>1215</v>
      </c>
      <c r="C171" s="1078">
        <v>7860</v>
      </c>
      <c r="D171" s="1078">
        <v>7720</v>
      </c>
      <c r="E171" s="1078">
        <v>8150</v>
      </c>
      <c r="F171" s="1096">
        <v>1110</v>
      </c>
      <c r="H171" s="1103"/>
    </row>
    <row r="172" spans="1:8" s="1072" customFormat="1" ht="14.25" customHeight="1" thickBot="1">
      <c r="A172" s="1084" t="s">
        <v>1414</v>
      </c>
      <c r="B172" s="1078" t="s">
        <v>1225</v>
      </c>
      <c r="C172" s="1078">
        <v>7210</v>
      </c>
      <c r="D172" s="1078">
        <v>7170</v>
      </c>
      <c r="E172" s="1078">
        <v>7320</v>
      </c>
      <c r="F172" s="1105"/>
      <c r="H172" s="1103"/>
    </row>
    <row r="173" spans="1:8" s="1072" customFormat="1" ht="14.25" customHeight="1" thickBot="1">
      <c r="A173" s="1084" t="s">
        <v>1414</v>
      </c>
      <c r="B173" s="1078" t="s">
        <v>1235</v>
      </c>
      <c r="C173" s="1078">
        <v>6860</v>
      </c>
      <c r="D173" s="1078">
        <v>6810</v>
      </c>
      <c r="E173" s="1078">
        <v>7440</v>
      </c>
      <c r="F173" s="1105"/>
      <c r="H173" s="1103"/>
    </row>
    <row r="174" spans="1:8" s="1072" customFormat="1" ht="14.25" customHeight="1" thickBot="1">
      <c r="A174" s="1084" t="s">
        <v>1414</v>
      </c>
      <c r="B174" s="1078" t="s">
        <v>1245</v>
      </c>
      <c r="C174" s="1078">
        <v>7120</v>
      </c>
      <c r="D174" s="1078">
        <v>7090</v>
      </c>
      <c r="E174" s="1078">
        <v>7500</v>
      </c>
      <c r="F174" s="1096">
        <v>1490</v>
      </c>
      <c r="H174" s="1103"/>
    </row>
    <row r="175" spans="1:8" s="1072" customFormat="1" ht="14.25" customHeight="1" thickBot="1">
      <c r="A175" s="1084" t="s">
        <v>1414</v>
      </c>
      <c r="B175" s="1078" t="s">
        <v>1255</v>
      </c>
      <c r="C175" s="1078">
        <v>7850</v>
      </c>
      <c r="D175" s="1078">
        <v>7820</v>
      </c>
      <c r="E175" s="1078">
        <v>8120</v>
      </c>
      <c r="F175" s="1096">
        <v>1530</v>
      </c>
      <c r="H175" s="1103"/>
    </row>
    <row r="176" spans="1:8" s="1072" customFormat="1" ht="14.25" customHeight="1" thickBot="1">
      <c r="A176" s="1084" t="s">
        <v>1414</v>
      </c>
      <c r="B176" s="1078" t="s">
        <v>1265</v>
      </c>
      <c r="C176" s="1078">
        <v>7620</v>
      </c>
      <c r="D176" s="1078">
        <v>7570</v>
      </c>
      <c r="E176" s="1078">
        <v>7990</v>
      </c>
      <c r="F176" s="1096">
        <v>1480</v>
      </c>
      <c r="H176" s="1103"/>
    </row>
    <row r="177" spans="1:8" s="1072" customFormat="1" ht="14.25" customHeight="1" thickBot="1">
      <c r="A177" s="1084" t="s">
        <v>1414</v>
      </c>
      <c r="B177" s="1078" t="s">
        <v>1274</v>
      </c>
      <c r="C177" s="1078">
        <v>8590</v>
      </c>
      <c r="D177" s="1078">
        <v>8570</v>
      </c>
      <c r="E177" s="1078">
        <v>8740</v>
      </c>
      <c r="F177" s="1096">
        <v>1540</v>
      </c>
      <c r="H177" s="1103"/>
    </row>
    <row r="178" spans="1:8" s="1072" customFormat="1" ht="14.25" customHeight="1" thickBot="1">
      <c r="A178" s="1084" t="s">
        <v>1414</v>
      </c>
      <c r="B178" s="1078" t="s">
        <v>1283</v>
      </c>
      <c r="C178" s="1078">
        <v>7510</v>
      </c>
      <c r="D178" s="1078">
        <v>7470</v>
      </c>
      <c r="E178" s="1078">
        <v>8090</v>
      </c>
      <c r="F178" s="1096">
        <v>1320</v>
      </c>
      <c r="H178" s="1103"/>
    </row>
    <row r="179" spans="1:8" s="1072" customFormat="1" ht="14.25" customHeight="1" thickBot="1">
      <c r="A179" s="1084" t="s">
        <v>1414</v>
      </c>
      <c r="B179" s="1078" t="s">
        <v>1291</v>
      </c>
      <c r="C179" s="1078">
        <v>6380</v>
      </c>
      <c r="D179" s="1078">
        <v>6340</v>
      </c>
      <c r="E179" s="1078">
        <v>6810</v>
      </c>
      <c r="F179" s="1105"/>
      <c r="H179" s="1103"/>
    </row>
    <row r="180" spans="1:8" s="1072" customFormat="1" ht="14.25" customHeight="1" thickBot="1">
      <c r="A180" s="1084" t="s">
        <v>1414</v>
      </c>
      <c r="B180" s="1078" t="s">
        <v>1298</v>
      </c>
      <c r="C180" s="1078">
        <v>7830</v>
      </c>
      <c r="D180" s="1078">
        <v>7800</v>
      </c>
      <c r="E180" s="1078">
        <v>7780</v>
      </c>
      <c r="F180" s="1096">
        <v>1440</v>
      </c>
      <c r="H180" s="1103"/>
    </row>
    <row r="181" spans="1:8" s="1072" customFormat="1" ht="14.25" customHeight="1" thickBot="1">
      <c r="A181" s="1084" t="s">
        <v>1414</v>
      </c>
      <c r="B181" s="1078" t="s">
        <v>1305</v>
      </c>
      <c r="C181" s="1078">
        <v>7110</v>
      </c>
      <c r="D181" s="1078">
        <v>7080</v>
      </c>
      <c r="E181" s="1078">
        <v>7730</v>
      </c>
      <c r="F181" s="1096">
        <v>1350</v>
      </c>
      <c r="H181" s="1103"/>
    </row>
    <row r="182" spans="1:8" s="1072" customFormat="1" ht="14.25" customHeight="1" thickBot="1">
      <c r="A182" s="1084" t="s">
        <v>1414</v>
      </c>
      <c r="B182" s="1078" t="s">
        <v>1312</v>
      </c>
      <c r="C182" s="1078">
        <v>7310</v>
      </c>
      <c r="D182" s="1078">
        <v>7280</v>
      </c>
      <c r="E182" s="1078">
        <v>7950</v>
      </c>
      <c r="F182" s="1096">
        <v>1220</v>
      </c>
      <c r="H182" s="1103"/>
    </row>
    <row r="183" spans="1:8" s="1072" customFormat="1" ht="14.25" customHeight="1" thickBot="1">
      <c r="A183" s="1084" t="s">
        <v>1414</v>
      </c>
      <c r="B183" s="1078" t="s">
        <v>1319</v>
      </c>
      <c r="C183" s="1078">
        <v>7470</v>
      </c>
      <c r="D183" s="1078">
        <v>7440</v>
      </c>
      <c r="E183" s="1078">
        <v>7880</v>
      </c>
      <c r="F183" s="1105"/>
      <c r="H183" s="1103"/>
    </row>
    <row r="184" spans="1:8" s="1072" customFormat="1" ht="14.25" customHeight="1" thickBot="1">
      <c r="A184" s="1084" t="s">
        <v>1414</v>
      </c>
      <c r="B184" s="1078" t="s">
        <v>1326</v>
      </c>
      <c r="C184" s="1078">
        <v>6960</v>
      </c>
      <c r="D184" s="1078">
        <v>6930</v>
      </c>
      <c r="E184" s="1078">
        <v>7570</v>
      </c>
      <c r="F184" s="1105"/>
      <c r="H184" s="1103"/>
    </row>
    <row r="185" spans="1:8" s="1072" customFormat="1" ht="14.25" customHeight="1" thickBot="1">
      <c r="A185" s="1084" t="s">
        <v>1414</v>
      </c>
      <c r="B185" s="1078" t="s">
        <v>1333</v>
      </c>
      <c r="C185" s="1078">
        <v>7260</v>
      </c>
      <c r="D185" s="1078">
        <v>7230</v>
      </c>
      <c r="E185" s="1078">
        <v>7710</v>
      </c>
      <c r="F185" s="1096">
        <v>1360</v>
      </c>
      <c r="H185" s="1103"/>
    </row>
    <row r="186" spans="1:8" s="1072" customFormat="1" ht="14.25" customHeight="1" thickBot="1">
      <c r="A186" s="1084" t="s">
        <v>1414</v>
      </c>
      <c r="B186" s="1078" t="s">
        <v>1338</v>
      </c>
      <c r="C186" s="1078"/>
      <c r="D186" s="1078"/>
      <c r="E186" s="1078"/>
      <c r="F186" s="1096">
        <v>1560</v>
      </c>
      <c r="H186" s="1103"/>
    </row>
    <row r="187" spans="1:8" s="1072" customFormat="1" ht="14.25" customHeight="1" thickBot="1">
      <c r="A187" s="1084" t="s">
        <v>1414</v>
      </c>
      <c r="B187" s="1078" t="s">
        <v>1342</v>
      </c>
      <c r="C187" s="1078"/>
      <c r="D187" s="1078"/>
      <c r="E187" s="1078"/>
      <c r="F187" s="1096">
        <v>1560</v>
      </c>
      <c r="H187" s="1103"/>
    </row>
    <row r="188" spans="1:8" s="1072" customFormat="1" ht="14.25" customHeight="1" thickBot="1">
      <c r="A188" s="1084" t="s">
        <v>1414</v>
      </c>
      <c r="B188" s="1078" t="s">
        <v>1347</v>
      </c>
      <c r="C188" s="1078"/>
      <c r="D188" s="1078"/>
      <c r="E188" s="1078"/>
      <c r="F188" s="1096">
        <v>1560</v>
      </c>
      <c r="H188" s="1103"/>
    </row>
    <row r="189" spans="1:8" s="1072" customFormat="1" ht="14.25" customHeight="1" thickBot="1">
      <c r="A189" s="1084" t="s">
        <v>1414</v>
      </c>
      <c r="B189" s="1078" t="s">
        <v>1352</v>
      </c>
      <c r="C189" s="1078"/>
      <c r="D189" s="1078"/>
      <c r="E189" s="1078"/>
      <c r="F189" s="1096">
        <v>1320</v>
      </c>
      <c r="H189" s="1103"/>
    </row>
    <row r="190" spans="1:8" s="1072" customFormat="1" ht="14.25" customHeight="1" thickBot="1">
      <c r="A190" s="1084" t="s">
        <v>1414</v>
      </c>
      <c r="B190" s="1078" t="s">
        <v>1357</v>
      </c>
      <c r="C190" s="1078"/>
      <c r="D190" s="1078"/>
      <c r="E190" s="1078"/>
      <c r="F190" s="1096">
        <v>1320</v>
      </c>
      <c r="H190" s="1103"/>
    </row>
    <row r="191" spans="1:8" s="1072" customFormat="1" ht="14.25" customHeight="1" thickBot="1">
      <c r="A191" s="1084" t="s">
        <v>1414</v>
      </c>
      <c r="B191" s="1078" t="s">
        <v>1362</v>
      </c>
      <c r="C191" s="1078"/>
      <c r="D191" s="1078"/>
      <c r="E191" s="1078"/>
      <c r="F191" s="1096">
        <v>1320</v>
      </c>
      <c r="H191" s="1103"/>
    </row>
    <row r="192" spans="1:8" s="1072" customFormat="1" ht="14.25" customHeight="1" thickBot="1">
      <c r="A192" s="1084" t="s">
        <v>1414</v>
      </c>
      <c r="B192" s="1078" t="s">
        <v>1366</v>
      </c>
      <c r="C192" s="1078"/>
      <c r="D192" s="1078"/>
      <c r="E192" s="1078"/>
      <c r="F192" s="1096">
        <v>1100</v>
      </c>
      <c r="H192" s="1103"/>
    </row>
    <row r="193" spans="1:8" s="1072" customFormat="1" ht="14.25" customHeight="1" thickBot="1">
      <c r="A193" s="1084" t="s">
        <v>1414</v>
      </c>
      <c r="B193" s="1078" t="s">
        <v>1370</v>
      </c>
      <c r="C193" s="1078"/>
      <c r="D193" s="1078"/>
      <c r="E193" s="1078"/>
      <c r="F193" s="1096">
        <v>1100</v>
      </c>
      <c r="H193" s="1103"/>
    </row>
    <row r="194" spans="1:8" s="1072" customFormat="1" ht="14.25" customHeight="1" thickBot="1">
      <c r="A194" s="1084" t="s">
        <v>1414</v>
      </c>
      <c r="B194" s="1078" t="s">
        <v>1374</v>
      </c>
      <c r="C194" s="1078"/>
      <c r="D194" s="1078"/>
      <c r="E194" s="1078"/>
      <c r="F194" s="1096">
        <v>1080</v>
      </c>
      <c r="H194" s="1103"/>
    </row>
    <row r="195" spans="1:8" s="1072" customFormat="1" ht="14.25" customHeight="1" thickBot="1">
      <c r="A195" s="1084" t="s">
        <v>1414</v>
      </c>
      <c r="B195" s="1078" t="s">
        <v>1378</v>
      </c>
      <c r="C195" s="1078"/>
      <c r="D195" s="1078"/>
      <c r="E195" s="1078"/>
      <c r="F195" s="1096">
        <v>1270</v>
      </c>
      <c r="H195" s="1103"/>
    </row>
    <row r="196" spans="1:8" s="1072" customFormat="1" ht="14.25" customHeight="1" thickBot="1">
      <c r="A196" s="1084" t="s">
        <v>1414</v>
      </c>
      <c r="B196" s="1078" t="s">
        <v>1382</v>
      </c>
      <c r="C196" s="1078"/>
      <c r="D196" s="1078"/>
      <c r="E196" s="1078"/>
      <c r="F196" s="1096">
        <v>1150</v>
      </c>
      <c r="H196" s="1103"/>
    </row>
    <row r="197" spans="1:8" s="1072" customFormat="1" ht="14.25" customHeight="1" thickBot="1">
      <c r="A197" s="1084" t="s">
        <v>1414</v>
      </c>
      <c r="B197" s="1078" t="s">
        <v>1386</v>
      </c>
      <c r="C197" s="1078"/>
      <c r="D197" s="1078"/>
      <c r="E197" s="1078"/>
      <c r="F197" s="1096">
        <v>1330</v>
      </c>
      <c r="H197" s="1103"/>
    </row>
    <row r="198" spans="1:8" s="1072" customFormat="1" ht="14.25" customHeight="1" thickBot="1">
      <c r="A198" s="1084" t="s">
        <v>1414</v>
      </c>
      <c r="B198" s="1078" t="s">
        <v>1389</v>
      </c>
      <c r="C198" s="1078"/>
      <c r="D198" s="1078"/>
      <c r="E198" s="1078"/>
      <c r="F198" s="1096">
        <v>1170</v>
      </c>
      <c r="H198" s="1103"/>
    </row>
    <row r="199" spans="1:8" s="1072" customFormat="1" ht="14.25" customHeight="1" thickBot="1">
      <c r="A199" s="1084" t="s">
        <v>1414</v>
      </c>
      <c r="B199" s="1078" t="s">
        <v>1392</v>
      </c>
      <c r="C199" s="1078"/>
      <c r="D199" s="1078"/>
      <c r="E199" s="1078"/>
      <c r="F199" s="1096">
        <v>1120</v>
      </c>
      <c r="H199" s="1103"/>
    </row>
    <row r="200" spans="1:8" s="1072" customFormat="1" ht="14.25" customHeight="1" thickBot="1">
      <c r="A200" s="1084" t="s">
        <v>1414</v>
      </c>
      <c r="B200" s="1078" t="s">
        <v>1395</v>
      </c>
      <c r="C200" s="1078"/>
      <c r="D200" s="1078"/>
      <c r="E200" s="1078"/>
      <c r="F200" s="1096">
        <v>1120</v>
      </c>
      <c r="H200" s="1103"/>
    </row>
    <row r="201" spans="1:8" s="1072" customFormat="1" ht="14.25" customHeight="1" thickBot="1">
      <c r="A201" s="1084" t="s">
        <v>1414</v>
      </c>
      <c r="B201" s="1078" t="s">
        <v>1398</v>
      </c>
      <c r="C201" s="1078"/>
      <c r="D201" s="1078"/>
      <c r="E201" s="1078"/>
      <c r="F201" s="1096">
        <v>1540</v>
      </c>
      <c r="H201" s="1103"/>
    </row>
    <row r="202" spans="1:8" s="1072" customFormat="1" ht="14.25" customHeight="1" thickBot="1">
      <c r="A202" s="1084" t="s">
        <v>1414</v>
      </c>
      <c r="B202" s="1078" t="s">
        <v>1401</v>
      </c>
      <c r="C202" s="1078"/>
      <c r="D202" s="1078"/>
      <c r="E202" s="1078"/>
      <c r="F202" s="1096">
        <v>1310</v>
      </c>
      <c r="H202" s="1103"/>
    </row>
    <row r="203" spans="1:8" s="1072" customFormat="1" ht="14.25" customHeight="1" thickBot="1">
      <c r="A203" s="1084" t="s">
        <v>1414</v>
      </c>
      <c r="B203" s="1078" t="s">
        <v>1404</v>
      </c>
      <c r="C203" s="1078"/>
      <c r="D203" s="1078"/>
      <c r="E203" s="1078"/>
      <c r="F203" s="1096">
        <v>1310</v>
      </c>
      <c r="H203" s="1103"/>
    </row>
    <row r="204" spans="1:8" s="1072" customFormat="1" ht="14.25" customHeight="1" thickBot="1">
      <c r="A204" s="1084" t="s">
        <v>1414</v>
      </c>
      <c r="B204" s="1078" t="s">
        <v>1406</v>
      </c>
      <c r="C204" s="1078"/>
      <c r="D204" s="1078"/>
      <c r="E204" s="1078"/>
      <c r="F204" s="1096">
        <v>1080</v>
      </c>
      <c r="H204" s="1103"/>
    </row>
    <row r="205" spans="1:8" s="1072" customFormat="1" ht="14.25" customHeight="1" thickBot="1">
      <c r="A205" s="1084" t="s">
        <v>1414</v>
      </c>
      <c r="B205" s="1078" t="s">
        <v>1409</v>
      </c>
      <c r="C205" s="1078"/>
      <c r="D205" s="1078"/>
      <c r="E205" s="1078"/>
      <c r="F205" s="1096">
        <v>1080</v>
      </c>
      <c r="H205" s="1103"/>
    </row>
    <row r="206" spans="1:8" s="1072" customFormat="1" ht="14.25" customHeight="1" thickBot="1">
      <c r="A206" s="1084" t="s">
        <v>1416</v>
      </c>
      <c r="B206" s="1085" t="s">
        <v>1417</v>
      </c>
      <c r="C206" s="1085">
        <v>5450</v>
      </c>
      <c r="D206" s="1085">
        <v>5430</v>
      </c>
      <c r="E206" s="1085">
        <v>5700</v>
      </c>
      <c r="F206" s="1086">
        <v>1020</v>
      </c>
      <c r="H206" s="1103"/>
    </row>
    <row r="207" spans="1:8" s="1072" customFormat="1" ht="14.25" customHeight="1" thickBot="1">
      <c r="A207" s="1084" t="s">
        <v>1416</v>
      </c>
      <c r="B207" s="1078" t="s">
        <v>1080</v>
      </c>
      <c r="C207" s="1078">
        <v>5860</v>
      </c>
      <c r="D207" s="1078">
        <v>5820</v>
      </c>
      <c r="E207" s="1078">
        <v>6050</v>
      </c>
      <c r="F207" s="1096">
        <v>1080</v>
      </c>
      <c r="H207" s="1103"/>
    </row>
    <row r="208" spans="1:8" s="1072" customFormat="1" ht="14.25" customHeight="1" thickBot="1">
      <c r="A208" s="1084" t="s">
        <v>1416</v>
      </c>
      <c r="B208" s="1078" t="s">
        <v>1094</v>
      </c>
      <c r="C208" s="1078">
        <v>4630</v>
      </c>
      <c r="D208" s="1078">
        <v>4600</v>
      </c>
      <c r="E208" s="1078">
        <v>4840</v>
      </c>
      <c r="F208" s="1096">
        <v>900</v>
      </c>
      <c r="H208" s="1103"/>
    </row>
    <row r="209" spans="1:8" s="1072" customFormat="1" ht="14.25" customHeight="1" thickBot="1">
      <c r="A209" s="1084" t="s">
        <v>1416</v>
      </c>
      <c r="B209" s="1078" t="s">
        <v>1107</v>
      </c>
      <c r="C209" s="1078">
        <v>5320</v>
      </c>
      <c r="D209" s="1078">
        <v>5270</v>
      </c>
      <c r="E209" s="1078">
        <v>5540</v>
      </c>
      <c r="F209" s="1096">
        <v>980</v>
      </c>
      <c r="H209" s="1103"/>
    </row>
    <row r="210" spans="1:8" s="1072" customFormat="1" ht="14.25" customHeight="1" thickBot="1">
      <c r="A210" s="1084" t="s">
        <v>1416</v>
      </c>
      <c r="B210" s="1078" t="s">
        <v>1121</v>
      </c>
      <c r="C210" s="1078">
        <v>5760</v>
      </c>
      <c r="D210" s="1078">
        <v>5710</v>
      </c>
      <c r="E210" s="1078">
        <v>6010</v>
      </c>
      <c r="F210" s="1096">
        <v>870</v>
      </c>
      <c r="H210" s="1103"/>
    </row>
    <row r="211" spans="1:8" s="1072" customFormat="1" ht="14.25" customHeight="1" thickBot="1">
      <c r="A211" s="1084" t="s">
        <v>1416</v>
      </c>
      <c r="B211" s="1078" t="s">
        <v>1132</v>
      </c>
      <c r="C211" s="1078">
        <v>4160</v>
      </c>
      <c r="D211" s="1078">
        <v>4100</v>
      </c>
      <c r="E211" s="1078">
        <v>4270</v>
      </c>
      <c r="F211" s="1096">
        <v>790</v>
      </c>
      <c r="H211" s="1103"/>
    </row>
    <row r="212" spans="1:8" s="1072" customFormat="1" ht="14.25" customHeight="1" thickBot="1">
      <c r="A212" s="1084" t="s">
        <v>1416</v>
      </c>
      <c r="B212" s="1078" t="s">
        <v>1143</v>
      </c>
      <c r="C212" s="1078">
        <v>4880</v>
      </c>
      <c r="D212" s="1078">
        <v>4850</v>
      </c>
      <c r="E212" s="1078">
        <v>5110</v>
      </c>
      <c r="F212" s="1096">
        <v>940</v>
      </c>
      <c r="H212" s="1103"/>
    </row>
    <row r="213" spans="1:8" s="1072" customFormat="1" ht="14.25" customHeight="1" thickBot="1">
      <c r="A213" s="1084" t="s">
        <v>1416</v>
      </c>
      <c r="B213" s="1078" t="s">
        <v>1154</v>
      </c>
      <c r="C213" s="1078">
        <v>4640</v>
      </c>
      <c r="D213" s="1078">
        <v>4590</v>
      </c>
      <c r="E213" s="1078">
        <v>4700</v>
      </c>
      <c r="F213" s="1096">
        <v>1030</v>
      </c>
      <c r="H213" s="1103"/>
    </row>
    <row r="214" spans="1:8" s="1072" customFormat="1" ht="14.25" customHeight="1" thickBot="1">
      <c r="A214" s="1084" t="s">
        <v>1416</v>
      </c>
      <c r="B214" s="1078" t="s">
        <v>1166</v>
      </c>
      <c r="C214" s="1078">
        <v>4540</v>
      </c>
      <c r="D214" s="1078">
        <v>4490</v>
      </c>
      <c r="E214" s="1078">
        <v>4610</v>
      </c>
      <c r="F214" s="1105"/>
      <c r="H214" s="1103"/>
    </row>
    <row r="215" spans="1:8" s="1072" customFormat="1" ht="14.25" customHeight="1" thickBot="1">
      <c r="A215" s="1084" t="s">
        <v>1416</v>
      </c>
      <c r="B215" s="1078" t="s">
        <v>1176</v>
      </c>
      <c r="C215" s="1078">
        <v>5280</v>
      </c>
      <c r="D215" s="1078">
        <v>5250</v>
      </c>
      <c r="E215" s="1078">
        <v>5520</v>
      </c>
      <c r="F215" s="1096">
        <v>1000</v>
      </c>
      <c r="H215" s="1103"/>
    </row>
    <row r="216" spans="1:8" s="1072" customFormat="1" ht="14.25" customHeight="1" thickBot="1">
      <c r="A216" s="1084" t="s">
        <v>1416</v>
      </c>
      <c r="B216" s="1078" t="s">
        <v>1186</v>
      </c>
      <c r="C216" s="1078">
        <v>5100</v>
      </c>
      <c r="D216" s="1078">
        <v>5050</v>
      </c>
      <c r="E216" s="1078">
        <v>5300</v>
      </c>
      <c r="F216" s="1096">
        <v>950</v>
      </c>
      <c r="H216" s="1103"/>
    </row>
    <row r="217" spans="1:8" s="1072" customFormat="1" ht="14.25" customHeight="1" thickBot="1">
      <c r="A217" s="1084" t="s">
        <v>1416</v>
      </c>
      <c r="B217" s="1078" t="s">
        <v>1196</v>
      </c>
      <c r="C217" s="1078">
        <v>5370</v>
      </c>
      <c r="D217" s="1078">
        <v>5320</v>
      </c>
      <c r="E217" s="1078">
        <v>5410</v>
      </c>
      <c r="F217" s="1096">
        <v>950</v>
      </c>
      <c r="H217" s="1103"/>
    </row>
    <row r="218" spans="1:8" s="1072" customFormat="1" ht="14.25" customHeight="1" thickBot="1">
      <c r="A218" s="1084" t="s">
        <v>1416</v>
      </c>
      <c r="B218" s="1078" t="s">
        <v>1206</v>
      </c>
      <c r="C218" s="1078">
        <v>5540</v>
      </c>
      <c r="D218" s="1078">
        <v>5480</v>
      </c>
      <c r="E218" s="1078">
        <v>5740</v>
      </c>
      <c r="F218" s="1096">
        <v>1020</v>
      </c>
      <c r="H218" s="1103"/>
    </row>
    <row r="219" spans="1:8" s="1072" customFormat="1" ht="14.25" customHeight="1" thickBot="1">
      <c r="A219" s="1084" t="s">
        <v>1416</v>
      </c>
      <c r="B219" s="1078" t="s">
        <v>1216</v>
      </c>
      <c r="C219" s="1078">
        <v>5140</v>
      </c>
      <c r="D219" s="1078">
        <v>5100</v>
      </c>
      <c r="E219" s="1078">
        <v>5350</v>
      </c>
      <c r="F219" s="1096">
        <v>1120</v>
      </c>
      <c r="H219" s="1103"/>
    </row>
    <row r="220" spans="1:8" s="1072" customFormat="1" ht="14.25" customHeight="1" thickBot="1">
      <c r="A220" s="1084" t="s">
        <v>1416</v>
      </c>
      <c r="B220" s="1078" t="s">
        <v>1226</v>
      </c>
      <c r="C220" s="1078">
        <v>5040</v>
      </c>
      <c r="D220" s="1078">
        <v>5000</v>
      </c>
      <c r="E220" s="1078">
        <v>5240</v>
      </c>
      <c r="F220" s="1096">
        <v>980</v>
      </c>
      <c r="H220" s="1103"/>
    </row>
    <row r="221" spans="1:8" s="1072" customFormat="1" ht="14.25" customHeight="1" thickBot="1">
      <c r="A221" s="1084" t="s">
        <v>1416</v>
      </c>
      <c r="B221" s="1078" t="s">
        <v>1236</v>
      </c>
      <c r="C221" s="1106"/>
      <c r="D221" s="1106"/>
      <c r="E221" s="1106"/>
      <c r="F221" s="1096">
        <v>1070</v>
      </c>
      <c r="H221" s="1103"/>
    </row>
    <row r="222" spans="1:8" s="1072" customFormat="1" ht="14.25" customHeight="1" thickBot="1">
      <c r="A222" s="1084" t="s">
        <v>1416</v>
      </c>
      <c r="B222" s="1078" t="s">
        <v>1246</v>
      </c>
      <c r="C222" s="1106"/>
      <c r="D222" s="1106"/>
      <c r="E222" s="1106"/>
      <c r="F222" s="1096">
        <v>870</v>
      </c>
      <c r="H222" s="1103"/>
    </row>
    <row r="223" spans="1:8" s="1072" customFormat="1" ht="14.25" customHeight="1" thickBot="1">
      <c r="A223" s="1084" t="s">
        <v>1416</v>
      </c>
      <c r="B223" s="1078" t="s">
        <v>1256</v>
      </c>
      <c r="C223" s="1106"/>
      <c r="D223" s="1106"/>
      <c r="E223" s="1106"/>
      <c r="F223" s="1096">
        <v>940</v>
      </c>
      <c r="H223" s="1103"/>
    </row>
    <row r="224" spans="1:8" s="1072" customFormat="1" ht="14.25" customHeight="1" thickBot="1">
      <c r="A224" s="1084" t="s">
        <v>1416</v>
      </c>
      <c r="B224" s="1078" t="s">
        <v>1266</v>
      </c>
      <c r="C224" s="1106"/>
      <c r="D224" s="1106"/>
      <c r="E224" s="1106"/>
      <c r="F224" s="1096">
        <v>990</v>
      </c>
      <c r="H224" s="1103"/>
    </row>
    <row r="225" spans="1:8" s="1072" customFormat="1" ht="14.25" customHeight="1" thickBot="1">
      <c r="A225" s="1084" t="s">
        <v>1416</v>
      </c>
      <c r="B225" s="1078" t="s">
        <v>1275</v>
      </c>
      <c r="C225" s="1078">
        <v>5730</v>
      </c>
      <c r="D225" s="1078">
        <v>5680</v>
      </c>
      <c r="E225" s="1078">
        <v>6020</v>
      </c>
      <c r="F225" s="1096">
        <v>1000</v>
      </c>
      <c r="H225" s="1103"/>
    </row>
    <row r="226" spans="1:8" s="1072" customFormat="1" ht="14.25" customHeight="1" thickBot="1">
      <c r="A226" s="1084" t="s">
        <v>1416</v>
      </c>
      <c r="B226" s="1078" t="s">
        <v>1284</v>
      </c>
      <c r="C226" s="1078">
        <v>4970</v>
      </c>
      <c r="D226" s="1078">
        <v>4940</v>
      </c>
      <c r="E226" s="1078">
        <v>5180</v>
      </c>
      <c r="F226" s="1096">
        <v>960</v>
      </c>
      <c r="H226" s="1103"/>
    </row>
    <row r="227" spans="1:8" s="1072" customFormat="1" ht="14.25" customHeight="1" thickBot="1">
      <c r="A227" s="1084" t="s">
        <v>1416</v>
      </c>
      <c r="B227" s="1078" t="s">
        <v>1292</v>
      </c>
      <c r="C227" s="1078">
        <v>5550</v>
      </c>
      <c r="D227" s="1078">
        <v>5500</v>
      </c>
      <c r="E227" s="1078">
        <v>5780</v>
      </c>
      <c r="F227" s="1096">
        <v>940</v>
      </c>
      <c r="H227" s="1103"/>
    </row>
    <row r="228" spans="1:8" s="1072" customFormat="1" ht="14.25" customHeight="1" thickBot="1">
      <c r="A228" s="1084" t="s">
        <v>1416</v>
      </c>
      <c r="B228" s="1078" t="s">
        <v>1299</v>
      </c>
      <c r="C228" s="1078">
        <v>5460</v>
      </c>
      <c r="D228" s="1078">
        <v>5420</v>
      </c>
      <c r="E228" s="1078">
        <v>5690</v>
      </c>
      <c r="F228" s="1096">
        <v>910</v>
      </c>
      <c r="H228" s="1103"/>
    </row>
    <row r="229" spans="1:8" s="1072" customFormat="1" ht="14.25" customHeight="1" thickBot="1">
      <c r="A229" s="1084" t="s">
        <v>1416</v>
      </c>
      <c r="B229" s="1078" t="s">
        <v>1306</v>
      </c>
      <c r="C229" s="1078">
        <v>5310</v>
      </c>
      <c r="D229" s="1078">
        <v>5270</v>
      </c>
      <c r="E229" s="1078">
        <v>5510</v>
      </c>
      <c r="F229" s="1105"/>
      <c r="H229" s="1103"/>
    </row>
    <row r="230" spans="1:8" s="1072" customFormat="1" ht="14.25" customHeight="1" thickBot="1">
      <c r="A230" s="1084" t="s">
        <v>1416</v>
      </c>
      <c r="B230" s="1078" t="s">
        <v>1313</v>
      </c>
      <c r="C230" s="1078">
        <v>4540</v>
      </c>
      <c r="D230" s="1078">
        <v>4500</v>
      </c>
      <c r="E230" s="1078">
        <v>4730</v>
      </c>
      <c r="F230" s="1105"/>
      <c r="H230" s="1103"/>
    </row>
    <row r="231" spans="1:8" s="1072" customFormat="1" ht="14.25" customHeight="1" thickBot="1">
      <c r="A231" s="1084" t="s">
        <v>1416</v>
      </c>
      <c r="B231" s="1078" t="s">
        <v>1320</v>
      </c>
      <c r="C231" s="1078">
        <v>4480</v>
      </c>
      <c r="D231" s="1078">
        <v>4410</v>
      </c>
      <c r="E231" s="1078">
        <v>4640</v>
      </c>
      <c r="F231" s="1105"/>
      <c r="H231" s="1103"/>
    </row>
    <row r="232" spans="1:8" s="1072" customFormat="1" ht="14.25" customHeight="1" thickBot="1">
      <c r="A232" s="1084" t="s">
        <v>1416</v>
      </c>
      <c r="B232" s="1078" t="s">
        <v>1327</v>
      </c>
      <c r="C232" s="1078">
        <v>5670</v>
      </c>
      <c r="D232" s="1078">
        <v>5600</v>
      </c>
      <c r="E232" s="1078">
        <v>5890</v>
      </c>
      <c r="F232" s="1096">
        <v>1150</v>
      </c>
      <c r="H232" s="1103"/>
    </row>
    <row r="233" spans="1:8" s="1072" customFormat="1" ht="14.25" customHeight="1" thickBot="1">
      <c r="A233" s="1084" t="s">
        <v>1416</v>
      </c>
      <c r="B233" s="1078" t="s">
        <v>1334</v>
      </c>
      <c r="C233" s="1078">
        <v>4590</v>
      </c>
      <c r="D233" s="1078">
        <v>4500</v>
      </c>
      <c r="E233" s="1078">
        <v>4600</v>
      </c>
      <c r="F233" s="1105"/>
      <c r="H233" s="1103"/>
    </row>
    <row r="234" spans="1:8" s="1072" customFormat="1" ht="14.25" customHeight="1" thickBot="1">
      <c r="A234" s="1084" t="s">
        <v>1416</v>
      </c>
      <c r="B234" s="1078" t="s">
        <v>2435</v>
      </c>
      <c r="C234" s="1078">
        <v>3990</v>
      </c>
      <c r="D234" s="1078">
        <v>3950</v>
      </c>
      <c r="E234" s="1078">
        <v>4180</v>
      </c>
      <c r="F234" s="1105"/>
      <c r="H234" s="1103"/>
    </row>
    <row r="235" spans="1:8" s="1072" customFormat="1" ht="14.25" customHeight="1" thickBot="1">
      <c r="A235" s="1084" t="s">
        <v>1416</v>
      </c>
      <c r="B235" s="1078" t="s">
        <v>1343</v>
      </c>
      <c r="C235" s="1078">
        <v>5590</v>
      </c>
      <c r="D235" s="1078">
        <v>5540</v>
      </c>
      <c r="E235" s="1078">
        <v>5810</v>
      </c>
      <c r="F235" s="1096">
        <v>970</v>
      </c>
      <c r="H235" s="1103"/>
    </row>
    <row r="236" spans="1:8" s="1072" customFormat="1" ht="14.25" customHeight="1" thickBot="1">
      <c r="A236" s="1084" t="s">
        <v>1416</v>
      </c>
      <c r="B236" s="1078" t="s">
        <v>1348</v>
      </c>
      <c r="C236" s="1078"/>
      <c r="D236" s="1078"/>
      <c r="E236" s="1078"/>
      <c r="F236" s="1096">
        <v>1020</v>
      </c>
      <c r="H236" s="1103"/>
    </row>
    <row r="237" spans="1:8" s="1072" customFormat="1" ht="14.25" customHeight="1" thickBot="1">
      <c r="A237" s="1084" t="s">
        <v>1416</v>
      </c>
      <c r="B237" s="1078" t="s">
        <v>1353</v>
      </c>
      <c r="C237" s="1078"/>
      <c r="D237" s="1078"/>
      <c r="E237" s="1078"/>
      <c r="F237" s="1096">
        <v>960</v>
      </c>
      <c r="H237" s="1103"/>
    </row>
    <row r="238" spans="1:8" s="1072" customFormat="1" ht="14.25" customHeight="1" thickBot="1">
      <c r="A238" s="1084" t="s">
        <v>1416</v>
      </c>
      <c r="B238" s="1078" t="s">
        <v>1358</v>
      </c>
      <c r="C238" s="1078"/>
      <c r="D238" s="1078"/>
      <c r="E238" s="1078"/>
      <c r="F238" s="1096">
        <v>960</v>
      </c>
      <c r="H238" s="1103"/>
    </row>
    <row r="239" spans="1:8" s="1072" customFormat="1" ht="14.25" customHeight="1" thickBot="1">
      <c r="A239" s="1084" t="s">
        <v>1416</v>
      </c>
      <c r="B239" s="1078" t="s">
        <v>1363</v>
      </c>
      <c r="C239" s="1078"/>
      <c r="D239" s="1078"/>
      <c r="E239" s="1078"/>
      <c r="F239" s="1096">
        <v>960</v>
      </c>
      <c r="H239" s="1103"/>
    </row>
    <row r="240" spans="1:8" s="1072" customFormat="1" ht="14.25" customHeight="1" thickBot="1">
      <c r="A240" s="1084" t="s">
        <v>1416</v>
      </c>
      <c r="B240" s="1078" t="s">
        <v>1367</v>
      </c>
      <c r="C240" s="1078"/>
      <c r="D240" s="1078"/>
      <c r="E240" s="1078"/>
      <c r="F240" s="1096">
        <v>990</v>
      </c>
      <c r="H240" s="1103"/>
    </row>
    <row r="241" spans="1:8" s="1072" customFormat="1" ht="14.25" customHeight="1" thickBot="1">
      <c r="A241" s="1084" t="s">
        <v>1416</v>
      </c>
      <c r="B241" s="1078" t="s">
        <v>1371</v>
      </c>
      <c r="C241" s="1078"/>
      <c r="D241" s="1078"/>
      <c r="E241" s="1078"/>
      <c r="F241" s="1096">
        <v>1000</v>
      </c>
      <c r="H241" s="1103"/>
    </row>
    <row r="242" spans="1:8" s="1072" customFormat="1" ht="14.25" customHeight="1" thickBot="1">
      <c r="A242" s="1084" t="s">
        <v>1416</v>
      </c>
      <c r="B242" s="1078" t="s">
        <v>1375</v>
      </c>
      <c r="C242" s="1078"/>
      <c r="D242" s="1078"/>
      <c r="E242" s="1078"/>
      <c r="F242" s="1096">
        <v>980</v>
      </c>
      <c r="H242" s="1103"/>
    </row>
    <row r="243" spans="1:8" s="1072" customFormat="1" ht="14.25" customHeight="1" thickBot="1">
      <c r="A243" s="1084" t="s">
        <v>1416</v>
      </c>
      <c r="B243" s="1078" t="s">
        <v>1379</v>
      </c>
      <c r="C243" s="1078"/>
      <c r="D243" s="1078"/>
      <c r="E243" s="1078"/>
      <c r="F243" s="1096">
        <v>970</v>
      </c>
      <c r="H243" s="1103"/>
    </row>
    <row r="244" spans="1:8" s="1072" customFormat="1" ht="14.25" customHeight="1" thickBot="1">
      <c r="A244" s="1084" t="s">
        <v>1416</v>
      </c>
      <c r="B244" s="1094" t="s">
        <v>1383</v>
      </c>
      <c r="C244" s="1094"/>
      <c r="D244" s="1094"/>
      <c r="E244" s="1094"/>
      <c r="F244" s="1104">
        <v>970</v>
      </c>
      <c r="H244" s="1103"/>
    </row>
    <row r="245" spans="1:8" s="1072" customFormat="1" ht="14.25" customHeight="1" thickBot="1">
      <c r="A245" s="1084" t="s">
        <v>1418</v>
      </c>
      <c r="B245" s="1085" t="s">
        <v>1419</v>
      </c>
      <c r="C245" s="1085">
        <v>4050</v>
      </c>
      <c r="D245" s="1085">
        <v>4020</v>
      </c>
      <c r="E245" s="1085">
        <v>4160</v>
      </c>
      <c r="F245" s="1086">
        <v>840</v>
      </c>
      <c r="H245" s="1103"/>
    </row>
    <row r="246" spans="1:8" s="1072" customFormat="1" ht="14.25" customHeight="1" thickBot="1">
      <c r="A246" s="1084" t="s">
        <v>1418</v>
      </c>
      <c r="B246" s="1078" t="s">
        <v>1081</v>
      </c>
      <c r="C246" s="1078">
        <v>4010</v>
      </c>
      <c r="D246" s="1078">
        <v>3960</v>
      </c>
      <c r="E246" s="1078">
        <v>4130</v>
      </c>
      <c r="F246" s="1096">
        <v>840</v>
      </c>
      <c r="H246" s="1103"/>
    </row>
    <row r="247" spans="1:8" s="1072" customFormat="1" ht="14.25" customHeight="1" thickBot="1">
      <c r="A247" s="1084" t="s">
        <v>1418</v>
      </c>
      <c r="B247" s="1078" t="s">
        <v>1420</v>
      </c>
      <c r="C247" s="1078">
        <v>3170</v>
      </c>
      <c r="D247" s="1078">
        <v>3140</v>
      </c>
      <c r="E247" s="1078">
        <v>3270</v>
      </c>
      <c r="F247" s="1096">
        <v>640</v>
      </c>
      <c r="H247" s="1103"/>
    </row>
    <row r="248" spans="1:8" s="1072" customFormat="1" ht="14.25" customHeight="1" thickBot="1">
      <c r="A248" s="1084" t="s">
        <v>1418</v>
      </c>
      <c r="B248" s="1078" t="s">
        <v>1421</v>
      </c>
      <c r="C248" s="1078">
        <v>3140</v>
      </c>
      <c r="D248" s="1078">
        <v>3120</v>
      </c>
      <c r="E248" s="1078">
        <v>3240</v>
      </c>
      <c r="F248" s="1096">
        <v>620</v>
      </c>
      <c r="H248" s="1103"/>
    </row>
    <row r="249" spans="1:8" s="1072" customFormat="1" ht="14.25" customHeight="1" thickBot="1">
      <c r="A249" s="1084" t="s">
        <v>1418</v>
      </c>
      <c r="B249" s="1078" t="s">
        <v>1122</v>
      </c>
      <c r="C249" s="1078">
        <v>3200</v>
      </c>
      <c r="D249" s="1078">
        <v>3100</v>
      </c>
      <c r="E249" s="1078">
        <v>3230</v>
      </c>
      <c r="F249" s="1096">
        <v>750</v>
      </c>
      <c r="H249" s="1103"/>
    </row>
    <row r="250" spans="1:8" s="1072" customFormat="1" ht="14.25" customHeight="1" thickBot="1">
      <c r="A250" s="1084" t="s">
        <v>1418</v>
      </c>
      <c r="B250" s="1078" t="s">
        <v>1133</v>
      </c>
      <c r="C250" s="1078">
        <v>4060</v>
      </c>
      <c r="D250" s="1078">
        <v>4000</v>
      </c>
      <c r="E250" s="1078">
        <v>4140</v>
      </c>
      <c r="F250" s="1096">
        <v>790</v>
      </c>
      <c r="H250" s="1103"/>
    </row>
    <row r="251" spans="1:8" s="1072" customFormat="1" ht="14.25" customHeight="1" thickBot="1">
      <c r="A251" s="1084" t="s">
        <v>1418</v>
      </c>
      <c r="B251" s="1078" t="s">
        <v>1144</v>
      </c>
      <c r="C251" s="1078">
        <v>3990</v>
      </c>
      <c r="D251" s="1078">
        <v>3970</v>
      </c>
      <c r="E251" s="1078">
        <v>4110</v>
      </c>
      <c r="F251" s="1096">
        <v>730</v>
      </c>
      <c r="H251" s="1103"/>
    </row>
    <row r="252" spans="1:8" s="1072" customFormat="1" ht="14.25" customHeight="1" thickBot="1">
      <c r="A252" s="1084" t="s">
        <v>1418</v>
      </c>
      <c r="B252" s="1078" t="s">
        <v>1155</v>
      </c>
      <c r="C252" s="1078">
        <v>3560</v>
      </c>
      <c r="D252" s="1078">
        <v>3530</v>
      </c>
      <c r="E252" s="1078">
        <v>3650</v>
      </c>
      <c r="F252" s="1096">
        <v>750</v>
      </c>
      <c r="H252" s="1103"/>
    </row>
    <row r="253" spans="1:8" s="1072" customFormat="1" ht="14.25" customHeight="1" thickBot="1">
      <c r="A253" s="1084" t="s">
        <v>1418</v>
      </c>
      <c r="B253" s="1078" t="s">
        <v>1167</v>
      </c>
      <c r="C253" s="1078">
        <v>3780</v>
      </c>
      <c r="D253" s="1078">
        <v>3750</v>
      </c>
      <c r="E253" s="1078">
        <v>3870</v>
      </c>
      <c r="F253" s="1096">
        <v>770</v>
      </c>
      <c r="H253" s="1103"/>
    </row>
    <row r="254" spans="1:8" s="1072" customFormat="1" ht="14.25" customHeight="1" thickBot="1">
      <c r="A254" s="1084" t="s">
        <v>1418</v>
      </c>
      <c r="B254" s="1078" t="s">
        <v>1177</v>
      </c>
      <c r="C254" s="1106"/>
      <c r="D254" s="1106"/>
      <c r="E254" s="1106"/>
      <c r="F254" s="1096">
        <v>740</v>
      </c>
      <c r="H254" s="1103"/>
    </row>
    <row r="255" spans="1:8" s="1072" customFormat="1" ht="14.25" customHeight="1" thickBot="1">
      <c r="A255" s="1084" t="s">
        <v>1418</v>
      </c>
      <c r="B255" s="1078" t="s">
        <v>1187</v>
      </c>
      <c r="C255" s="1106"/>
      <c r="D255" s="1106"/>
      <c r="E255" s="1106"/>
      <c r="F255" s="1096">
        <v>760</v>
      </c>
      <c r="H255" s="1103"/>
    </row>
    <row r="256" spans="1:8" s="1072" customFormat="1" ht="14.25" customHeight="1" thickBot="1">
      <c r="A256" s="1084" t="s">
        <v>1418</v>
      </c>
      <c r="B256" s="1078" t="s">
        <v>1197</v>
      </c>
      <c r="C256" s="1078">
        <v>3760</v>
      </c>
      <c r="D256" s="1078">
        <v>3730</v>
      </c>
      <c r="E256" s="1078">
        <v>3870</v>
      </c>
      <c r="F256" s="1096">
        <v>830</v>
      </c>
      <c r="H256" s="1103"/>
    </row>
    <row r="257" spans="1:8" s="1072" customFormat="1" ht="14.25" customHeight="1" thickBot="1">
      <c r="A257" s="1084" t="s">
        <v>1418</v>
      </c>
      <c r="B257" s="1078" t="s">
        <v>1207</v>
      </c>
      <c r="C257" s="1078">
        <v>3570</v>
      </c>
      <c r="D257" s="1078">
        <v>3540</v>
      </c>
      <c r="E257" s="1078">
        <v>3650</v>
      </c>
      <c r="F257" s="1096">
        <v>790</v>
      </c>
      <c r="H257" s="1103"/>
    </row>
    <row r="258" spans="1:8" s="1072" customFormat="1" ht="14.25" customHeight="1" thickBot="1">
      <c r="A258" s="1084" t="s">
        <v>1418</v>
      </c>
      <c r="B258" s="1078" t="s">
        <v>1217</v>
      </c>
      <c r="C258" s="1078">
        <v>3410</v>
      </c>
      <c r="D258" s="1078">
        <v>3380</v>
      </c>
      <c r="E258" s="1078">
        <v>3500</v>
      </c>
      <c r="F258" s="1096">
        <v>830</v>
      </c>
      <c r="H258" s="1103"/>
    </row>
    <row r="259" spans="1:8" s="1072" customFormat="1" ht="14.25" customHeight="1" thickBot="1">
      <c r="A259" s="1084" t="s">
        <v>1418</v>
      </c>
      <c r="B259" s="1078" t="s">
        <v>1227</v>
      </c>
      <c r="C259" s="1078">
        <v>3870</v>
      </c>
      <c r="D259" s="1078">
        <v>3840</v>
      </c>
      <c r="E259" s="1078">
        <v>3970</v>
      </c>
      <c r="F259" s="1096">
        <v>830</v>
      </c>
      <c r="H259" s="1103"/>
    </row>
    <row r="260" spans="1:8" s="1072" customFormat="1" ht="14.25" customHeight="1" thickBot="1">
      <c r="A260" s="1084" t="s">
        <v>1418</v>
      </c>
      <c r="B260" s="1078" t="s">
        <v>1237</v>
      </c>
      <c r="C260" s="1078">
        <v>3700</v>
      </c>
      <c r="D260" s="1078">
        <v>3660</v>
      </c>
      <c r="E260" s="1078">
        <v>3810</v>
      </c>
      <c r="F260" s="1096">
        <v>790</v>
      </c>
      <c r="H260" s="1103"/>
    </row>
    <row r="261" spans="1:8" s="1072" customFormat="1" ht="14.25" customHeight="1" thickBot="1">
      <c r="A261" s="1084" t="s">
        <v>1418</v>
      </c>
      <c r="B261" s="1078" t="s">
        <v>1247</v>
      </c>
      <c r="C261" s="1078">
        <v>3470</v>
      </c>
      <c r="D261" s="1078">
        <v>3430</v>
      </c>
      <c r="E261" s="1078">
        <v>3640</v>
      </c>
      <c r="F261" s="1096">
        <v>760</v>
      </c>
      <c r="H261" s="1103"/>
    </row>
    <row r="262" spans="1:8" s="1072" customFormat="1" ht="14.25" customHeight="1" thickBot="1">
      <c r="A262" s="1084" t="s">
        <v>1418</v>
      </c>
      <c r="B262" s="1078" t="s">
        <v>1257</v>
      </c>
      <c r="C262" s="1078">
        <v>3510</v>
      </c>
      <c r="D262" s="1078">
        <v>3470</v>
      </c>
      <c r="E262" s="1078">
        <v>3680</v>
      </c>
      <c r="F262" s="1105"/>
      <c r="H262" s="1103"/>
    </row>
    <row r="263" spans="1:8" s="1072" customFormat="1" ht="14.25" customHeight="1" thickBot="1">
      <c r="A263" s="1084" t="s">
        <v>1418</v>
      </c>
      <c r="B263" s="1078" t="s">
        <v>1267</v>
      </c>
      <c r="C263" s="1078">
        <v>3960</v>
      </c>
      <c r="D263" s="1078">
        <v>3930</v>
      </c>
      <c r="E263" s="1078">
        <v>4070</v>
      </c>
      <c r="F263" s="1096">
        <v>830</v>
      </c>
      <c r="H263" s="1103"/>
    </row>
    <row r="264" spans="1:8" s="1072" customFormat="1" ht="14.25" customHeight="1" thickBot="1">
      <c r="A264" s="1084" t="s">
        <v>1418</v>
      </c>
      <c r="B264" s="1078" t="s">
        <v>1276</v>
      </c>
      <c r="C264" s="1078">
        <v>4010</v>
      </c>
      <c r="D264" s="1078">
        <v>3980</v>
      </c>
      <c r="E264" s="1078">
        <v>4150</v>
      </c>
      <c r="F264" s="1096">
        <v>760</v>
      </c>
      <c r="H264" s="1103"/>
    </row>
    <row r="265" spans="1:8" s="1072" customFormat="1" ht="14.25" customHeight="1" thickBot="1">
      <c r="A265" s="1084" t="s">
        <v>1418</v>
      </c>
      <c r="B265" s="1078" t="s">
        <v>1285</v>
      </c>
      <c r="C265" s="1078">
        <v>3910</v>
      </c>
      <c r="D265" s="1078">
        <v>3890</v>
      </c>
      <c r="E265" s="1078">
        <v>4040</v>
      </c>
      <c r="F265" s="1096">
        <v>780</v>
      </c>
      <c r="H265" s="1103"/>
    </row>
    <row r="266" spans="1:8" s="1072" customFormat="1" ht="14.25" customHeight="1" thickBot="1">
      <c r="A266" s="1084" t="s">
        <v>1418</v>
      </c>
      <c r="B266" s="1078" t="s">
        <v>1293</v>
      </c>
      <c r="C266" s="1078">
        <v>3930</v>
      </c>
      <c r="D266" s="1078">
        <v>3900</v>
      </c>
      <c r="E266" s="1078">
        <v>4080</v>
      </c>
      <c r="F266" s="1096">
        <v>770</v>
      </c>
      <c r="H266" s="1103"/>
    </row>
    <row r="267" spans="1:8" s="1072" customFormat="1" ht="14.25" customHeight="1" thickBot="1">
      <c r="A267" s="1084" t="s">
        <v>1418</v>
      </c>
      <c r="B267" s="1078" t="s">
        <v>1300</v>
      </c>
      <c r="C267" s="1078">
        <v>3800</v>
      </c>
      <c r="D267" s="1078">
        <v>3780</v>
      </c>
      <c r="E267" s="1078">
        <v>3930</v>
      </c>
      <c r="F267" s="1105"/>
      <c r="H267" s="1103"/>
    </row>
    <row r="268" spans="1:8" s="1072" customFormat="1" ht="14.25" customHeight="1" thickBot="1">
      <c r="A268" s="1084" t="s">
        <v>1418</v>
      </c>
      <c r="B268" s="1078" t="s">
        <v>1307</v>
      </c>
      <c r="C268" s="1078">
        <v>3460</v>
      </c>
      <c r="D268" s="1078">
        <v>3430</v>
      </c>
      <c r="E268" s="1078">
        <v>3560</v>
      </c>
      <c r="F268" s="1096">
        <v>840</v>
      </c>
      <c r="H268" s="1103"/>
    </row>
    <row r="269" spans="1:8" s="1072" customFormat="1" ht="14.25" customHeight="1" thickBot="1">
      <c r="A269" s="1084" t="s">
        <v>1418</v>
      </c>
      <c r="B269" s="1078" t="s">
        <v>1314</v>
      </c>
      <c r="C269" s="1078">
        <v>3210</v>
      </c>
      <c r="D269" s="1078">
        <v>3190</v>
      </c>
      <c r="E269" s="1078">
        <v>3310</v>
      </c>
      <c r="F269" s="1096">
        <v>730</v>
      </c>
      <c r="H269" s="1103"/>
    </row>
    <row r="270" spans="1:8" s="1072" customFormat="1" ht="14.25" customHeight="1" thickBot="1">
      <c r="A270" s="1084" t="s">
        <v>1418</v>
      </c>
      <c r="B270" s="1078" t="s">
        <v>1321</v>
      </c>
      <c r="C270" s="1078">
        <v>3240</v>
      </c>
      <c r="D270" s="1078">
        <v>3210</v>
      </c>
      <c r="E270" s="1078">
        <v>3390</v>
      </c>
      <c r="F270" s="1096">
        <v>820</v>
      </c>
      <c r="H270" s="1103"/>
    </row>
    <row r="271" spans="1:8" s="1072" customFormat="1" ht="14.25" customHeight="1" thickBot="1">
      <c r="A271" s="1084" t="s">
        <v>1418</v>
      </c>
      <c r="B271" s="1078" t="s">
        <v>1328</v>
      </c>
      <c r="C271" s="1078">
        <v>3300</v>
      </c>
      <c r="D271" s="1078">
        <v>3270</v>
      </c>
      <c r="E271" s="1078">
        <v>3380</v>
      </c>
      <c r="F271" s="1096">
        <v>750</v>
      </c>
      <c r="H271" s="1103"/>
    </row>
    <row r="272" spans="1:8" s="1072" customFormat="1" ht="14.25" customHeight="1" thickBot="1">
      <c r="A272" s="1084" t="s">
        <v>1418</v>
      </c>
      <c r="B272" s="1078" t="s">
        <v>1335</v>
      </c>
      <c r="C272" s="1106"/>
      <c r="D272" s="1106"/>
      <c r="E272" s="1106"/>
      <c r="F272" s="1096">
        <v>740</v>
      </c>
      <c r="H272" s="1103"/>
    </row>
    <row r="273" spans="1:8" s="1072" customFormat="1" ht="14.25" customHeight="1" thickBot="1">
      <c r="A273" s="1084" t="s">
        <v>1418</v>
      </c>
      <c r="B273" s="1078" t="s">
        <v>1339</v>
      </c>
      <c r="C273" s="1078">
        <v>3130</v>
      </c>
      <c r="D273" s="1078">
        <v>3100</v>
      </c>
      <c r="E273" s="1078">
        <v>3230</v>
      </c>
      <c r="F273" s="1096">
        <v>700</v>
      </c>
      <c r="H273" s="1103"/>
    </row>
    <row r="274" spans="1:8" s="1072" customFormat="1" ht="14.25" customHeight="1" thickBot="1">
      <c r="A274" s="1084" t="s">
        <v>1418</v>
      </c>
      <c r="B274" s="1078" t="s">
        <v>1344</v>
      </c>
      <c r="C274" s="1078">
        <v>3460</v>
      </c>
      <c r="D274" s="1078">
        <v>3430</v>
      </c>
      <c r="E274" s="1078">
        <v>3560</v>
      </c>
      <c r="F274" s="1096">
        <v>690</v>
      </c>
      <c r="H274" s="1103"/>
    </row>
    <row r="275" spans="1:8" s="1072" customFormat="1" ht="14.25" customHeight="1" thickBot="1">
      <c r="A275" s="1084" t="s">
        <v>1418</v>
      </c>
      <c r="B275" s="1078" t="s">
        <v>1349</v>
      </c>
      <c r="C275" s="1078">
        <v>4040</v>
      </c>
      <c r="D275" s="1078">
        <v>4020</v>
      </c>
      <c r="E275" s="1078">
        <v>4160</v>
      </c>
      <c r="F275" s="1096">
        <v>820</v>
      </c>
      <c r="H275" s="1103"/>
    </row>
    <row r="276" spans="1:8" s="1072" customFormat="1" ht="14.25" customHeight="1" thickBot="1">
      <c r="A276" s="1084" t="s">
        <v>1418</v>
      </c>
      <c r="B276" s="1078" t="s">
        <v>1354</v>
      </c>
      <c r="C276" s="1078">
        <v>3270</v>
      </c>
      <c r="D276" s="1078">
        <v>3240</v>
      </c>
      <c r="E276" s="1078">
        <v>3350</v>
      </c>
      <c r="F276" s="1096">
        <v>680</v>
      </c>
      <c r="H276" s="1103"/>
    </row>
    <row r="277" spans="1:8" s="1072" customFormat="1" ht="14.25" customHeight="1" thickBot="1">
      <c r="A277" s="1084" t="s">
        <v>1418</v>
      </c>
      <c r="B277" s="1078" t="s">
        <v>1359</v>
      </c>
      <c r="C277" s="1078">
        <v>2930</v>
      </c>
      <c r="D277" s="1078">
        <v>2900</v>
      </c>
      <c r="E277" s="1078">
        <v>3000</v>
      </c>
      <c r="F277" s="1096">
        <v>640</v>
      </c>
      <c r="H277" s="1103"/>
    </row>
    <row r="278" spans="1:8" s="1072" customFormat="1" ht="14.25" customHeight="1" thickBot="1">
      <c r="A278" s="1084" t="s">
        <v>1418</v>
      </c>
      <c r="B278" s="1078" t="s">
        <v>1364</v>
      </c>
      <c r="C278" s="1078">
        <v>4080</v>
      </c>
      <c r="D278" s="1078">
        <v>4030</v>
      </c>
      <c r="E278" s="1078">
        <v>4140</v>
      </c>
      <c r="F278" s="1096">
        <v>850</v>
      </c>
      <c r="H278" s="1103"/>
    </row>
    <row r="279" spans="1:8" s="1072" customFormat="1" ht="14.25" customHeight="1" thickBot="1">
      <c r="A279" s="1084" t="s">
        <v>1418</v>
      </c>
      <c r="B279" s="1078" t="s">
        <v>1368</v>
      </c>
      <c r="C279" s="1078"/>
      <c r="D279" s="1078"/>
      <c r="E279" s="1078"/>
      <c r="F279" s="1096">
        <v>760</v>
      </c>
      <c r="H279" s="1103"/>
    </row>
    <row r="280" spans="1:8" s="1072" customFormat="1" ht="14.25" customHeight="1" thickBot="1">
      <c r="A280" s="1084" t="s">
        <v>1418</v>
      </c>
      <c r="B280" s="1078" t="s">
        <v>1372</v>
      </c>
      <c r="C280" s="1078"/>
      <c r="D280" s="1078"/>
      <c r="E280" s="1078"/>
      <c r="F280" s="1096">
        <v>760</v>
      </c>
      <c r="H280" s="1103"/>
    </row>
    <row r="281" spans="1:8" s="1072" customFormat="1" ht="14.25" customHeight="1" thickBot="1">
      <c r="A281" s="1084" t="s">
        <v>1418</v>
      </c>
      <c r="B281" s="1078" t="s">
        <v>1376</v>
      </c>
      <c r="C281" s="1078"/>
      <c r="D281" s="1078"/>
      <c r="E281" s="1078"/>
      <c r="F281" s="1096">
        <v>780</v>
      </c>
      <c r="H281" s="1103"/>
    </row>
    <row r="282" spans="1:8" s="1072" customFormat="1" ht="14.25" customHeight="1" thickBot="1">
      <c r="A282" s="1084" t="s">
        <v>1418</v>
      </c>
      <c r="B282" s="1078" t="s">
        <v>1380</v>
      </c>
      <c r="C282" s="1078"/>
      <c r="D282" s="1078"/>
      <c r="E282" s="1078"/>
      <c r="F282" s="1096">
        <v>730</v>
      </c>
      <c r="H282" s="1103"/>
    </row>
    <row r="283" spans="1:8" s="1072" customFormat="1" ht="14.25" customHeight="1" thickBot="1">
      <c r="A283" s="1084" t="s">
        <v>1418</v>
      </c>
      <c r="B283" s="1078" t="s">
        <v>1384</v>
      </c>
      <c r="C283" s="1078"/>
      <c r="D283" s="1078"/>
      <c r="E283" s="1078"/>
      <c r="F283" s="1096">
        <v>770</v>
      </c>
      <c r="H283" s="1103"/>
    </row>
    <row r="284" spans="1:8" s="1072" customFormat="1" ht="14.25" customHeight="1" thickBot="1">
      <c r="A284" s="1084" t="s">
        <v>1418</v>
      </c>
      <c r="B284" s="1078" t="s">
        <v>1387</v>
      </c>
      <c r="C284" s="1078"/>
      <c r="D284" s="1078"/>
      <c r="E284" s="1078"/>
      <c r="F284" s="1096">
        <v>640</v>
      </c>
      <c r="H284" s="1103"/>
    </row>
    <row r="285" spans="1:8" s="1072" customFormat="1" ht="14.25" customHeight="1" thickBot="1">
      <c r="A285" s="1084" t="s">
        <v>1418</v>
      </c>
      <c r="B285" s="1078" t="s">
        <v>1390</v>
      </c>
      <c r="C285" s="1078"/>
      <c r="D285" s="1078"/>
      <c r="E285" s="1078"/>
      <c r="F285" s="1096">
        <v>640</v>
      </c>
      <c r="H285" s="1103"/>
    </row>
    <row r="286" spans="1:8" s="1072" customFormat="1" ht="14.25" customHeight="1" thickBot="1">
      <c r="A286" s="1084" t="s">
        <v>1418</v>
      </c>
      <c r="B286" s="1078" t="s">
        <v>1393</v>
      </c>
      <c r="C286" s="1078"/>
      <c r="D286" s="1078"/>
      <c r="E286" s="1078"/>
      <c r="F286" s="1096">
        <v>850</v>
      </c>
      <c r="H286" s="1103"/>
    </row>
    <row r="287" spans="1:8" s="1072" customFormat="1" ht="14.25" customHeight="1" thickBot="1">
      <c r="A287" s="1084" t="s">
        <v>1418</v>
      </c>
      <c r="B287" s="1078" t="s">
        <v>1396</v>
      </c>
      <c r="C287" s="1078"/>
      <c r="D287" s="1078"/>
      <c r="E287" s="1078"/>
      <c r="F287" s="1096">
        <v>760</v>
      </c>
      <c r="H287" s="1103"/>
    </row>
    <row r="288" spans="1:8" s="1072" customFormat="1" ht="14.25" customHeight="1" thickBot="1">
      <c r="A288" s="1084" t="s">
        <v>1418</v>
      </c>
      <c r="B288" s="1078" t="s">
        <v>1399</v>
      </c>
      <c r="C288" s="1078"/>
      <c r="D288" s="1078"/>
      <c r="E288" s="1078"/>
      <c r="F288" s="1096">
        <v>830</v>
      </c>
      <c r="H288" s="1103"/>
    </row>
    <row r="289" spans="1:8" s="1072" customFormat="1" ht="14.25" customHeight="1" thickBot="1">
      <c r="A289" s="1084" t="s">
        <v>1418</v>
      </c>
      <c r="B289" s="1094" t="s">
        <v>1402</v>
      </c>
      <c r="C289" s="1094"/>
      <c r="D289" s="1094"/>
      <c r="E289" s="1094"/>
      <c r="F289" s="1104">
        <v>680</v>
      </c>
      <c r="H289" s="1103"/>
    </row>
    <row r="290" spans="1:8" s="1072" customFormat="1" ht="14.25" customHeight="1" thickBot="1">
      <c r="A290" s="1084" t="s">
        <v>1422</v>
      </c>
      <c r="B290" s="1085" t="s">
        <v>1423</v>
      </c>
      <c r="C290" s="1085">
        <v>2770</v>
      </c>
      <c r="D290" s="1085">
        <v>2740</v>
      </c>
      <c r="E290" s="1085">
        <v>2720</v>
      </c>
      <c r="F290" s="1107"/>
      <c r="H290" s="1103"/>
    </row>
    <row r="291" spans="1:8" s="1072" customFormat="1" ht="14.25" customHeight="1" thickBot="1">
      <c r="A291" s="1084" t="s">
        <v>1422</v>
      </c>
      <c r="B291" s="1078" t="s">
        <v>1082</v>
      </c>
      <c r="C291" s="1078">
        <v>2670</v>
      </c>
      <c r="D291" s="1078">
        <v>2640</v>
      </c>
      <c r="E291" s="1078">
        <v>2620</v>
      </c>
      <c r="F291" s="1105"/>
      <c r="H291" s="1103"/>
    </row>
    <row r="292" spans="1:8" s="1072" customFormat="1" ht="14.25" customHeight="1" thickBot="1">
      <c r="A292" s="1084" t="s">
        <v>1422</v>
      </c>
      <c r="B292" s="1078" t="s">
        <v>1424</v>
      </c>
      <c r="C292" s="1078">
        <v>2180</v>
      </c>
      <c r="D292" s="1078">
        <v>2140</v>
      </c>
      <c r="E292" s="1078">
        <v>2120</v>
      </c>
      <c r="F292" s="1096">
        <v>490</v>
      </c>
      <c r="H292" s="1103"/>
    </row>
    <row r="293" spans="1:8" s="1072" customFormat="1" ht="14.25" customHeight="1" thickBot="1">
      <c r="A293" s="1084" t="s">
        <v>1422</v>
      </c>
      <c r="B293" s="1078" t="s">
        <v>1425</v>
      </c>
      <c r="C293" s="1078"/>
      <c r="D293" s="1078"/>
      <c r="E293" s="1078"/>
      <c r="F293" s="1096">
        <v>470</v>
      </c>
      <c r="H293" s="1103"/>
    </row>
    <row r="294" spans="1:8" s="1072" customFormat="1" ht="14.25" customHeight="1" thickBot="1">
      <c r="A294" s="1084" t="s">
        <v>1422</v>
      </c>
      <c r="B294" s="1078" t="s">
        <v>1426</v>
      </c>
      <c r="C294" s="1078">
        <v>2730</v>
      </c>
      <c r="D294" s="1078">
        <v>2700</v>
      </c>
      <c r="E294" s="1078">
        <v>2680</v>
      </c>
      <c r="F294" s="1096">
        <v>490</v>
      </c>
      <c r="H294" s="1103"/>
    </row>
    <row r="295" spans="1:8" s="1072" customFormat="1" ht="14.25" customHeight="1" thickBot="1">
      <c r="A295" s="1084" t="s">
        <v>1422</v>
      </c>
      <c r="B295" s="1078" t="s">
        <v>1123</v>
      </c>
      <c r="C295" s="1078">
        <v>2380</v>
      </c>
      <c r="D295" s="1078">
        <v>2350</v>
      </c>
      <c r="E295" s="1078">
        <v>2330</v>
      </c>
      <c r="F295" s="1096">
        <v>530</v>
      </c>
      <c r="H295" s="1103"/>
    </row>
    <row r="296" spans="1:8" s="1072" customFormat="1" ht="14.25" customHeight="1" thickBot="1">
      <c r="A296" s="1084" t="s">
        <v>1422</v>
      </c>
      <c r="B296" s="1078" t="s">
        <v>1134</v>
      </c>
      <c r="C296" s="1078">
        <v>2650</v>
      </c>
      <c r="D296" s="1078">
        <v>2620</v>
      </c>
      <c r="E296" s="1078">
        <v>2590</v>
      </c>
      <c r="F296" s="1096">
        <v>590</v>
      </c>
      <c r="H296" s="1103"/>
    </row>
    <row r="297" spans="1:8" s="1072" customFormat="1" ht="14.25" customHeight="1" thickBot="1">
      <c r="A297" s="1084" t="s">
        <v>1422</v>
      </c>
      <c r="B297" s="1078" t="s">
        <v>1145</v>
      </c>
      <c r="C297" s="1078">
        <v>2700</v>
      </c>
      <c r="D297" s="1078">
        <v>2670</v>
      </c>
      <c r="E297" s="1078">
        <v>2650</v>
      </c>
      <c r="F297" s="1096">
        <v>630</v>
      </c>
      <c r="H297" s="1103"/>
    </row>
    <row r="298" spans="1:8" s="1072" customFormat="1" ht="14.25" customHeight="1" thickBot="1">
      <c r="A298" s="1084" t="s">
        <v>1422</v>
      </c>
      <c r="B298" s="1078" t="s">
        <v>1156</v>
      </c>
      <c r="C298" s="1078">
        <v>2650</v>
      </c>
      <c r="D298" s="1078">
        <v>2620</v>
      </c>
      <c r="E298" s="1078">
        <v>2590</v>
      </c>
      <c r="F298" s="1096">
        <v>640</v>
      </c>
      <c r="H298" s="1103"/>
    </row>
    <row r="299" spans="1:8" s="1072" customFormat="1" ht="14.25" customHeight="1" thickBot="1">
      <c r="A299" s="1084" t="s">
        <v>1422</v>
      </c>
      <c r="B299" s="1078" t="s">
        <v>1168</v>
      </c>
      <c r="C299" s="1078">
        <v>2500</v>
      </c>
      <c r="D299" s="1078">
        <v>2480</v>
      </c>
      <c r="E299" s="1078">
        <v>2460</v>
      </c>
      <c r="F299" s="1105"/>
      <c r="H299" s="1103"/>
    </row>
    <row r="300" spans="1:8" s="1072" customFormat="1" ht="14.25" customHeight="1" thickBot="1">
      <c r="A300" s="1084" t="s">
        <v>1422</v>
      </c>
      <c r="B300" s="1078" t="s">
        <v>1178</v>
      </c>
      <c r="C300" s="1078">
        <v>2760</v>
      </c>
      <c r="D300" s="1078">
        <v>2730</v>
      </c>
      <c r="E300" s="1078">
        <v>2700</v>
      </c>
      <c r="F300" s="1096">
        <v>630</v>
      </c>
      <c r="H300" s="1103"/>
    </row>
    <row r="301" spans="1:8" s="1072" customFormat="1" ht="14.25" customHeight="1" thickBot="1">
      <c r="A301" s="1084" t="s">
        <v>1422</v>
      </c>
      <c r="B301" s="1078" t="s">
        <v>1188</v>
      </c>
      <c r="C301" s="1078">
        <v>2510</v>
      </c>
      <c r="D301" s="1078">
        <v>2480</v>
      </c>
      <c r="E301" s="1078">
        <v>2460</v>
      </c>
      <c r="F301" s="1105"/>
      <c r="H301" s="1103"/>
    </row>
    <row r="302" spans="1:8" s="1072" customFormat="1" ht="14.25" customHeight="1" thickBot="1">
      <c r="A302" s="1084" t="s">
        <v>1422</v>
      </c>
      <c r="B302" s="1078" t="s">
        <v>1198</v>
      </c>
      <c r="C302" s="1078">
        <v>2480</v>
      </c>
      <c r="D302" s="1078">
        <v>2450</v>
      </c>
      <c r="E302" s="1078">
        <v>2420</v>
      </c>
      <c r="F302" s="1096">
        <v>600</v>
      </c>
      <c r="H302" s="1103"/>
    </row>
    <row r="303" spans="1:8" s="1072" customFormat="1" ht="14.25" customHeight="1" thickBot="1">
      <c r="A303" s="1084" t="s">
        <v>1422</v>
      </c>
      <c r="B303" s="1078" t="s">
        <v>1208</v>
      </c>
      <c r="C303" s="1078">
        <v>2270</v>
      </c>
      <c r="D303" s="1078">
        <v>2240</v>
      </c>
      <c r="E303" s="1078">
        <v>2210</v>
      </c>
      <c r="F303" s="1096">
        <v>540</v>
      </c>
      <c r="H303" s="1103"/>
    </row>
    <row r="304" spans="1:8" s="1072" customFormat="1" ht="14.25" customHeight="1" thickBot="1">
      <c r="A304" s="1084" t="s">
        <v>1422</v>
      </c>
      <c r="B304" s="1078" t="s">
        <v>1218</v>
      </c>
      <c r="C304" s="1078">
        <v>2310</v>
      </c>
      <c r="D304" s="1078">
        <v>2290</v>
      </c>
      <c r="E304" s="1078">
        <v>2270</v>
      </c>
      <c r="F304" s="1105"/>
      <c r="H304" s="1103"/>
    </row>
    <row r="305" spans="1:8" s="1072" customFormat="1" ht="14.25" customHeight="1" thickBot="1">
      <c r="A305" s="1084" t="s">
        <v>1422</v>
      </c>
      <c r="B305" s="1078" t="s">
        <v>1228</v>
      </c>
      <c r="C305" s="1078">
        <v>2490</v>
      </c>
      <c r="D305" s="1078">
        <v>2470</v>
      </c>
      <c r="E305" s="1078">
        <v>2440</v>
      </c>
      <c r="F305" s="1096">
        <v>560</v>
      </c>
      <c r="H305" s="1103"/>
    </row>
    <row r="306" spans="1:8" s="1072" customFormat="1" ht="14.25" customHeight="1" thickBot="1">
      <c r="A306" s="1084" t="s">
        <v>1422</v>
      </c>
      <c r="B306" s="1078" t="s">
        <v>1238</v>
      </c>
      <c r="C306" s="1078">
        <v>2420</v>
      </c>
      <c r="D306" s="1078">
        <v>2400</v>
      </c>
      <c r="E306" s="1078">
        <v>2380</v>
      </c>
      <c r="F306" s="1105"/>
      <c r="H306" s="1103"/>
    </row>
    <row r="307" spans="1:8" s="1072" customFormat="1" ht="14.25" customHeight="1" thickBot="1">
      <c r="A307" s="1084" t="s">
        <v>1422</v>
      </c>
      <c r="B307" s="1078" t="s">
        <v>1248</v>
      </c>
      <c r="C307" s="1078">
        <v>2770</v>
      </c>
      <c r="D307" s="1078">
        <v>2740</v>
      </c>
      <c r="E307" s="1078">
        <v>2710</v>
      </c>
      <c r="F307" s="1096">
        <v>650</v>
      </c>
      <c r="H307" s="1103"/>
    </row>
    <row r="308" spans="1:8" s="1072" customFormat="1" ht="14.25" customHeight="1" thickBot="1">
      <c r="A308" s="1084" t="s">
        <v>1422</v>
      </c>
      <c r="B308" s="1078" t="s">
        <v>1258</v>
      </c>
      <c r="C308" s="1078">
        <v>2610</v>
      </c>
      <c r="D308" s="1078">
        <v>2580</v>
      </c>
      <c r="E308" s="1078">
        <v>2550</v>
      </c>
      <c r="F308" s="1096">
        <v>580</v>
      </c>
      <c r="H308" s="1103"/>
    </row>
    <row r="309" spans="1:8" s="1072" customFormat="1" ht="14.25" customHeight="1" thickBot="1">
      <c r="A309" s="1084" t="s">
        <v>1422</v>
      </c>
      <c r="B309" s="1078" t="s">
        <v>1268</v>
      </c>
      <c r="C309" s="1078">
        <v>2690</v>
      </c>
      <c r="D309" s="1078">
        <v>2670</v>
      </c>
      <c r="E309" s="1078">
        <v>2650</v>
      </c>
      <c r="F309" s="1105"/>
      <c r="H309" s="1103"/>
    </row>
    <row r="310" spans="1:8" s="1072" customFormat="1" ht="14.25" customHeight="1" thickBot="1">
      <c r="A310" s="1084" t="s">
        <v>1422</v>
      </c>
      <c r="B310" s="1078" t="s">
        <v>1277</v>
      </c>
      <c r="C310" s="1078">
        <v>2360</v>
      </c>
      <c r="D310" s="1078">
        <v>2330</v>
      </c>
      <c r="E310" s="1078">
        <v>2310</v>
      </c>
      <c r="F310" s="1096">
        <v>560</v>
      </c>
      <c r="H310" s="1103"/>
    </row>
    <row r="311" spans="1:8" s="1072" customFormat="1" ht="14.25" customHeight="1" thickBot="1">
      <c r="A311" s="1084" t="s">
        <v>1422</v>
      </c>
      <c r="B311" s="1078" t="s">
        <v>1286</v>
      </c>
      <c r="C311" s="1078">
        <v>1970</v>
      </c>
      <c r="D311" s="1078">
        <v>1950</v>
      </c>
      <c r="E311" s="1078">
        <v>1920</v>
      </c>
      <c r="F311" s="1096">
        <v>470</v>
      </c>
      <c r="H311" s="1103"/>
    </row>
    <row r="312" spans="1:8" s="1072" customFormat="1" ht="14.25" customHeight="1" thickBot="1">
      <c r="A312" s="1084" t="s">
        <v>1422</v>
      </c>
      <c r="B312" s="1078" t="s">
        <v>1294</v>
      </c>
      <c r="C312" s="1078">
        <v>2230</v>
      </c>
      <c r="D312" s="1078">
        <v>2200</v>
      </c>
      <c r="E312" s="1078">
        <v>2170</v>
      </c>
      <c r="F312" s="1096">
        <v>460</v>
      </c>
      <c r="H312" s="1103"/>
    </row>
    <row r="313" spans="1:8" s="1072" customFormat="1" ht="14.25" customHeight="1" thickBot="1">
      <c r="A313" s="1084" t="s">
        <v>1422</v>
      </c>
      <c r="B313" s="1078" t="s">
        <v>1301</v>
      </c>
      <c r="C313" s="1078">
        <v>2770</v>
      </c>
      <c r="D313" s="1078">
        <v>2740</v>
      </c>
      <c r="E313" s="1078">
        <v>2710</v>
      </c>
      <c r="F313" s="1096">
        <v>610</v>
      </c>
      <c r="H313" s="1103"/>
    </row>
    <row r="314" spans="1:8" s="1072" customFormat="1" ht="14.25" customHeight="1" thickBot="1">
      <c r="A314" s="1084" t="s">
        <v>1422</v>
      </c>
      <c r="B314" s="1078" t="s">
        <v>1308</v>
      </c>
      <c r="C314" s="1078"/>
      <c r="D314" s="1078"/>
      <c r="E314" s="1078"/>
      <c r="F314" s="1096">
        <v>490</v>
      </c>
      <c r="H314" s="1103"/>
    </row>
    <row r="315" spans="1:8" s="1072" customFormat="1" ht="14.25" customHeight="1" thickBot="1">
      <c r="A315" s="1084" t="s">
        <v>1422</v>
      </c>
      <c r="B315" s="1078" t="s">
        <v>1315</v>
      </c>
      <c r="C315" s="1078"/>
      <c r="D315" s="1078"/>
      <c r="E315" s="1078"/>
      <c r="F315" s="1096">
        <v>520</v>
      </c>
      <c r="H315" s="1103"/>
    </row>
    <row r="316" spans="1:8" s="1072" customFormat="1" ht="14.25" customHeight="1" thickBot="1">
      <c r="A316" s="1084" t="s">
        <v>1422</v>
      </c>
      <c r="B316" s="1094" t="s">
        <v>1322</v>
      </c>
      <c r="C316" s="1094"/>
      <c r="D316" s="1094"/>
      <c r="E316" s="1094"/>
      <c r="F316" s="1104">
        <v>460</v>
      </c>
      <c r="H316" s="1103"/>
    </row>
    <row r="317" spans="1:8" s="1072" customFormat="1" ht="14.25" customHeight="1" thickBot="1">
      <c r="A317" s="1084" t="s">
        <v>919</v>
      </c>
      <c r="B317" s="1085" t="s">
        <v>1427</v>
      </c>
      <c r="C317" s="1085">
        <v>1200</v>
      </c>
      <c r="D317" s="1085">
        <v>1180</v>
      </c>
      <c r="E317" s="1085">
        <v>1160</v>
      </c>
      <c r="F317" s="1086">
        <v>370</v>
      </c>
      <c r="H317" s="1069"/>
    </row>
    <row r="318" spans="1:8" s="1072" customFormat="1" ht="14.25" customHeight="1" thickBot="1">
      <c r="A318" s="1084" t="s">
        <v>919</v>
      </c>
      <c r="B318" s="1078" t="s">
        <v>1428</v>
      </c>
      <c r="C318" s="1078">
        <v>1090</v>
      </c>
      <c r="D318" s="1078">
        <v>1060</v>
      </c>
      <c r="E318" s="1078">
        <v>1040</v>
      </c>
      <c r="F318" s="1105"/>
      <c r="H318" s="1069"/>
    </row>
    <row r="319" spans="1:8" s="1072" customFormat="1" ht="14.25" customHeight="1" thickBot="1">
      <c r="A319" s="1084" t="s">
        <v>919</v>
      </c>
      <c r="B319" s="1078" t="s">
        <v>1429</v>
      </c>
      <c r="C319" s="1078">
        <v>1520</v>
      </c>
      <c r="D319" s="1078">
        <v>1470</v>
      </c>
      <c r="E319" s="1078">
        <v>1440</v>
      </c>
      <c r="F319" s="1096">
        <v>370</v>
      </c>
      <c r="H319" s="1069"/>
    </row>
    <row r="320" spans="1:8" s="1072" customFormat="1" ht="14.25" customHeight="1" thickBot="1">
      <c r="A320" s="1084" t="s">
        <v>919</v>
      </c>
      <c r="B320" s="1078" t="s">
        <v>1110</v>
      </c>
      <c r="C320" s="1078">
        <v>1360</v>
      </c>
      <c r="D320" s="1078">
        <v>1300</v>
      </c>
      <c r="E320" s="1078">
        <v>1270</v>
      </c>
      <c r="F320" s="1105"/>
      <c r="H320" s="1069"/>
    </row>
    <row r="321" spans="1:8" s="1072" customFormat="1" ht="14.25" customHeight="1" thickBot="1">
      <c r="A321" s="1084" t="s">
        <v>919</v>
      </c>
      <c r="B321" s="1078" t="s">
        <v>1124</v>
      </c>
      <c r="C321" s="1078">
        <v>1750</v>
      </c>
      <c r="D321" s="1078">
        <v>1690</v>
      </c>
      <c r="E321" s="1078">
        <v>1660</v>
      </c>
      <c r="F321" s="1105"/>
      <c r="H321" s="1069"/>
    </row>
    <row r="322" spans="1:8" s="1072" customFormat="1" ht="14.25" customHeight="1" thickBot="1">
      <c r="A322" s="1084" t="s">
        <v>919</v>
      </c>
      <c r="B322" s="1078" t="s">
        <v>1135</v>
      </c>
      <c r="C322" s="1078">
        <v>1650</v>
      </c>
      <c r="D322" s="1078">
        <v>1610</v>
      </c>
      <c r="E322" s="1078">
        <v>1580</v>
      </c>
      <c r="F322" s="1096">
        <v>500</v>
      </c>
      <c r="H322" s="1069"/>
    </row>
    <row r="323" spans="1:8" s="1072" customFormat="1" ht="14.25" customHeight="1" thickBot="1">
      <c r="A323" s="1084" t="s">
        <v>919</v>
      </c>
      <c r="B323" s="1078" t="s">
        <v>1146</v>
      </c>
      <c r="C323" s="1078">
        <v>1780</v>
      </c>
      <c r="D323" s="1078">
        <v>1740</v>
      </c>
      <c r="E323" s="1078">
        <v>1720</v>
      </c>
      <c r="F323" s="1105"/>
      <c r="H323" s="1069"/>
    </row>
    <row r="324" spans="1:8" s="1072" customFormat="1" ht="14.25" customHeight="1" thickBot="1">
      <c r="A324" s="1084" t="s">
        <v>919</v>
      </c>
      <c r="B324" s="1078" t="s">
        <v>1157</v>
      </c>
      <c r="C324" s="1078">
        <v>1650</v>
      </c>
      <c r="D324" s="1078">
        <v>1610</v>
      </c>
      <c r="E324" s="1078">
        <v>1580</v>
      </c>
      <c r="F324" s="1105"/>
      <c r="H324" s="1069"/>
    </row>
    <row r="325" spans="1:8" s="1072" customFormat="1" ht="14.25" customHeight="1" thickBot="1">
      <c r="A325" s="1084" t="s">
        <v>919</v>
      </c>
      <c r="B325" s="1078" t="s">
        <v>1169</v>
      </c>
      <c r="C325" s="1078">
        <v>1330</v>
      </c>
      <c r="D325" s="1078">
        <v>1270</v>
      </c>
      <c r="E325" s="1078">
        <v>1240</v>
      </c>
      <c r="F325" s="1096">
        <v>430</v>
      </c>
      <c r="H325" s="1069"/>
    </row>
    <row r="326" spans="1:8" s="1072" customFormat="1" ht="14.25" customHeight="1" thickBot="1">
      <c r="A326" s="1084" t="s">
        <v>919</v>
      </c>
      <c r="B326" s="1078" t="s">
        <v>1179</v>
      </c>
      <c r="C326" s="1078">
        <v>1470</v>
      </c>
      <c r="D326" s="1078">
        <v>1430</v>
      </c>
      <c r="E326" s="1078">
        <v>1400</v>
      </c>
      <c r="F326" s="1105"/>
      <c r="H326" s="1069"/>
    </row>
    <row r="327" spans="1:8" s="1072" customFormat="1" ht="14.25" customHeight="1" thickBot="1">
      <c r="A327" s="1084" t="s">
        <v>919</v>
      </c>
      <c r="B327" s="1078" t="s">
        <v>1189</v>
      </c>
      <c r="C327" s="1078">
        <v>1420</v>
      </c>
      <c r="D327" s="1078">
        <v>1380</v>
      </c>
      <c r="E327" s="1078">
        <v>1360</v>
      </c>
      <c r="F327" s="1096">
        <v>420</v>
      </c>
      <c r="H327" s="1069"/>
    </row>
    <row r="328" spans="1:8" s="1072" customFormat="1" ht="14.25" customHeight="1" thickBot="1">
      <c r="A328" s="1084" t="s">
        <v>919</v>
      </c>
      <c r="B328" s="1078" t="s">
        <v>1199</v>
      </c>
      <c r="C328" s="1078">
        <v>1400</v>
      </c>
      <c r="D328" s="1078">
        <v>1360</v>
      </c>
      <c r="E328" s="1078">
        <v>1330</v>
      </c>
      <c r="F328" s="1096">
        <v>460</v>
      </c>
      <c r="H328" s="1069"/>
    </row>
    <row r="329" spans="1:8" s="1072" customFormat="1" ht="14.25" customHeight="1" thickBot="1">
      <c r="A329" s="1084" t="s">
        <v>919</v>
      </c>
      <c r="B329" s="1078" t="s">
        <v>1209</v>
      </c>
      <c r="C329" s="1078">
        <v>1640</v>
      </c>
      <c r="D329" s="1078">
        <v>1610</v>
      </c>
      <c r="E329" s="1078">
        <v>1580</v>
      </c>
      <c r="F329" s="1096">
        <v>410</v>
      </c>
      <c r="H329" s="1069"/>
    </row>
    <row r="330" spans="1:8" s="1072" customFormat="1" ht="14.25" customHeight="1" thickBot="1">
      <c r="A330" s="1084" t="s">
        <v>919</v>
      </c>
      <c r="B330" s="1078" t="s">
        <v>1219</v>
      </c>
      <c r="C330" s="1078">
        <v>1260</v>
      </c>
      <c r="D330" s="1078">
        <v>1220</v>
      </c>
      <c r="E330" s="1078">
        <v>1200</v>
      </c>
      <c r="F330" s="1105"/>
      <c r="H330" s="1069"/>
    </row>
    <row r="331" spans="1:8" s="1072" customFormat="1" ht="14.25" customHeight="1" thickBot="1">
      <c r="A331" s="1084" t="s">
        <v>919</v>
      </c>
      <c r="B331" s="1078" t="s">
        <v>1229</v>
      </c>
      <c r="C331" s="1078">
        <v>1620</v>
      </c>
      <c r="D331" s="1078">
        <v>1560</v>
      </c>
      <c r="E331" s="1078">
        <v>1530</v>
      </c>
      <c r="F331" s="1096">
        <v>490</v>
      </c>
      <c r="H331" s="1069"/>
    </row>
    <row r="332" spans="1:8" s="1072" customFormat="1" ht="14.25" customHeight="1" thickBot="1">
      <c r="A332" s="1084" t="s">
        <v>919</v>
      </c>
      <c r="B332" s="1078" t="s">
        <v>1239</v>
      </c>
      <c r="C332" s="1078">
        <v>1520</v>
      </c>
      <c r="D332" s="1078">
        <v>1470</v>
      </c>
      <c r="E332" s="1078">
        <v>1440</v>
      </c>
      <c r="F332" s="1096">
        <v>440</v>
      </c>
      <c r="H332" s="1069"/>
    </row>
    <row r="333" spans="1:8" s="1072" customFormat="1" ht="14.25" customHeight="1" thickBot="1">
      <c r="A333" s="1084" t="s">
        <v>919</v>
      </c>
      <c r="B333" s="1078" t="s">
        <v>1249</v>
      </c>
      <c r="C333" s="1078">
        <v>1370</v>
      </c>
      <c r="D333" s="1078">
        <v>1320</v>
      </c>
      <c r="E333" s="1078">
        <v>1300</v>
      </c>
      <c r="F333" s="1096">
        <v>460</v>
      </c>
      <c r="H333" s="1069"/>
    </row>
    <row r="334" spans="1:8" s="1072" customFormat="1" ht="14.25" customHeight="1" thickBot="1">
      <c r="A334" s="1084" t="s">
        <v>919</v>
      </c>
      <c r="B334" s="1078" t="s">
        <v>1259</v>
      </c>
      <c r="C334" s="1078">
        <v>1410</v>
      </c>
      <c r="D334" s="1078">
        <v>1340</v>
      </c>
      <c r="E334" s="1078">
        <v>1310</v>
      </c>
      <c r="F334" s="1096">
        <v>410</v>
      </c>
      <c r="H334" s="1069"/>
    </row>
    <row r="335" spans="1:8" s="1072" customFormat="1" ht="14.25" customHeight="1" thickBot="1">
      <c r="A335" s="1084" t="s">
        <v>919</v>
      </c>
      <c r="B335" s="1078" t="s">
        <v>1269</v>
      </c>
      <c r="C335" s="1078">
        <v>1260</v>
      </c>
      <c r="D335" s="1078">
        <v>1220</v>
      </c>
      <c r="E335" s="1078">
        <v>1200</v>
      </c>
      <c r="F335" s="1105"/>
      <c r="H335" s="1069"/>
    </row>
    <row r="336" spans="1:8" s="1072" customFormat="1" ht="14.25" customHeight="1" thickBot="1">
      <c r="A336" s="1084" t="s">
        <v>919</v>
      </c>
      <c r="B336" s="1078" t="s">
        <v>1278</v>
      </c>
      <c r="C336" s="1078">
        <v>1160</v>
      </c>
      <c r="D336" s="1078">
        <v>1140</v>
      </c>
      <c r="E336" s="1078">
        <v>1120</v>
      </c>
      <c r="F336" s="1096">
        <v>430</v>
      </c>
      <c r="H336" s="1069"/>
    </row>
    <row r="337" spans="1:8" s="1072" customFormat="1" ht="14.25" customHeight="1" thickBot="1">
      <c r="A337" s="1084" t="s">
        <v>919</v>
      </c>
      <c r="B337" s="1094" t="s">
        <v>1287</v>
      </c>
      <c r="C337" s="1094"/>
      <c r="D337" s="1094"/>
      <c r="E337" s="1094"/>
      <c r="F337" s="1104">
        <v>380</v>
      </c>
      <c r="H337" s="1069"/>
    </row>
    <row r="338" spans="1:8" s="1072" customFormat="1" ht="14.25" customHeight="1" thickBot="1">
      <c r="A338" s="1084" t="s">
        <v>920</v>
      </c>
      <c r="B338" s="1085" t="s">
        <v>1430</v>
      </c>
      <c r="C338" s="1085">
        <v>880</v>
      </c>
      <c r="D338" s="1085">
        <v>850</v>
      </c>
      <c r="E338" s="1085">
        <v>830</v>
      </c>
      <c r="F338" s="1107"/>
      <c r="H338" s="1069"/>
    </row>
    <row r="339" spans="1:8" s="1072" customFormat="1" ht="14.25" customHeight="1" thickBot="1">
      <c r="A339" s="1084" t="s">
        <v>920</v>
      </c>
      <c r="B339" s="1078" t="s">
        <v>1431</v>
      </c>
      <c r="C339" s="1078">
        <v>830</v>
      </c>
      <c r="D339" s="1078">
        <v>800</v>
      </c>
      <c r="E339" s="1078">
        <v>780</v>
      </c>
      <c r="F339" s="1105"/>
      <c r="H339" s="1069"/>
    </row>
    <row r="340" spans="1:8" s="1072" customFormat="1" ht="14.25" customHeight="1" thickBot="1">
      <c r="A340" s="1084" t="s">
        <v>920</v>
      </c>
      <c r="B340" s="1078" t="s">
        <v>1432</v>
      </c>
      <c r="C340" s="1078">
        <v>980</v>
      </c>
      <c r="D340" s="1078">
        <v>950</v>
      </c>
      <c r="E340" s="1078">
        <v>920</v>
      </c>
      <c r="F340" s="1105"/>
      <c r="H340" s="1069"/>
    </row>
    <row r="341" spans="1:8" s="1072" customFormat="1" ht="14.25" customHeight="1" thickBot="1">
      <c r="A341" s="1084" t="s">
        <v>920</v>
      </c>
      <c r="B341" s="1078" t="s">
        <v>1433</v>
      </c>
      <c r="C341" s="1078">
        <v>760</v>
      </c>
      <c r="D341" s="1078">
        <v>720</v>
      </c>
      <c r="E341" s="1078">
        <v>690</v>
      </c>
      <c r="F341" s="1096">
        <v>350</v>
      </c>
      <c r="H341" s="1069"/>
    </row>
    <row r="342" spans="1:8" s="1072" customFormat="1" ht="14.25" customHeight="1" thickBot="1">
      <c r="A342" s="1084" t="s">
        <v>920</v>
      </c>
      <c r="B342" s="1078" t="s">
        <v>1125</v>
      </c>
      <c r="C342" s="1078">
        <v>910</v>
      </c>
      <c r="D342" s="1078">
        <v>870</v>
      </c>
      <c r="E342" s="1078">
        <v>850</v>
      </c>
      <c r="F342" s="1096">
        <v>370</v>
      </c>
      <c r="H342" s="1069"/>
    </row>
    <row r="343" spans="1:8" s="1072" customFormat="1" ht="14.25" customHeight="1" thickBot="1">
      <c r="A343" s="1084" t="s">
        <v>920</v>
      </c>
      <c r="B343" s="1078" t="s">
        <v>1136</v>
      </c>
      <c r="C343" s="1078">
        <v>800</v>
      </c>
      <c r="D343" s="1078">
        <v>760</v>
      </c>
      <c r="E343" s="1078">
        <v>730</v>
      </c>
      <c r="F343" s="1096">
        <v>340</v>
      </c>
      <c r="H343" s="1069"/>
    </row>
    <row r="344" spans="1:8" s="1072" customFormat="1" ht="14.25" customHeight="1" thickBot="1">
      <c r="A344" s="1084" t="s">
        <v>920</v>
      </c>
      <c r="B344" s="1094" t="s">
        <v>1147</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884</v>
      </c>
      <c r="B1" s="1013"/>
      <c r="C1" s="1013"/>
      <c r="D1" s="1013"/>
      <c r="E1" s="1013"/>
      <c r="F1" s="1013"/>
      <c r="G1" s="1013"/>
      <c r="H1" s="1013"/>
      <c r="I1" s="1013"/>
      <c r="J1" s="1013"/>
      <c r="K1" s="1013"/>
      <c r="L1" s="1013"/>
      <c r="M1" s="1013"/>
      <c r="N1" s="1013"/>
    </row>
    <row r="2" spans="1:14">
      <c r="A2" s="1015" t="s">
        <v>885</v>
      </c>
      <c r="B2" s="1016" t="s">
        <v>886</v>
      </c>
      <c r="C2" s="1016" t="s">
        <v>887</v>
      </c>
      <c r="D2" s="1016" t="s">
        <v>888</v>
      </c>
      <c r="E2" s="1016" t="s">
        <v>889</v>
      </c>
      <c r="F2" s="1016" t="s">
        <v>890</v>
      </c>
      <c r="G2" s="1016" t="s">
        <v>891</v>
      </c>
      <c r="H2" s="1017" t="s">
        <v>892</v>
      </c>
      <c r="I2" s="1017" t="s">
        <v>893</v>
      </c>
      <c r="J2" s="1018" t="s">
        <v>894</v>
      </c>
      <c r="K2" s="1018" t="s">
        <v>895</v>
      </c>
      <c r="L2" s="1018" t="s">
        <v>896</v>
      </c>
      <c r="M2" s="1018" t="s">
        <v>897</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906</v>
      </c>
      <c r="B103" s="1013"/>
      <c r="C103" s="1013"/>
      <c r="D103" s="1013"/>
      <c r="E103" s="1013"/>
      <c r="F103" s="1013"/>
      <c r="G103" s="1013"/>
      <c r="H103" s="1013"/>
      <c r="I103" s="1013"/>
      <c r="J103" s="1013"/>
      <c r="K103" s="1013"/>
      <c r="L103" s="1013"/>
      <c r="M103" s="1013"/>
      <c r="N103" s="1013"/>
    </row>
    <row r="104" spans="1:14" ht="14.25">
      <c r="A104" s="1015" t="s">
        <v>885</v>
      </c>
      <c r="B104" s="1016" t="s">
        <v>886</v>
      </c>
      <c r="C104" s="1016" t="s">
        <v>887</v>
      </c>
      <c r="D104" s="1016" t="s">
        <v>888</v>
      </c>
      <c r="E104" s="1016" t="s">
        <v>889</v>
      </c>
      <c r="F104" s="1016" t="s">
        <v>890</v>
      </c>
      <c r="G104" s="1016" t="s">
        <v>891</v>
      </c>
      <c r="H104" s="1017" t="s">
        <v>892</v>
      </c>
      <c r="I104" s="1017" t="s">
        <v>893</v>
      </c>
      <c r="J104" s="1018" t="s">
        <v>894</v>
      </c>
      <c r="K104" s="1018" t="s">
        <v>895</v>
      </c>
      <c r="L104" s="1018" t="s">
        <v>896</v>
      </c>
      <c r="M104" s="1018" t="s">
        <v>897</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907</v>
      </c>
      <c r="B205" s="1013"/>
      <c r="C205" s="1013"/>
      <c r="D205" s="1013"/>
      <c r="E205" s="1013"/>
      <c r="F205" s="1013"/>
      <c r="G205" s="1013"/>
      <c r="H205" s="1013"/>
      <c r="I205" s="1013"/>
      <c r="J205" s="1013"/>
      <c r="K205" s="1013"/>
      <c r="L205" s="1013"/>
      <c r="M205" s="1013"/>
    </row>
    <row r="206" spans="1:13">
      <c r="A206" s="1015" t="s">
        <v>908</v>
      </c>
      <c r="B206" s="1016" t="s">
        <v>909</v>
      </c>
      <c r="C206" s="1016" t="s">
        <v>910</v>
      </c>
      <c r="D206" s="1016" t="s">
        <v>911</v>
      </c>
      <c r="E206" s="1016" t="s">
        <v>912</v>
      </c>
      <c r="F206" s="1016" t="s">
        <v>913</v>
      </c>
      <c r="G206" s="1016" t="s">
        <v>914</v>
      </c>
      <c r="H206" s="1017" t="s">
        <v>915</v>
      </c>
      <c r="I206" s="1017" t="s">
        <v>916</v>
      </c>
      <c r="J206" s="1018" t="s">
        <v>917</v>
      </c>
      <c r="K206" s="1018" t="s">
        <v>918</v>
      </c>
      <c r="L206" s="1018" t="s">
        <v>919</v>
      </c>
      <c r="M206" s="1018" t="s">
        <v>920</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921</v>
      </c>
      <c r="B307" s="1013"/>
      <c r="C307" s="1013"/>
      <c r="D307" s="1013"/>
      <c r="E307" s="1013"/>
      <c r="F307" s="1013"/>
      <c r="G307" s="1013"/>
      <c r="H307" s="1013"/>
      <c r="I307" s="1013"/>
      <c r="J307" s="1013"/>
      <c r="K307" s="1013"/>
      <c r="L307" s="1013"/>
      <c r="M307" s="1013"/>
    </row>
    <row r="308" spans="1:13">
      <c r="A308" s="1015" t="s">
        <v>908</v>
      </c>
      <c r="B308" s="1016" t="s">
        <v>909</v>
      </c>
      <c r="C308" s="1016" t="s">
        <v>910</v>
      </c>
      <c r="D308" s="1016" t="s">
        <v>911</v>
      </c>
      <c r="E308" s="1016" t="s">
        <v>912</v>
      </c>
      <c r="F308" s="1016" t="s">
        <v>913</v>
      </c>
      <c r="G308" s="1016" t="s">
        <v>914</v>
      </c>
      <c r="H308" s="1017" t="s">
        <v>915</v>
      </c>
      <c r="I308" s="1017" t="s">
        <v>916</v>
      </c>
      <c r="J308" s="1018" t="s">
        <v>917</v>
      </c>
      <c r="K308" s="1018" t="s">
        <v>918</v>
      </c>
      <c r="L308" s="1018" t="s">
        <v>919</v>
      </c>
      <c r="M308" s="1018" t="s">
        <v>920</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12" t="s">
        <v>2089</v>
      </c>
      <c r="B1" s="3412"/>
    </row>
    <row r="2" spans="1:6" ht="14.25" thickBot="1">
      <c r="A2" s="1857"/>
      <c r="B2" s="1857"/>
    </row>
    <row r="3" spans="1:6" ht="14.25" thickBot="1">
      <c r="A3" s="1857"/>
      <c r="B3" s="1857"/>
      <c r="C3" s="1858" t="s">
        <v>2090</v>
      </c>
      <c r="D3" s="1858" t="s">
        <v>2091</v>
      </c>
      <c r="E3" s="1858" t="s">
        <v>2092</v>
      </c>
      <c r="F3" s="1858" t="s">
        <v>2093</v>
      </c>
    </row>
    <row r="4" spans="1:6" ht="14.25" thickBot="1">
      <c r="A4" s="1859" t="s">
        <v>2094</v>
      </c>
      <c r="B4" s="1860" t="s">
        <v>2095</v>
      </c>
      <c r="C4" s="1858"/>
      <c r="D4" s="1858"/>
      <c r="E4" s="1858"/>
      <c r="F4" s="1858"/>
    </row>
    <row r="5" spans="1:6" ht="14.25" thickBot="1">
      <c r="A5" s="1861" t="s">
        <v>2096</v>
      </c>
      <c r="B5" s="1862" t="s">
        <v>2097</v>
      </c>
      <c r="C5" s="1863">
        <v>8.8999999999999996E-2</v>
      </c>
      <c r="D5" s="1863">
        <v>7.3999999999999996E-2</v>
      </c>
      <c r="E5" s="1863">
        <v>7.4999999999999997E-2</v>
      </c>
      <c r="F5" s="1864">
        <v>0.1</v>
      </c>
    </row>
    <row r="6" spans="1:6" ht="14.25" thickBot="1">
      <c r="A6" s="1861" t="s">
        <v>1099</v>
      </c>
      <c r="B6" s="1865" t="s">
        <v>2098</v>
      </c>
      <c r="C6" s="1866">
        <v>0.1</v>
      </c>
      <c r="D6" s="1866">
        <v>9.0999999999999998E-2</v>
      </c>
      <c r="E6" s="1866">
        <v>9.0999999999999998E-2</v>
      </c>
      <c r="F6" s="1867">
        <v>0.1</v>
      </c>
    </row>
    <row r="7" spans="1:6" ht="14.25" thickBot="1">
      <c r="A7" s="1861" t="s">
        <v>1099</v>
      </c>
      <c r="B7" s="1868" t="s">
        <v>1087</v>
      </c>
      <c r="C7" s="1866">
        <v>8.5999999999999993E-2</v>
      </c>
      <c r="D7" s="1866">
        <v>9.6000000000000002E-2</v>
      </c>
      <c r="E7" s="1866">
        <v>7.5999999999999998E-2</v>
      </c>
      <c r="F7" s="1867">
        <v>0.1</v>
      </c>
    </row>
    <row r="8" spans="1:6" ht="14.25" thickBot="1">
      <c r="A8" s="1861" t="s">
        <v>1099</v>
      </c>
      <c r="B8" s="1865" t="s">
        <v>1100</v>
      </c>
      <c r="C8" s="1866">
        <v>9.9000000000000005E-2</v>
      </c>
      <c r="D8" s="1866">
        <v>9.8000000000000004E-2</v>
      </c>
      <c r="E8" s="1866">
        <v>9.8000000000000004E-2</v>
      </c>
      <c r="F8" s="1867">
        <v>0.1</v>
      </c>
    </row>
    <row r="9" spans="1:6" ht="14.25" thickBot="1">
      <c r="A9" s="1869" t="s">
        <v>1099</v>
      </c>
      <c r="B9" s="1870" t="s">
        <v>1114</v>
      </c>
      <c r="C9" s="1871">
        <v>0.05</v>
      </c>
      <c r="D9" s="1872"/>
      <c r="E9" s="1872"/>
      <c r="F9" s="1873"/>
    </row>
    <row r="10" spans="1:6" ht="14.25" thickBot="1">
      <c r="A10" s="1861" t="s">
        <v>1158</v>
      </c>
      <c r="B10" s="1862" t="s">
        <v>2099</v>
      </c>
      <c r="C10" s="1863">
        <v>8.8999999999999996E-2</v>
      </c>
      <c r="D10" s="1863">
        <v>7.2999999999999995E-2</v>
      </c>
      <c r="E10" s="1863">
        <v>8.2000000000000003E-2</v>
      </c>
      <c r="F10" s="1864">
        <v>0.1</v>
      </c>
    </row>
    <row r="11" spans="1:6" ht="14.25" thickBot="1">
      <c r="A11" s="1861" t="s">
        <v>1158</v>
      </c>
      <c r="B11" s="1868" t="s">
        <v>1074</v>
      </c>
      <c r="C11" s="1866">
        <v>8.8999999999999996E-2</v>
      </c>
      <c r="D11" s="1866">
        <v>7.2999999999999995E-2</v>
      </c>
      <c r="E11" s="1866">
        <v>8.2000000000000003E-2</v>
      </c>
      <c r="F11" s="1867">
        <v>0.1</v>
      </c>
    </row>
    <row r="12" spans="1:6" ht="14.25" thickBot="1">
      <c r="A12" s="1861" t="s">
        <v>1158</v>
      </c>
      <c r="B12" s="1868" t="s">
        <v>1088</v>
      </c>
      <c r="C12" s="1866">
        <v>6.0999999999999999E-2</v>
      </c>
      <c r="D12" s="1866">
        <v>7.0999999999999994E-2</v>
      </c>
      <c r="E12" s="1866">
        <v>9.6000000000000002E-2</v>
      </c>
      <c r="F12" s="1867">
        <v>0.1</v>
      </c>
    </row>
    <row r="13" spans="1:6" ht="14.25" thickBot="1">
      <c r="A13" s="1861" t="s">
        <v>1158</v>
      </c>
      <c r="B13" s="1868" t="s">
        <v>1101</v>
      </c>
      <c r="C13" s="1866">
        <v>6.9000000000000006E-2</v>
      </c>
      <c r="D13" s="1866">
        <v>6.5000000000000002E-2</v>
      </c>
      <c r="E13" s="1866">
        <v>6.6000000000000003E-2</v>
      </c>
      <c r="F13" s="1867">
        <v>0.1</v>
      </c>
    </row>
    <row r="14" spans="1:6" ht="14.25" thickBot="1">
      <c r="A14" s="1861" t="s">
        <v>1158</v>
      </c>
      <c r="B14" s="1868" t="s">
        <v>1115</v>
      </c>
      <c r="C14" s="1866">
        <v>0.1</v>
      </c>
      <c r="D14" s="1866">
        <v>6.5000000000000002E-2</v>
      </c>
      <c r="E14" s="1866">
        <v>7.0000000000000007E-2</v>
      </c>
      <c r="F14" s="1867">
        <v>0.1</v>
      </c>
    </row>
    <row r="15" spans="1:6" ht="14.25" thickBot="1">
      <c r="A15" s="1861" t="s">
        <v>1158</v>
      </c>
      <c r="B15" s="1868" t="s">
        <v>1126</v>
      </c>
      <c r="C15" s="1866">
        <v>9.8000000000000004E-2</v>
      </c>
      <c r="D15" s="1866">
        <v>8.8999999999999996E-2</v>
      </c>
      <c r="E15" s="1866">
        <v>8.8999999999999996E-2</v>
      </c>
      <c r="F15" s="1867">
        <v>0.1</v>
      </c>
    </row>
    <row r="16" spans="1:6" ht="14.25" thickBot="1">
      <c r="A16" s="1861" t="s">
        <v>1158</v>
      </c>
      <c r="B16" s="1868" t="s">
        <v>1137</v>
      </c>
      <c r="C16" s="1866">
        <v>7.0000000000000007E-2</v>
      </c>
      <c r="D16" s="1866">
        <v>9.2999999999999999E-2</v>
      </c>
      <c r="E16" s="1866">
        <v>9.6000000000000002E-2</v>
      </c>
      <c r="F16" s="1867">
        <v>0.1</v>
      </c>
    </row>
    <row r="17" spans="1:6" ht="14.25" thickBot="1">
      <c r="A17" s="1861" t="s">
        <v>1158</v>
      </c>
      <c r="B17" s="1868" t="s">
        <v>1148</v>
      </c>
      <c r="C17" s="1866">
        <v>9.5000000000000001E-2</v>
      </c>
      <c r="D17" s="1866">
        <v>0.1</v>
      </c>
      <c r="E17" s="1866">
        <v>0.1</v>
      </c>
      <c r="F17" s="1874"/>
    </row>
    <row r="18" spans="1:6" ht="14.25" thickBot="1">
      <c r="A18" s="1861" t="s">
        <v>1158</v>
      </c>
      <c r="B18" s="1868" t="s">
        <v>1160</v>
      </c>
      <c r="C18" s="1866">
        <v>7.3999999999999996E-2</v>
      </c>
      <c r="D18" s="1866">
        <v>9.9000000000000005E-2</v>
      </c>
      <c r="E18" s="1866">
        <v>0.1</v>
      </c>
      <c r="F18" s="1874"/>
    </row>
    <row r="19" spans="1:6" ht="14.25" thickBot="1">
      <c r="A19" s="1861" t="s">
        <v>1158</v>
      </c>
      <c r="B19" s="1868" t="s">
        <v>1170</v>
      </c>
      <c r="C19" s="1866">
        <v>9.9000000000000005E-2</v>
      </c>
      <c r="D19" s="1866">
        <v>7.5999999999999998E-2</v>
      </c>
      <c r="E19" s="1866">
        <v>8.6999999999999994E-2</v>
      </c>
      <c r="F19" s="1874"/>
    </row>
    <row r="20" spans="1:6" ht="14.25" thickBot="1">
      <c r="A20" s="1861" t="s">
        <v>1158</v>
      </c>
      <c r="B20" s="1868" t="s">
        <v>1180</v>
      </c>
      <c r="C20" s="1866">
        <v>9.8000000000000004E-2</v>
      </c>
      <c r="D20" s="1866">
        <v>8.5000000000000006E-2</v>
      </c>
      <c r="E20" s="1866">
        <v>8.2000000000000003E-2</v>
      </c>
      <c r="F20" s="1874"/>
    </row>
    <row r="21" spans="1:6" ht="14.25" thickBot="1">
      <c r="A21" s="1861" t="s">
        <v>1158</v>
      </c>
      <c r="B21" s="1868" t="s">
        <v>1190</v>
      </c>
      <c r="C21" s="1866">
        <v>6.6000000000000003E-2</v>
      </c>
      <c r="D21" s="1866">
        <v>6.4000000000000001E-2</v>
      </c>
      <c r="E21" s="1866">
        <v>6.5000000000000002E-2</v>
      </c>
      <c r="F21" s="1874"/>
    </row>
    <row r="22" spans="1:6" ht="14.25" thickBot="1">
      <c r="A22" s="1861" t="s">
        <v>1158</v>
      </c>
      <c r="B22" s="1868" t="s">
        <v>2100</v>
      </c>
      <c r="C22" s="1866">
        <v>0.08</v>
      </c>
      <c r="D22" s="1866">
        <v>9.8000000000000004E-2</v>
      </c>
      <c r="E22" s="1866">
        <v>9.8000000000000004E-2</v>
      </c>
      <c r="F22" s="1874"/>
    </row>
    <row r="23" spans="1:6" ht="14.25" thickBot="1">
      <c r="A23" s="1861" t="s">
        <v>1158</v>
      </c>
      <c r="B23" s="1868" t="s">
        <v>1210</v>
      </c>
      <c r="C23" s="1866">
        <v>9.9000000000000005E-2</v>
      </c>
      <c r="D23" s="1866">
        <v>9.8000000000000004E-2</v>
      </c>
      <c r="E23" s="1866">
        <v>9.0999999999999998E-2</v>
      </c>
      <c r="F23" s="1874"/>
    </row>
    <row r="24" spans="1:6" ht="14.25" thickBot="1">
      <c r="A24" s="1861" t="s">
        <v>1158</v>
      </c>
      <c r="B24" s="1868" t="s">
        <v>1220</v>
      </c>
      <c r="C24" s="1866">
        <v>8.8999999999999996E-2</v>
      </c>
      <c r="D24" s="1866">
        <v>9.7000000000000003E-2</v>
      </c>
      <c r="E24" s="1866">
        <v>7.0000000000000007E-2</v>
      </c>
      <c r="F24" s="1874"/>
    </row>
    <row r="25" spans="1:6" ht="14.25" thickBot="1">
      <c r="A25" s="1861" t="s">
        <v>1158</v>
      </c>
      <c r="B25" s="1868" t="s">
        <v>1230</v>
      </c>
      <c r="C25" s="1866">
        <v>8.8999999999999996E-2</v>
      </c>
      <c r="D25" s="1866">
        <v>0.1</v>
      </c>
      <c r="E25" s="1866">
        <v>8.1000000000000003E-2</v>
      </c>
      <c r="F25" s="1874"/>
    </row>
    <row r="26" spans="1:6" ht="14.25" thickBot="1">
      <c r="A26" s="1861" t="s">
        <v>1158</v>
      </c>
      <c r="B26" s="1868" t="s">
        <v>1240</v>
      </c>
      <c r="C26" s="1875"/>
      <c r="D26" s="1866">
        <v>9.6000000000000002E-2</v>
      </c>
      <c r="E26" s="1866">
        <v>9.2999999999999999E-2</v>
      </c>
      <c r="F26" s="1874"/>
    </row>
    <row r="27" spans="1:6" ht="14.25" thickBot="1">
      <c r="A27" s="1861" t="s">
        <v>1158</v>
      </c>
      <c r="B27" s="1868" t="s">
        <v>1250</v>
      </c>
      <c r="C27" s="1875"/>
      <c r="D27" s="1866">
        <v>7.5999999999999998E-2</v>
      </c>
      <c r="E27" s="1866">
        <v>9.1999999999999998E-2</v>
      </c>
      <c r="F27" s="1874"/>
    </row>
    <row r="28" spans="1:6" ht="14.25" thickBot="1">
      <c r="A28" s="1869" t="s">
        <v>1158</v>
      </c>
      <c r="B28" s="1870" t="s">
        <v>1260</v>
      </c>
      <c r="C28" s="1872"/>
      <c r="D28" s="1871">
        <v>7.5999999999999998E-2</v>
      </c>
      <c r="E28" s="1871">
        <v>9.1999999999999998E-2</v>
      </c>
      <c r="F28" s="1873"/>
    </row>
    <row r="29" spans="1:6" ht="14.25" thickBot="1">
      <c r="A29" s="1861" t="s">
        <v>1329</v>
      </c>
      <c r="B29" s="1862" t="s">
        <v>2101</v>
      </c>
      <c r="C29" s="1863">
        <v>6.4000000000000001E-2</v>
      </c>
      <c r="D29" s="1863">
        <v>6.5000000000000002E-2</v>
      </c>
      <c r="E29" s="1863">
        <v>6.9000000000000006E-2</v>
      </c>
      <c r="F29" s="1864">
        <v>0.1</v>
      </c>
    </row>
    <row r="30" spans="1:6" ht="14.25" thickBot="1">
      <c r="A30" s="1861" t="s">
        <v>1329</v>
      </c>
      <c r="B30" s="1868" t="s">
        <v>1075</v>
      </c>
      <c r="C30" s="1866">
        <v>6.4000000000000001E-2</v>
      </c>
      <c r="D30" s="1866">
        <v>9.9000000000000005E-2</v>
      </c>
      <c r="E30" s="1866">
        <v>0.1</v>
      </c>
      <c r="F30" s="1867">
        <v>0.1</v>
      </c>
    </row>
    <row r="31" spans="1:6" ht="14.25" thickBot="1">
      <c r="A31" s="1861" t="s">
        <v>1329</v>
      </c>
      <c r="B31" s="1868" t="s">
        <v>1089</v>
      </c>
      <c r="C31" s="1866">
        <v>0.1</v>
      </c>
      <c r="D31" s="1866">
        <v>9.5000000000000001E-2</v>
      </c>
      <c r="E31" s="1866">
        <v>8.8999999999999996E-2</v>
      </c>
      <c r="F31" s="1867">
        <v>0.1</v>
      </c>
    </row>
    <row r="32" spans="1:6" ht="14.25" thickBot="1">
      <c r="A32" s="1861" t="s">
        <v>1329</v>
      </c>
      <c r="B32" s="1868" t="s">
        <v>1102</v>
      </c>
      <c r="C32" s="1866">
        <v>0.05</v>
      </c>
      <c r="D32" s="1866">
        <v>0.05</v>
      </c>
      <c r="E32" s="1866">
        <v>8.7999999999999995E-2</v>
      </c>
      <c r="F32" s="1867">
        <v>0.1</v>
      </c>
    </row>
    <row r="33" spans="1:6" ht="14.25" thickBot="1">
      <c r="A33" s="1861" t="s">
        <v>1329</v>
      </c>
      <c r="B33" s="1868" t="s">
        <v>1116</v>
      </c>
      <c r="C33" s="1866">
        <v>7.4999999999999997E-2</v>
      </c>
      <c r="D33" s="1866">
        <v>9.4E-2</v>
      </c>
      <c r="E33" s="1866">
        <v>9.7000000000000003E-2</v>
      </c>
      <c r="F33" s="1867">
        <v>0.1</v>
      </c>
    </row>
    <row r="34" spans="1:6" ht="14.25" thickBot="1">
      <c r="A34" s="1861" t="s">
        <v>1329</v>
      </c>
      <c r="B34" s="1868" t="s">
        <v>1127</v>
      </c>
      <c r="C34" s="1866">
        <v>9.8000000000000004E-2</v>
      </c>
      <c r="D34" s="1866">
        <v>8.5999999999999993E-2</v>
      </c>
      <c r="E34" s="1866">
        <v>9.7000000000000003E-2</v>
      </c>
      <c r="F34" s="1867">
        <v>0.1</v>
      </c>
    </row>
    <row r="35" spans="1:6" ht="14.25" thickBot="1">
      <c r="A35" s="1861" t="s">
        <v>1329</v>
      </c>
      <c r="B35" s="1868" t="s">
        <v>1138</v>
      </c>
      <c r="C35" s="1866">
        <v>5.8999999999999997E-2</v>
      </c>
      <c r="D35" s="1866">
        <v>6.5000000000000002E-2</v>
      </c>
      <c r="E35" s="1866">
        <v>7.0000000000000007E-2</v>
      </c>
      <c r="F35" s="1867">
        <v>0.1</v>
      </c>
    </row>
    <row r="36" spans="1:6" ht="14.25" thickBot="1">
      <c r="A36" s="1861" t="s">
        <v>1329</v>
      </c>
      <c r="B36" s="1868" t="s">
        <v>1149</v>
      </c>
      <c r="C36" s="1866">
        <v>6.3E-2</v>
      </c>
      <c r="D36" s="1866">
        <v>0.1</v>
      </c>
      <c r="E36" s="1866">
        <v>0.1</v>
      </c>
      <c r="F36" s="1867">
        <v>0.1</v>
      </c>
    </row>
    <row r="37" spans="1:6" ht="14.25" thickBot="1">
      <c r="A37" s="1861" t="s">
        <v>1329</v>
      </c>
      <c r="B37" s="1868" t="s">
        <v>1161</v>
      </c>
      <c r="C37" s="1866">
        <v>7.3999999999999996E-2</v>
      </c>
      <c r="D37" s="1866">
        <v>0.1</v>
      </c>
      <c r="E37" s="1866">
        <v>0.1</v>
      </c>
      <c r="F37" s="1867">
        <v>0.1</v>
      </c>
    </row>
    <row r="38" spans="1:6" ht="14.25" thickBot="1">
      <c r="A38" s="1861" t="s">
        <v>1329</v>
      </c>
      <c r="B38" s="1868" t="s">
        <v>1171</v>
      </c>
      <c r="C38" s="1866">
        <v>0.1</v>
      </c>
      <c r="D38" s="1866">
        <v>9.6000000000000002E-2</v>
      </c>
      <c r="E38" s="1866">
        <v>9.6000000000000002E-2</v>
      </c>
      <c r="F38" s="1874"/>
    </row>
    <row r="39" spans="1:6" ht="14.25" thickBot="1">
      <c r="A39" s="1861" t="s">
        <v>1329</v>
      </c>
      <c r="B39" s="1868" t="s">
        <v>1181</v>
      </c>
      <c r="C39" s="1866">
        <v>0.1</v>
      </c>
      <c r="D39" s="1866">
        <v>9.6000000000000002E-2</v>
      </c>
      <c r="E39" s="1866">
        <v>9.6000000000000002E-2</v>
      </c>
      <c r="F39" s="1874"/>
    </row>
    <row r="40" spans="1:6" ht="14.25" thickBot="1">
      <c r="A40" s="1861" t="s">
        <v>1329</v>
      </c>
      <c r="B40" s="1868" t="s">
        <v>1191</v>
      </c>
      <c r="C40" s="1866">
        <v>9.6000000000000002E-2</v>
      </c>
      <c r="D40" s="1866">
        <v>0.1</v>
      </c>
      <c r="E40" s="1866">
        <v>9.9000000000000005E-2</v>
      </c>
      <c r="F40" s="1874"/>
    </row>
    <row r="41" spans="1:6" ht="14.25" thickBot="1">
      <c r="A41" s="1861" t="s">
        <v>1329</v>
      </c>
      <c r="B41" s="1868" t="s">
        <v>1201</v>
      </c>
      <c r="C41" s="1866">
        <v>9.6000000000000002E-2</v>
      </c>
      <c r="D41" s="1866">
        <v>9.8000000000000004E-2</v>
      </c>
      <c r="E41" s="1866">
        <v>9.8000000000000004E-2</v>
      </c>
      <c r="F41" s="1874"/>
    </row>
    <row r="42" spans="1:6" ht="14.25" thickBot="1">
      <c r="A42" s="1861" t="s">
        <v>1329</v>
      </c>
      <c r="B42" s="1868" t="s">
        <v>1211</v>
      </c>
      <c r="C42" s="1866">
        <v>0.1</v>
      </c>
      <c r="D42" s="1866">
        <v>8.7999999999999995E-2</v>
      </c>
      <c r="E42" s="1866">
        <v>0.1</v>
      </c>
      <c r="F42" s="1874"/>
    </row>
    <row r="43" spans="1:6" ht="14.25" thickBot="1">
      <c r="A43" s="1861" t="s">
        <v>1329</v>
      </c>
      <c r="B43" s="1868" t="s">
        <v>1221</v>
      </c>
      <c r="C43" s="1866">
        <v>9.8000000000000004E-2</v>
      </c>
      <c r="D43" s="1866">
        <v>9.7000000000000003E-2</v>
      </c>
      <c r="E43" s="1866">
        <v>9.6000000000000002E-2</v>
      </c>
      <c r="F43" s="1874"/>
    </row>
    <row r="44" spans="1:6" ht="14.25" thickBot="1">
      <c r="A44" s="1861" t="s">
        <v>1329</v>
      </c>
      <c r="B44" s="1868" t="s">
        <v>1231</v>
      </c>
      <c r="C44" s="1866">
        <v>8.5999999999999993E-2</v>
      </c>
      <c r="D44" s="1866">
        <v>7.9000000000000001E-2</v>
      </c>
      <c r="E44" s="1866">
        <v>7.0999999999999994E-2</v>
      </c>
      <c r="F44" s="1874"/>
    </row>
    <row r="45" spans="1:6" ht="14.25" thickBot="1">
      <c r="A45" s="1861" t="s">
        <v>1329</v>
      </c>
      <c r="B45" s="1868" t="s">
        <v>1241</v>
      </c>
      <c r="C45" s="1866">
        <v>9.8000000000000004E-2</v>
      </c>
      <c r="D45" s="1866">
        <v>9.6000000000000002E-2</v>
      </c>
      <c r="E45" s="1866">
        <v>9.6000000000000002E-2</v>
      </c>
      <c r="F45" s="1874"/>
    </row>
    <row r="46" spans="1:6" ht="14.25" thickBot="1">
      <c r="A46" s="1861" t="s">
        <v>1329</v>
      </c>
      <c r="B46" s="1868" t="s">
        <v>1251</v>
      </c>
      <c r="C46" s="1866">
        <v>8.5999999999999993E-2</v>
      </c>
      <c r="D46" s="1866">
        <v>9.8000000000000004E-2</v>
      </c>
      <c r="E46" s="1866">
        <v>8.7999999999999995E-2</v>
      </c>
      <c r="F46" s="1874"/>
    </row>
    <row r="47" spans="1:6" ht="14.25" thickBot="1">
      <c r="A47" s="1861" t="s">
        <v>1329</v>
      </c>
      <c r="B47" s="1868" t="s">
        <v>1261</v>
      </c>
      <c r="C47" s="1866">
        <v>9.6000000000000002E-2</v>
      </c>
      <c r="D47" s="1875"/>
      <c r="E47" s="1866">
        <v>6.9000000000000006E-2</v>
      </c>
      <c r="F47" s="1874"/>
    </row>
    <row r="48" spans="1:6" ht="14.25" thickBot="1">
      <c r="A48" s="1869" t="s">
        <v>1329</v>
      </c>
      <c r="B48" s="1870" t="s">
        <v>1270</v>
      </c>
      <c r="C48" s="1871">
        <v>9.8000000000000004E-2</v>
      </c>
      <c r="D48" s="1872"/>
      <c r="E48" s="1871">
        <v>9.5000000000000001E-2</v>
      </c>
      <c r="F48" s="1873"/>
    </row>
    <row r="49" spans="1:6" ht="14.25" thickBot="1">
      <c r="A49" s="1861" t="s">
        <v>927</v>
      </c>
      <c r="B49" s="1862" t="s">
        <v>2102</v>
      </c>
      <c r="C49" s="1863">
        <v>9.7000000000000003E-2</v>
      </c>
      <c r="D49" s="1863">
        <v>9.5000000000000001E-2</v>
      </c>
      <c r="E49" s="1863">
        <v>9.7000000000000003E-2</v>
      </c>
      <c r="F49" s="1864">
        <v>0.1</v>
      </c>
    </row>
    <row r="50" spans="1:6" ht="14.25" thickBot="1">
      <c r="A50" s="1861" t="s">
        <v>927</v>
      </c>
      <c r="B50" s="1865" t="s">
        <v>1076</v>
      </c>
      <c r="C50" s="1866">
        <v>7.4999999999999997E-2</v>
      </c>
      <c r="D50" s="1866">
        <v>9.5000000000000001E-2</v>
      </c>
      <c r="E50" s="1866">
        <v>0.1</v>
      </c>
      <c r="F50" s="1867">
        <v>0.1</v>
      </c>
    </row>
    <row r="51" spans="1:6" ht="14.25" thickBot="1">
      <c r="A51" s="1861" t="s">
        <v>927</v>
      </c>
      <c r="B51" s="1865" t="s">
        <v>1090</v>
      </c>
      <c r="C51" s="1866">
        <v>9.8000000000000004E-2</v>
      </c>
      <c r="D51" s="1866">
        <v>8.8999999999999996E-2</v>
      </c>
      <c r="E51" s="1866">
        <v>0.1</v>
      </c>
      <c r="F51" s="1867">
        <v>0.1</v>
      </c>
    </row>
    <row r="52" spans="1:6" ht="14.25" thickBot="1">
      <c r="A52" s="1861" t="s">
        <v>927</v>
      </c>
      <c r="B52" s="1865" t="s">
        <v>1103</v>
      </c>
      <c r="C52" s="1866">
        <v>9.8000000000000004E-2</v>
      </c>
      <c r="D52" s="1866">
        <v>9.7000000000000003E-2</v>
      </c>
      <c r="E52" s="1866">
        <v>8.1000000000000003E-2</v>
      </c>
      <c r="F52" s="1867">
        <v>0.1</v>
      </c>
    </row>
    <row r="53" spans="1:6" ht="14.25" thickBot="1">
      <c r="A53" s="1861" t="s">
        <v>927</v>
      </c>
      <c r="B53" s="1865" t="s">
        <v>1117</v>
      </c>
      <c r="C53" s="1866">
        <v>9.7000000000000003E-2</v>
      </c>
      <c r="D53" s="1866">
        <v>7.5999999999999998E-2</v>
      </c>
      <c r="E53" s="1866">
        <v>7.0999999999999994E-2</v>
      </c>
      <c r="F53" s="1867">
        <v>0.1</v>
      </c>
    </row>
    <row r="54" spans="1:6" ht="14.25" thickBot="1">
      <c r="A54" s="1861" t="s">
        <v>927</v>
      </c>
      <c r="B54" s="1865" t="s">
        <v>1128</v>
      </c>
      <c r="C54" s="1866">
        <v>7.5999999999999998E-2</v>
      </c>
      <c r="D54" s="1866">
        <v>0.1</v>
      </c>
      <c r="E54" s="1866">
        <v>9.9000000000000005E-2</v>
      </c>
      <c r="F54" s="1867">
        <v>0.1</v>
      </c>
    </row>
    <row r="55" spans="1:6" ht="14.25" thickBot="1">
      <c r="A55" s="1861" t="s">
        <v>927</v>
      </c>
      <c r="B55" s="1865" t="s">
        <v>1139</v>
      </c>
      <c r="C55" s="1866">
        <v>0.1</v>
      </c>
      <c r="D55" s="1866">
        <v>0.1</v>
      </c>
      <c r="E55" s="1866">
        <v>9.6000000000000002E-2</v>
      </c>
      <c r="F55" s="1867">
        <v>0.1</v>
      </c>
    </row>
    <row r="56" spans="1:6" ht="14.25" thickBot="1">
      <c r="A56" s="1861" t="s">
        <v>927</v>
      </c>
      <c r="B56" s="1865" t="s">
        <v>1150</v>
      </c>
      <c r="C56" s="1866">
        <v>0.1</v>
      </c>
      <c r="D56" s="1866">
        <v>9.6000000000000002E-2</v>
      </c>
      <c r="E56" s="1866">
        <v>5.1999999999999998E-2</v>
      </c>
      <c r="F56" s="1867">
        <v>0.1</v>
      </c>
    </row>
    <row r="57" spans="1:6" ht="14.25" thickBot="1">
      <c r="A57" s="1861" t="s">
        <v>927</v>
      </c>
      <c r="B57" s="1865" t="s">
        <v>1162</v>
      </c>
      <c r="C57" s="1866">
        <v>9.7000000000000003E-2</v>
      </c>
      <c r="D57" s="1866">
        <v>9.6000000000000002E-2</v>
      </c>
      <c r="E57" s="1866">
        <v>9.6000000000000002E-2</v>
      </c>
      <c r="F57" s="1867">
        <v>0.1</v>
      </c>
    </row>
    <row r="58" spans="1:6" ht="14.25" thickBot="1">
      <c r="A58" s="1861" t="s">
        <v>927</v>
      </c>
      <c r="B58" s="1865" t="s">
        <v>1172</v>
      </c>
      <c r="C58" s="1866">
        <v>9.6000000000000002E-2</v>
      </c>
      <c r="D58" s="1866">
        <v>9.9000000000000005E-2</v>
      </c>
      <c r="E58" s="1866">
        <v>9.6000000000000002E-2</v>
      </c>
      <c r="F58" s="1867">
        <v>0.1</v>
      </c>
    </row>
    <row r="59" spans="1:6" ht="14.25" thickBot="1">
      <c r="A59" s="1861" t="s">
        <v>927</v>
      </c>
      <c r="B59" s="1865" t="s">
        <v>1182</v>
      </c>
      <c r="C59" s="1866">
        <v>7.1999999999999995E-2</v>
      </c>
      <c r="D59" s="1866">
        <v>9.6000000000000002E-2</v>
      </c>
      <c r="E59" s="1866">
        <v>7.0999999999999994E-2</v>
      </c>
      <c r="F59" s="1867">
        <v>0.1</v>
      </c>
    </row>
    <row r="60" spans="1:6" ht="14.25" thickBot="1">
      <c r="A60" s="1861" t="s">
        <v>927</v>
      </c>
      <c r="B60" s="1865" t="s">
        <v>1192</v>
      </c>
      <c r="C60" s="1866">
        <v>9.6000000000000002E-2</v>
      </c>
      <c r="D60" s="1866">
        <v>8.8999999999999996E-2</v>
      </c>
      <c r="E60" s="1866">
        <v>9.6000000000000002E-2</v>
      </c>
      <c r="F60" s="1867">
        <v>0.1</v>
      </c>
    </row>
    <row r="61" spans="1:6" ht="14.25" thickBot="1">
      <c r="A61" s="1861" t="s">
        <v>927</v>
      </c>
      <c r="B61" s="1865" t="s">
        <v>1202</v>
      </c>
      <c r="C61" s="1866">
        <v>8.8999999999999996E-2</v>
      </c>
      <c r="D61" s="1866">
        <v>9.8000000000000004E-2</v>
      </c>
      <c r="E61" s="1866">
        <v>8.7999999999999995E-2</v>
      </c>
      <c r="F61" s="1874"/>
    </row>
    <row r="62" spans="1:6" ht="14.25" thickBot="1">
      <c r="A62" s="1861" t="s">
        <v>927</v>
      </c>
      <c r="B62" s="1865" t="s">
        <v>1212</v>
      </c>
      <c r="C62" s="1866">
        <v>9.8000000000000004E-2</v>
      </c>
      <c r="D62" s="1866">
        <v>9.2999999999999999E-2</v>
      </c>
      <c r="E62" s="1866">
        <v>9.7000000000000003E-2</v>
      </c>
      <c r="F62" s="1874"/>
    </row>
    <row r="63" spans="1:6" ht="14.25" thickBot="1">
      <c r="A63" s="1861" t="s">
        <v>927</v>
      </c>
      <c r="B63" s="1865" t="s">
        <v>1222</v>
      </c>
      <c r="C63" s="1866">
        <v>9.6000000000000002E-2</v>
      </c>
      <c r="D63" s="1866">
        <v>9.8000000000000004E-2</v>
      </c>
      <c r="E63" s="1866">
        <v>0.09</v>
      </c>
      <c r="F63" s="1874"/>
    </row>
    <row r="64" spans="1:6" ht="14.25" thickBot="1">
      <c r="A64" s="1861" t="s">
        <v>927</v>
      </c>
      <c r="B64" s="1865" t="s">
        <v>1232</v>
      </c>
      <c r="C64" s="1866">
        <v>9.9000000000000005E-2</v>
      </c>
      <c r="D64" s="1866">
        <v>9.7000000000000003E-2</v>
      </c>
      <c r="E64" s="1866">
        <v>9.9000000000000005E-2</v>
      </c>
      <c r="F64" s="1874"/>
    </row>
    <row r="65" spans="1:6" ht="14.25" thickBot="1">
      <c r="A65" s="1861" t="s">
        <v>927</v>
      </c>
      <c r="B65" s="1865" t="s">
        <v>1242</v>
      </c>
      <c r="C65" s="1866">
        <v>9.8000000000000004E-2</v>
      </c>
      <c r="D65" s="1866">
        <v>9.6000000000000002E-2</v>
      </c>
      <c r="E65" s="1866">
        <v>9.6000000000000002E-2</v>
      </c>
      <c r="F65" s="1874"/>
    </row>
    <row r="66" spans="1:6" ht="14.25" thickBot="1">
      <c r="A66" s="1861" t="s">
        <v>927</v>
      </c>
      <c r="B66" s="1865" t="s">
        <v>1252</v>
      </c>
      <c r="C66" s="1866">
        <v>9.6000000000000002E-2</v>
      </c>
      <c r="D66" s="1866">
        <v>9.1999999999999998E-2</v>
      </c>
      <c r="E66" s="1866">
        <v>9.6000000000000002E-2</v>
      </c>
      <c r="F66" s="1874"/>
    </row>
    <row r="67" spans="1:6" ht="14.25" thickBot="1">
      <c r="A67" s="1861" t="s">
        <v>927</v>
      </c>
      <c r="B67" s="1865" t="s">
        <v>1262</v>
      </c>
      <c r="C67" s="1866">
        <v>9.4E-2</v>
      </c>
      <c r="D67" s="1866">
        <v>0.1</v>
      </c>
      <c r="E67" s="1866">
        <v>8.7999999999999995E-2</v>
      </c>
      <c r="F67" s="1874"/>
    </row>
    <row r="68" spans="1:6" ht="14.25" thickBot="1">
      <c r="A68" s="1861" t="s">
        <v>927</v>
      </c>
      <c r="B68" s="1865" t="s">
        <v>1271</v>
      </c>
      <c r="C68" s="1866">
        <v>0.1</v>
      </c>
      <c r="D68" s="1866">
        <v>8.7999999999999995E-2</v>
      </c>
      <c r="E68" s="1866">
        <v>9.7000000000000003E-2</v>
      </c>
      <c r="F68" s="1874"/>
    </row>
    <row r="69" spans="1:6" ht="14.25" thickBot="1">
      <c r="A69" s="1861" t="s">
        <v>927</v>
      </c>
      <c r="B69" s="1865" t="s">
        <v>1280</v>
      </c>
      <c r="C69" s="1866">
        <v>6.4000000000000001E-2</v>
      </c>
      <c r="D69" s="1866">
        <v>0.1</v>
      </c>
      <c r="E69" s="1866">
        <v>0.1</v>
      </c>
      <c r="F69" s="1874"/>
    </row>
    <row r="70" spans="1:6" ht="14.25" thickBot="1">
      <c r="A70" s="1861" t="s">
        <v>927</v>
      </c>
      <c r="B70" s="1865" t="s">
        <v>1288</v>
      </c>
      <c r="C70" s="1866">
        <v>9.0999999999999998E-2</v>
      </c>
      <c r="D70" s="1875"/>
      <c r="E70" s="1875"/>
      <c r="F70" s="1874"/>
    </row>
    <row r="71" spans="1:6" ht="14.25" thickBot="1">
      <c r="A71" s="1861" t="s">
        <v>927</v>
      </c>
      <c r="B71" s="1865" t="s">
        <v>1295</v>
      </c>
      <c r="C71" s="1866">
        <v>0.1</v>
      </c>
      <c r="D71" s="1875"/>
      <c r="E71" s="1875"/>
      <c r="F71" s="1874"/>
    </row>
    <row r="72" spans="1:6" ht="14.25" thickBot="1">
      <c r="A72" s="1861" t="s">
        <v>927</v>
      </c>
      <c r="B72" s="1865" t="s">
        <v>2103</v>
      </c>
      <c r="C72" s="1875"/>
      <c r="D72" s="1875"/>
      <c r="E72" s="1875"/>
      <c r="F72" s="1867">
        <v>0.05</v>
      </c>
    </row>
    <row r="73" spans="1:6" ht="14.25" thickBot="1">
      <c r="A73" s="1861" t="s">
        <v>927</v>
      </c>
      <c r="B73" s="1865" t="s">
        <v>2104</v>
      </c>
      <c r="C73" s="1875"/>
      <c r="D73" s="1875"/>
      <c r="E73" s="1875"/>
      <c r="F73" s="1867">
        <v>0.05</v>
      </c>
    </row>
    <row r="74" spans="1:6" ht="14.25" thickBot="1">
      <c r="A74" s="1861" t="s">
        <v>927</v>
      </c>
      <c r="B74" s="1865" t="s">
        <v>2105</v>
      </c>
      <c r="C74" s="1875"/>
      <c r="D74" s="1875"/>
      <c r="E74" s="1875"/>
      <c r="F74" s="1867">
        <v>0.05</v>
      </c>
    </row>
    <row r="75" spans="1:6" ht="14.25" thickBot="1">
      <c r="A75" s="1869" t="s">
        <v>927</v>
      </c>
      <c r="B75" s="1876" t="s">
        <v>2106</v>
      </c>
      <c r="C75" s="1872"/>
      <c r="D75" s="1872"/>
      <c r="E75" s="1872"/>
      <c r="F75" s="1877">
        <v>0.05</v>
      </c>
    </row>
    <row r="76" spans="1:6" ht="14.25" thickBot="1">
      <c r="A76" s="1861" t="s">
        <v>1410</v>
      </c>
      <c r="B76" s="1862" t="s">
        <v>2107</v>
      </c>
      <c r="C76" s="1863">
        <v>0.1</v>
      </c>
      <c r="D76" s="1863">
        <v>0.1</v>
      </c>
      <c r="E76" s="1863">
        <v>0.1</v>
      </c>
      <c r="F76" s="1864">
        <v>0.1</v>
      </c>
    </row>
    <row r="77" spans="1:6" ht="14.25" thickBot="1">
      <c r="A77" s="1861" t="s">
        <v>1410</v>
      </c>
      <c r="B77" s="1865" t="s">
        <v>1077</v>
      </c>
      <c r="C77" s="1866">
        <v>8.7999999999999995E-2</v>
      </c>
      <c r="D77" s="1866">
        <v>8.6999999999999994E-2</v>
      </c>
      <c r="E77" s="1866">
        <v>7.9000000000000001E-2</v>
      </c>
      <c r="F77" s="1867">
        <v>0.1</v>
      </c>
    </row>
    <row r="78" spans="1:6" ht="14.25" thickBot="1">
      <c r="A78" s="1861" t="s">
        <v>1410</v>
      </c>
      <c r="B78" s="1865" t="s">
        <v>1091</v>
      </c>
      <c r="C78" s="1866">
        <v>8.6999999999999994E-2</v>
      </c>
      <c r="D78" s="1866">
        <v>8.4000000000000005E-2</v>
      </c>
      <c r="E78" s="1866">
        <v>9.6000000000000002E-2</v>
      </c>
      <c r="F78" s="1867">
        <v>0.1</v>
      </c>
    </row>
    <row r="79" spans="1:6" ht="14.25" thickBot="1">
      <c r="A79" s="1861" t="s">
        <v>1410</v>
      </c>
      <c r="B79" s="1865" t="s">
        <v>1104</v>
      </c>
      <c r="C79" s="1866">
        <v>9.8000000000000004E-2</v>
      </c>
      <c r="D79" s="1866">
        <v>9.8000000000000004E-2</v>
      </c>
      <c r="E79" s="1866">
        <v>9.0999999999999998E-2</v>
      </c>
      <c r="F79" s="1867">
        <v>0.1</v>
      </c>
    </row>
    <row r="80" spans="1:6" ht="14.25" thickBot="1">
      <c r="A80" s="1861" t="s">
        <v>1410</v>
      </c>
      <c r="B80" s="1865" t="s">
        <v>1118</v>
      </c>
      <c r="C80" s="1866">
        <v>9.6000000000000002E-2</v>
      </c>
      <c r="D80" s="1866">
        <v>9.6000000000000002E-2</v>
      </c>
      <c r="E80" s="1866">
        <v>0.1</v>
      </c>
      <c r="F80" s="1867">
        <v>0.1</v>
      </c>
    </row>
    <row r="81" spans="1:6" ht="14.25" thickBot="1">
      <c r="A81" s="1861" t="s">
        <v>1410</v>
      </c>
      <c r="B81" s="1865" t="s">
        <v>1129</v>
      </c>
      <c r="C81" s="1866">
        <v>9.9000000000000005E-2</v>
      </c>
      <c r="D81" s="1866">
        <v>9.9000000000000005E-2</v>
      </c>
      <c r="E81" s="1866">
        <v>9.8000000000000004E-2</v>
      </c>
      <c r="F81" s="1867">
        <v>0.1</v>
      </c>
    </row>
    <row r="82" spans="1:6" ht="14.25" thickBot="1">
      <c r="A82" s="1861" t="s">
        <v>1410</v>
      </c>
      <c r="B82" s="1865" t="s">
        <v>1140</v>
      </c>
      <c r="C82" s="1866">
        <v>9.9000000000000005E-2</v>
      </c>
      <c r="D82" s="1866">
        <v>9.9000000000000005E-2</v>
      </c>
      <c r="E82" s="1866">
        <v>9.7000000000000003E-2</v>
      </c>
      <c r="F82" s="1867">
        <v>0.1</v>
      </c>
    </row>
    <row r="83" spans="1:6" ht="14.25" thickBot="1">
      <c r="A83" s="1861" t="s">
        <v>1410</v>
      </c>
      <c r="B83" s="1865" t="s">
        <v>1151</v>
      </c>
      <c r="C83" s="1866">
        <v>9.8000000000000004E-2</v>
      </c>
      <c r="D83" s="1866">
        <v>9.8000000000000004E-2</v>
      </c>
      <c r="E83" s="1866">
        <v>9.8000000000000004E-2</v>
      </c>
      <c r="F83" s="1867">
        <v>0.1</v>
      </c>
    </row>
    <row r="84" spans="1:6" ht="14.25" thickBot="1">
      <c r="A84" s="1861" t="s">
        <v>1410</v>
      </c>
      <c r="B84" s="1865" t="s">
        <v>1163</v>
      </c>
      <c r="C84" s="1866">
        <v>9.9000000000000005E-2</v>
      </c>
      <c r="D84" s="1866">
        <v>9.9000000000000005E-2</v>
      </c>
      <c r="E84" s="1866">
        <v>9.9000000000000005E-2</v>
      </c>
      <c r="F84" s="1867">
        <v>0.1</v>
      </c>
    </row>
    <row r="85" spans="1:6" ht="14.25" thickBot="1">
      <c r="A85" s="1861" t="s">
        <v>1410</v>
      </c>
      <c r="B85" s="1865" t="s">
        <v>1173</v>
      </c>
      <c r="C85" s="1866">
        <v>9.9000000000000005E-2</v>
      </c>
      <c r="D85" s="1866">
        <v>9.9000000000000005E-2</v>
      </c>
      <c r="E85" s="1866">
        <v>9.9000000000000005E-2</v>
      </c>
      <c r="F85" s="1867">
        <v>0.1</v>
      </c>
    </row>
    <row r="86" spans="1:6" ht="14.25" thickBot="1">
      <c r="A86" s="1861" t="s">
        <v>1410</v>
      </c>
      <c r="B86" s="1865" t="s">
        <v>1183</v>
      </c>
      <c r="C86" s="1866">
        <v>0.1</v>
      </c>
      <c r="D86" s="1866">
        <v>0.1</v>
      </c>
      <c r="E86" s="1866">
        <v>7.6999999999999999E-2</v>
      </c>
      <c r="F86" s="1867">
        <v>0.1</v>
      </c>
    </row>
    <row r="87" spans="1:6" ht="14.25" thickBot="1">
      <c r="A87" s="1861" t="s">
        <v>1410</v>
      </c>
      <c r="B87" s="1865" t="s">
        <v>1193</v>
      </c>
      <c r="C87" s="1866">
        <v>0.1</v>
      </c>
      <c r="D87" s="1866">
        <v>0.1</v>
      </c>
      <c r="E87" s="1866">
        <v>9.8000000000000004E-2</v>
      </c>
      <c r="F87" s="1874"/>
    </row>
    <row r="88" spans="1:6" ht="14.25" thickBot="1">
      <c r="A88" s="1861" t="s">
        <v>1410</v>
      </c>
      <c r="B88" s="1865" t="s">
        <v>1203</v>
      </c>
      <c r="C88" s="1866">
        <v>9.1999999999999998E-2</v>
      </c>
      <c r="D88" s="1866">
        <v>8.5000000000000006E-2</v>
      </c>
      <c r="E88" s="1866">
        <v>9.6000000000000002E-2</v>
      </c>
      <c r="F88" s="1874"/>
    </row>
    <row r="89" spans="1:6" ht="14.25" thickBot="1">
      <c r="A89" s="1861" t="s">
        <v>1410</v>
      </c>
      <c r="B89" s="1865" t="s">
        <v>1213</v>
      </c>
      <c r="C89" s="1866">
        <v>0.1</v>
      </c>
      <c r="D89" s="1866">
        <v>0.1</v>
      </c>
      <c r="E89" s="1866">
        <v>9.7000000000000003E-2</v>
      </c>
      <c r="F89" s="1874"/>
    </row>
    <row r="90" spans="1:6" ht="14.25" thickBot="1">
      <c r="A90" s="1861" t="s">
        <v>1410</v>
      </c>
      <c r="B90" s="1865" t="s">
        <v>1223</v>
      </c>
      <c r="C90" s="1866">
        <v>9.8000000000000004E-2</v>
      </c>
      <c r="D90" s="1866">
        <v>9.8000000000000004E-2</v>
      </c>
      <c r="E90" s="1866">
        <v>8.7999999999999995E-2</v>
      </c>
      <c r="F90" s="1874"/>
    </row>
    <row r="91" spans="1:6" ht="14.25" thickBot="1">
      <c r="A91" s="1861" t="s">
        <v>1410</v>
      </c>
      <c r="B91" s="1865" t="s">
        <v>1233</v>
      </c>
      <c r="C91" s="1866">
        <v>9.9000000000000005E-2</v>
      </c>
      <c r="D91" s="1866">
        <v>9.9000000000000005E-2</v>
      </c>
      <c r="E91" s="1866">
        <v>9.0999999999999998E-2</v>
      </c>
      <c r="F91" s="1874"/>
    </row>
    <row r="92" spans="1:6" ht="14.25" thickBot="1">
      <c r="A92" s="1861" t="s">
        <v>1410</v>
      </c>
      <c r="B92" s="1865" t="s">
        <v>1243</v>
      </c>
      <c r="C92" s="1866">
        <v>9.6000000000000002E-2</v>
      </c>
      <c r="D92" s="1866">
        <v>9.6000000000000002E-2</v>
      </c>
      <c r="E92" s="1866">
        <v>7.2999999999999995E-2</v>
      </c>
      <c r="F92" s="1874"/>
    </row>
    <row r="93" spans="1:6" ht="14.25" thickBot="1">
      <c r="A93" s="1861" t="s">
        <v>1410</v>
      </c>
      <c r="B93" s="1865" t="s">
        <v>1253</v>
      </c>
      <c r="C93" s="1866">
        <v>9.6000000000000002E-2</v>
      </c>
      <c r="D93" s="1866">
        <v>9.6000000000000002E-2</v>
      </c>
      <c r="E93" s="1866">
        <v>9.9000000000000005E-2</v>
      </c>
      <c r="F93" s="1874"/>
    </row>
    <row r="94" spans="1:6" ht="14.25" thickBot="1">
      <c r="A94" s="1861" t="s">
        <v>1410</v>
      </c>
      <c r="B94" s="1865" t="s">
        <v>1263</v>
      </c>
      <c r="C94" s="1866">
        <v>7.5999999999999998E-2</v>
      </c>
      <c r="D94" s="1866">
        <v>7.3999999999999996E-2</v>
      </c>
      <c r="E94" s="1866">
        <v>9.7000000000000003E-2</v>
      </c>
      <c r="F94" s="1874"/>
    </row>
    <row r="95" spans="1:6" ht="14.25" thickBot="1">
      <c r="A95" s="1861" t="s">
        <v>1410</v>
      </c>
      <c r="B95" s="1865" t="s">
        <v>1272</v>
      </c>
      <c r="C95" s="1866">
        <v>9.9000000000000005E-2</v>
      </c>
      <c r="D95" s="1866">
        <v>9.4E-2</v>
      </c>
      <c r="E95" s="1866">
        <v>9.6000000000000002E-2</v>
      </c>
      <c r="F95" s="1874"/>
    </row>
    <row r="96" spans="1:6" ht="14.25" thickBot="1">
      <c r="A96" s="1861" t="s">
        <v>1410</v>
      </c>
      <c r="B96" s="1865" t="s">
        <v>1281</v>
      </c>
      <c r="C96" s="1866">
        <v>9.9000000000000005E-2</v>
      </c>
      <c r="D96" s="1866">
        <v>9.9000000000000005E-2</v>
      </c>
      <c r="E96" s="1866">
        <v>9.9000000000000005E-2</v>
      </c>
      <c r="F96" s="1874"/>
    </row>
    <row r="97" spans="1:6" ht="14.25" thickBot="1">
      <c r="A97" s="1861" t="s">
        <v>1410</v>
      </c>
      <c r="B97" s="1865" t="s">
        <v>1289</v>
      </c>
      <c r="C97" s="1866">
        <v>9.8000000000000004E-2</v>
      </c>
      <c r="D97" s="1866">
        <v>9.8000000000000004E-2</v>
      </c>
      <c r="E97" s="1866">
        <v>9.7000000000000003E-2</v>
      </c>
      <c r="F97" s="1874"/>
    </row>
    <row r="98" spans="1:6" ht="14.25" thickBot="1">
      <c r="A98" s="1861" t="s">
        <v>1410</v>
      </c>
      <c r="B98" s="1865" t="s">
        <v>1296</v>
      </c>
      <c r="C98" s="1866">
        <v>0.1</v>
      </c>
      <c r="D98" s="1866">
        <v>0.1</v>
      </c>
      <c r="E98" s="1866">
        <v>9.7000000000000003E-2</v>
      </c>
      <c r="F98" s="1874"/>
    </row>
    <row r="99" spans="1:6" ht="14.25" thickBot="1">
      <c r="A99" s="1861" t="s">
        <v>1410</v>
      </c>
      <c r="B99" s="1865" t="s">
        <v>1303</v>
      </c>
      <c r="C99" s="1866">
        <v>0.1</v>
      </c>
      <c r="D99" s="1866">
        <v>0.1</v>
      </c>
      <c r="E99" s="1875"/>
      <c r="F99" s="1874"/>
    </row>
    <row r="100" spans="1:6" ht="14.25" thickBot="1">
      <c r="A100" s="1861" t="s">
        <v>1410</v>
      </c>
      <c r="B100" s="1865" t="s">
        <v>1310</v>
      </c>
      <c r="C100" s="1866">
        <v>0.09</v>
      </c>
      <c r="D100" s="1866">
        <v>8.8999999999999996E-2</v>
      </c>
      <c r="E100" s="1875"/>
      <c r="F100" s="1874"/>
    </row>
    <row r="101" spans="1:6" ht="14.25" thickBot="1">
      <c r="A101" s="1861" t="s">
        <v>1410</v>
      </c>
      <c r="B101" s="1865" t="s">
        <v>1317</v>
      </c>
      <c r="C101" s="1866">
        <v>9.8000000000000004E-2</v>
      </c>
      <c r="D101" s="1866">
        <v>9.7000000000000003E-2</v>
      </c>
      <c r="E101" s="1875"/>
      <c r="F101" s="1874"/>
    </row>
    <row r="102" spans="1:6" ht="14.25" thickBot="1">
      <c r="A102" s="1861" t="s">
        <v>1410</v>
      </c>
      <c r="B102" s="1865" t="s">
        <v>2108</v>
      </c>
      <c r="C102" s="1875"/>
      <c r="D102" s="1875"/>
      <c r="E102" s="1875"/>
      <c r="F102" s="1867">
        <v>0.05</v>
      </c>
    </row>
    <row r="103" spans="1:6" ht="24.75" thickBot="1">
      <c r="A103" s="1861" t="s">
        <v>1410</v>
      </c>
      <c r="B103" s="1865" t="s">
        <v>2109</v>
      </c>
      <c r="C103" s="1875"/>
      <c r="D103" s="1875"/>
      <c r="E103" s="1875"/>
      <c r="F103" s="1867">
        <v>0.05</v>
      </c>
    </row>
    <row r="104" spans="1:6" ht="14.25" thickBot="1">
      <c r="A104" s="1861" t="s">
        <v>1410</v>
      </c>
      <c r="B104" s="1865" t="s">
        <v>2110</v>
      </c>
      <c r="C104" s="1875"/>
      <c r="D104" s="1875"/>
      <c r="E104" s="1875"/>
      <c r="F104" s="1867">
        <v>0.05</v>
      </c>
    </row>
    <row r="105" spans="1:6" ht="14.25" thickBot="1">
      <c r="A105" s="1861" t="s">
        <v>1410</v>
      </c>
      <c r="B105" s="1865" t="s">
        <v>2111</v>
      </c>
      <c r="C105" s="1875"/>
      <c r="D105" s="1875"/>
      <c r="E105" s="1875"/>
      <c r="F105" s="1867">
        <v>0.05</v>
      </c>
    </row>
    <row r="106" spans="1:6" ht="14.25" thickBot="1">
      <c r="A106" s="1861" t="s">
        <v>1410</v>
      </c>
      <c r="B106" s="1865" t="s">
        <v>2112</v>
      </c>
      <c r="C106" s="1875"/>
      <c r="D106" s="1875"/>
      <c r="E106" s="1875"/>
      <c r="F106" s="1867">
        <v>0.05</v>
      </c>
    </row>
    <row r="107" spans="1:6" ht="24.75" thickBot="1">
      <c r="A107" s="1861" t="s">
        <v>1410</v>
      </c>
      <c r="B107" s="1865" t="s">
        <v>2113</v>
      </c>
      <c r="C107" s="1875"/>
      <c r="D107" s="1875"/>
      <c r="E107" s="1875"/>
      <c r="F107" s="1867">
        <v>0.05</v>
      </c>
    </row>
    <row r="108" spans="1:6" ht="24.75" thickBot="1">
      <c r="A108" s="1861" t="s">
        <v>1410</v>
      </c>
      <c r="B108" s="1865" t="s">
        <v>2114</v>
      </c>
      <c r="C108" s="1875"/>
      <c r="D108" s="1875"/>
      <c r="E108" s="1875"/>
      <c r="F108" s="1867">
        <v>0.05</v>
      </c>
    </row>
    <row r="109" spans="1:6" ht="24.75" thickBot="1">
      <c r="A109" s="1869" t="s">
        <v>1410</v>
      </c>
      <c r="B109" s="1876" t="s">
        <v>2115</v>
      </c>
      <c r="C109" s="1872"/>
      <c r="D109" s="1872"/>
      <c r="E109" s="1872"/>
      <c r="F109" s="1877">
        <v>0.05</v>
      </c>
    </row>
    <row r="110" spans="1:6" ht="14.25" thickBot="1">
      <c r="A110" s="1861" t="s">
        <v>1412</v>
      </c>
      <c r="B110" s="1862" t="s">
        <v>2116</v>
      </c>
      <c r="C110" s="1863">
        <v>0.129</v>
      </c>
      <c r="D110" s="1863">
        <v>0.129</v>
      </c>
      <c r="E110" s="1863">
        <v>0.126</v>
      </c>
      <c r="F110" s="1864">
        <v>0.13</v>
      </c>
    </row>
    <row r="111" spans="1:6" ht="14.25" thickBot="1">
      <c r="A111" s="1861" t="s">
        <v>1412</v>
      </c>
      <c r="B111" s="1865" t="s">
        <v>1078</v>
      </c>
      <c r="C111" s="1866">
        <v>0.11</v>
      </c>
      <c r="D111" s="1866">
        <v>0.11</v>
      </c>
      <c r="E111" s="1866">
        <v>9.9000000000000005E-2</v>
      </c>
      <c r="F111" s="1867">
        <v>0.128</v>
      </c>
    </row>
    <row r="112" spans="1:6" ht="14.25" thickBot="1">
      <c r="A112" s="1861" t="s">
        <v>1412</v>
      </c>
      <c r="B112" s="1865" t="s">
        <v>1092</v>
      </c>
      <c r="C112" s="1866">
        <v>0.125</v>
      </c>
      <c r="D112" s="1866">
        <v>0.125</v>
      </c>
      <c r="E112" s="1866">
        <v>0.12</v>
      </c>
      <c r="F112" s="1867">
        <v>0.125</v>
      </c>
    </row>
    <row r="113" spans="1:6" ht="14.25" thickBot="1">
      <c r="A113" s="1861" t="s">
        <v>1412</v>
      </c>
      <c r="B113" s="1865" t="s">
        <v>1105</v>
      </c>
      <c r="C113" s="1866">
        <v>0.13</v>
      </c>
      <c r="D113" s="1866">
        <v>0.13</v>
      </c>
      <c r="E113" s="1866">
        <v>0.13</v>
      </c>
      <c r="F113" s="1867">
        <v>0.13</v>
      </c>
    </row>
    <row r="114" spans="1:6" ht="14.25" thickBot="1">
      <c r="A114" s="1861" t="s">
        <v>1412</v>
      </c>
      <c r="B114" s="1865" t="s">
        <v>1119</v>
      </c>
      <c r="C114" s="1866">
        <v>0.123</v>
      </c>
      <c r="D114" s="1866">
        <v>0.123</v>
      </c>
      <c r="E114" s="1866">
        <v>0.12</v>
      </c>
      <c r="F114" s="1867">
        <v>0.13</v>
      </c>
    </row>
    <row r="115" spans="1:6" ht="14.25" thickBot="1">
      <c r="A115" s="1861" t="s">
        <v>1412</v>
      </c>
      <c r="B115" s="1865" t="s">
        <v>1130</v>
      </c>
      <c r="C115" s="1866">
        <v>0.125</v>
      </c>
      <c r="D115" s="1866">
        <v>0.125</v>
      </c>
      <c r="E115" s="1866">
        <v>0.11700000000000001</v>
      </c>
      <c r="F115" s="1867">
        <v>0.13</v>
      </c>
    </row>
    <row r="116" spans="1:6" ht="14.25" thickBot="1">
      <c r="A116" s="1861" t="s">
        <v>1412</v>
      </c>
      <c r="B116" s="1865" t="s">
        <v>1141</v>
      </c>
      <c r="C116" s="1866">
        <v>0.11700000000000001</v>
      </c>
      <c r="D116" s="1866">
        <v>0.11700000000000001</v>
      </c>
      <c r="E116" s="1866">
        <v>8.7999999999999995E-2</v>
      </c>
      <c r="F116" s="1867">
        <v>0.13</v>
      </c>
    </row>
    <row r="117" spans="1:6" ht="14.25" thickBot="1">
      <c r="A117" s="1861" t="s">
        <v>1412</v>
      </c>
      <c r="B117" s="1865" t="s">
        <v>1152</v>
      </c>
      <c r="C117" s="1866">
        <v>0.13</v>
      </c>
      <c r="D117" s="1866">
        <v>0.13</v>
      </c>
      <c r="E117" s="1866">
        <v>0.129</v>
      </c>
      <c r="F117" s="1867">
        <v>0.13</v>
      </c>
    </row>
    <row r="118" spans="1:6" ht="14.25" thickBot="1">
      <c r="A118" s="1861" t="s">
        <v>1412</v>
      </c>
      <c r="B118" s="1865" t="s">
        <v>1164</v>
      </c>
      <c r="C118" s="1866">
        <v>0.123</v>
      </c>
      <c r="D118" s="1866">
        <v>0.123</v>
      </c>
      <c r="E118" s="1866">
        <v>0.11600000000000001</v>
      </c>
      <c r="F118" s="1867">
        <v>0.13</v>
      </c>
    </row>
    <row r="119" spans="1:6" ht="14.25" thickBot="1">
      <c r="A119" s="1861" t="s">
        <v>1412</v>
      </c>
      <c r="B119" s="1865" t="s">
        <v>1174</v>
      </c>
      <c r="C119" s="1866">
        <v>0.127</v>
      </c>
      <c r="D119" s="1866">
        <v>0.127</v>
      </c>
      <c r="E119" s="1866">
        <v>0.124</v>
      </c>
      <c r="F119" s="1867">
        <v>0.13</v>
      </c>
    </row>
    <row r="120" spans="1:6" ht="14.25" thickBot="1">
      <c r="A120" s="1861" t="s">
        <v>1412</v>
      </c>
      <c r="B120" s="1865" t="s">
        <v>1184</v>
      </c>
      <c r="C120" s="1866">
        <v>0.125</v>
      </c>
      <c r="D120" s="1866">
        <v>0.125</v>
      </c>
      <c r="E120" s="1866">
        <v>0.122</v>
      </c>
      <c r="F120" s="1867">
        <v>0.13</v>
      </c>
    </row>
    <row r="121" spans="1:6" ht="14.25" thickBot="1">
      <c r="A121" s="1861" t="s">
        <v>1412</v>
      </c>
      <c r="B121" s="1865" t="s">
        <v>1194</v>
      </c>
      <c r="C121" s="1866">
        <v>0.13</v>
      </c>
      <c r="D121" s="1866">
        <v>0.13</v>
      </c>
      <c r="E121" s="1866">
        <v>0.13</v>
      </c>
      <c r="F121" s="1867">
        <v>0.13</v>
      </c>
    </row>
    <row r="122" spans="1:6" ht="14.25" thickBot="1">
      <c r="A122" s="1861" t="s">
        <v>1412</v>
      </c>
      <c r="B122" s="1865" t="s">
        <v>1204</v>
      </c>
      <c r="C122" s="1866">
        <v>0.13</v>
      </c>
      <c r="D122" s="1866">
        <v>0.13</v>
      </c>
      <c r="E122" s="1866">
        <v>0.125</v>
      </c>
      <c r="F122" s="1867">
        <v>0.13</v>
      </c>
    </row>
    <row r="123" spans="1:6" ht="14.25" thickBot="1">
      <c r="A123" s="1861" t="s">
        <v>1412</v>
      </c>
      <c r="B123" s="1865" t="s">
        <v>1214</v>
      </c>
      <c r="C123" s="1866">
        <v>0.129</v>
      </c>
      <c r="D123" s="1866">
        <v>0.129</v>
      </c>
      <c r="E123" s="1866">
        <v>0.123</v>
      </c>
      <c r="F123" s="1867">
        <v>0.13</v>
      </c>
    </row>
    <row r="124" spans="1:6" ht="14.25" thickBot="1">
      <c r="A124" s="1861" t="s">
        <v>1412</v>
      </c>
      <c r="B124" s="1865" t="s">
        <v>1224</v>
      </c>
      <c r="C124" s="1866">
        <v>0.10199999999999999</v>
      </c>
      <c r="D124" s="1866">
        <v>0.10100000000000001</v>
      </c>
      <c r="E124" s="1866">
        <v>0.08</v>
      </c>
      <c r="F124" s="1874"/>
    </row>
    <row r="125" spans="1:6" ht="14.25" thickBot="1">
      <c r="A125" s="1861" t="s">
        <v>1412</v>
      </c>
      <c r="B125" s="1865" t="s">
        <v>1234</v>
      </c>
      <c r="C125" s="1866">
        <v>0.13</v>
      </c>
      <c r="D125" s="1866">
        <v>0.13</v>
      </c>
      <c r="E125" s="1866">
        <v>0.129</v>
      </c>
      <c r="F125" s="1874"/>
    </row>
    <row r="126" spans="1:6" ht="14.25" thickBot="1">
      <c r="A126" s="1861" t="s">
        <v>1412</v>
      </c>
      <c r="B126" s="1865" t="s">
        <v>1244</v>
      </c>
      <c r="C126" s="1866">
        <v>0.13</v>
      </c>
      <c r="D126" s="1866">
        <v>0.13</v>
      </c>
      <c r="E126" s="1866">
        <v>0.126</v>
      </c>
      <c r="F126" s="1874"/>
    </row>
    <row r="127" spans="1:6" ht="14.25" thickBot="1">
      <c r="A127" s="1861" t="s">
        <v>1412</v>
      </c>
      <c r="B127" s="1865" t="s">
        <v>1254</v>
      </c>
      <c r="C127" s="1866">
        <v>0.125</v>
      </c>
      <c r="D127" s="1866">
        <v>0.125</v>
      </c>
      <c r="E127" s="1866">
        <v>0.121</v>
      </c>
      <c r="F127" s="1874"/>
    </row>
    <row r="128" spans="1:6" ht="14.25" thickBot="1">
      <c r="A128" s="1861" t="s">
        <v>1412</v>
      </c>
      <c r="B128" s="1865" t="s">
        <v>1264</v>
      </c>
      <c r="C128" s="1866">
        <v>0.12</v>
      </c>
      <c r="D128" s="1866">
        <v>0.12</v>
      </c>
      <c r="E128" s="1866">
        <v>0.105</v>
      </c>
      <c r="F128" s="1874"/>
    </row>
    <row r="129" spans="1:6" ht="14.25" thickBot="1">
      <c r="A129" s="1861" t="s">
        <v>1412</v>
      </c>
      <c r="B129" s="1865" t="s">
        <v>1273</v>
      </c>
      <c r="C129" s="1866">
        <v>0.13</v>
      </c>
      <c r="D129" s="1866">
        <v>0.13</v>
      </c>
      <c r="E129" s="1866">
        <v>0.126</v>
      </c>
      <c r="F129" s="1874"/>
    </row>
    <row r="130" spans="1:6" ht="14.25" thickBot="1">
      <c r="A130" s="1861" t="s">
        <v>1412</v>
      </c>
      <c r="B130" s="1865" t="s">
        <v>1282</v>
      </c>
      <c r="C130" s="1866">
        <v>0.125</v>
      </c>
      <c r="D130" s="1866">
        <v>0.125</v>
      </c>
      <c r="E130" s="1866">
        <v>0.122</v>
      </c>
      <c r="F130" s="1874"/>
    </row>
    <row r="131" spans="1:6" ht="14.25" thickBot="1">
      <c r="A131" s="1861" t="s">
        <v>1412</v>
      </c>
      <c r="B131" s="1865" t="s">
        <v>1290</v>
      </c>
      <c r="C131" s="1866">
        <v>0.127</v>
      </c>
      <c r="D131" s="1866">
        <v>0.126</v>
      </c>
      <c r="E131" s="1866">
        <v>0.123</v>
      </c>
      <c r="F131" s="1874"/>
    </row>
    <row r="132" spans="1:6" ht="14.25" thickBot="1">
      <c r="A132" s="1861" t="s">
        <v>1412</v>
      </c>
      <c r="B132" s="1865" t="s">
        <v>1297</v>
      </c>
      <c r="C132" s="1866">
        <v>9.0999999999999998E-2</v>
      </c>
      <c r="D132" s="1866">
        <v>0.121</v>
      </c>
      <c r="E132" s="1866">
        <v>9.9000000000000005E-2</v>
      </c>
      <c r="F132" s="1874"/>
    </row>
    <row r="133" spans="1:6" ht="14.25" thickBot="1">
      <c r="A133" s="1861" t="s">
        <v>1412</v>
      </c>
      <c r="B133" s="1865" t="s">
        <v>1304</v>
      </c>
      <c r="C133" s="1866">
        <v>0.13</v>
      </c>
      <c r="D133" s="1866">
        <v>0.13</v>
      </c>
      <c r="E133" s="1866">
        <v>0.129</v>
      </c>
      <c r="F133" s="1874"/>
    </row>
    <row r="134" spans="1:6" ht="14.25" thickBot="1">
      <c r="A134" s="1861" t="s">
        <v>1412</v>
      </c>
      <c r="B134" s="1865" t="s">
        <v>2117</v>
      </c>
      <c r="C134" s="1866">
        <v>6.8000000000000005E-2</v>
      </c>
      <c r="D134" s="1866">
        <v>6.5000000000000002E-2</v>
      </c>
      <c r="E134" s="1866">
        <v>6.5000000000000002E-2</v>
      </c>
      <c r="F134" s="1867">
        <v>0.13</v>
      </c>
    </row>
    <row r="135" spans="1:6" ht="14.25" thickBot="1">
      <c r="A135" s="1861" t="s">
        <v>1412</v>
      </c>
      <c r="B135" s="1865" t="s">
        <v>1318</v>
      </c>
      <c r="C135" s="1866">
        <v>0.123</v>
      </c>
      <c r="D135" s="1866">
        <v>0.123</v>
      </c>
      <c r="E135" s="1866">
        <v>0.11</v>
      </c>
      <c r="F135" s="1874"/>
    </row>
    <row r="136" spans="1:6" ht="14.25" thickBot="1">
      <c r="A136" s="1861" t="s">
        <v>1412</v>
      </c>
      <c r="B136" s="1865" t="s">
        <v>1325</v>
      </c>
      <c r="C136" s="1866">
        <v>0.13</v>
      </c>
      <c r="D136" s="1866">
        <v>0.13</v>
      </c>
      <c r="E136" s="1866">
        <v>0.125</v>
      </c>
      <c r="F136" s="1874"/>
    </row>
    <row r="137" spans="1:6" ht="14.25" thickBot="1">
      <c r="A137" s="1861" t="s">
        <v>1412</v>
      </c>
      <c r="B137" s="1865" t="s">
        <v>1332</v>
      </c>
      <c r="C137" s="1866">
        <v>0.121</v>
      </c>
      <c r="D137" s="1866">
        <v>0.122</v>
      </c>
      <c r="E137" s="1866">
        <v>0.115</v>
      </c>
      <c r="F137" s="1874"/>
    </row>
    <row r="138" spans="1:6" ht="14.25" thickBot="1">
      <c r="A138" s="1861" t="s">
        <v>1412</v>
      </c>
      <c r="B138" s="1865" t="s">
        <v>2118</v>
      </c>
      <c r="C138" s="1866">
        <v>0.105</v>
      </c>
      <c r="D138" s="1866">
        <v>0.125</v>
      </c>
      <c r="E138" s="1866">
        <v>0.112</v>
      </c>
      <c r="F138" s="1874"/>
    </row>
    <row r="139" spans="1:6" ht="14.25" thickBot="1">
      <c r="A139" s="1861" t="s">
        <v>1412</v>
      </c>
      <c r="B139" s="1865" t="s">
        <v>2119</v>
      </c>
      <c r="C139" s="1866">
        <v>0.127</v>
      </c>
      <c r="D139" s="1866">
        <v>0.127</v>
      </c>
      <c r="E139" s="1866">
        <v>0.122</v>
      </c>
      <c r="F139" s="1867">
        <v>0.13</v>
      </c>
    </row>
    <row r="140" spans="1:6" ht="14.25" thickBot="1">
      <c r="A140" s="1861" t="s">
        <v>1412</v>
      </c>
      <c r="B140" s="1865" t="s">
        <v>2120</v>
      </c>
      <c r="C140" s="1866">
        <v>0.125</v>
      </c>
      <c r="D140" s="1866">
        <v>0.125</v>
      </c>
      <c r="E140" s="1866">
        <v>0.11899999999999999</v>
      </c>
      <c r="F140" s="1867">
        <v>0.13</v>
      </c>
    </row>
    <row r="141" spans="1:6" ht="14.25" thickBot="1">
      <c r="A141" s="1861" t="s">
        <v>1412</v>
      </c>
      <c r="B141" s="1865" t="s">
        <v>1351</v>
      </c>
      <c r="C141" s="1866">
        <v>0.125</v>
      </c>
      <c r="D141" s="1866">
        <v>0.125</v>
      </c>
      <c r="E141" s="1866">
        <v>0.11700000000000001</v>
      </c>
      <c r="F141" s="1874"/>
    </row>
    <row r="142" spans="1:6" ht="14.25" thickBot="1">
      <c r="A142" s="1861" t="s">
        <v>1412</v>
      </c>
      <c r="B142" s="1865" t="s">
        <v>1356</v>
      </c>
      <c r="C142" s="1866">
        <v>0.125</v>
      </c>
      <c r="D142" s="1866">
        <v>0.125</v>
      </c>
      <c r="E142" s="1866">
        <v>0.115</v>
      </c>
      <c r="F142" s="1874"/>
    </row>
    <row r="143" spans="1:6" ht="14.25" thickBot="1">
      <c r="A143" s="1861" t="s">
        <v>1412</v>
      </c>
      <c r="B143" s="1865" t="s">
        <v>1361</v>
      </c>
      <c r="C143" s="1866">
        <v>0.121</v>
      </c>
      <c r="D143" s="1866">
        <v>0.121</v>
      </c>
      <c r="E143" s="1866">
        <v>0.108</v>
      </c>
      <c r="F143" s="1874"/>
    </row>
    <row r="144" spans="1:6" ht="14.25" thickBot="1">
      <c r="A144" s="1861" t="s">
        <v>1412</v>
      </c>
      <c r="B144" s="1878" t="s">
        <v>2121</v>
      </c>
      <c r="C144" s="1879">
        <v>0.126</v>
      </c>
      <c r="D144" s="1879">
        <v>0.126</v>
      </c>
      <c r="E144" s="1879">
        <v>0.121</v>
      </c>
      <c r="F144" s="1874"/>
    </row>
    <row r="145" spans="1:6" ht="14.25" thickBot="1">
      <c r="A145" s="1869" t="s">
        <v>1412</v>
      </c>
      <c r="B145" s="1880" t="s">
        <v>2122</v>
      </c>
      <c r="C145" s="1881"/>
      <c r="D145" s="1881"/>
      <c r="E145" s="1881"/>
      <c r="F145" s="1882">
        <v>0.05</v>
      </c>
    </row>
    <row r="146" spans="1:6" ht="24.75" thickBot="1">
      <c r="A146" s="1883" t="s">
        <v>1412</v>
      </c>
      <c r="B146" s="1868" t="s">
        <v>2123</v>
      </c>
      <c r="C146" s="1875"/>
      <c r="D146" s="1875"/>
      <c r="E146" s="1875"/>
      <c r="F146" s="1884">
        <v>0.05</v>
      </c>
    </row>
    <row r="147" spans="1:6" ht="24.75" thickBot="1">
      <c r="A147" s="1861" t="s">
        <v>1412</v>
      </c>
      <c r="B147" s="1865" t="s">
        <v>2124</v>
      </c>
      <c r="C147" s="1875"/>
      <c r="D147" s="1875"/>
      <c r="E147" s="1875"/>
      <c r="F147" s="1867">
        <v>0.05</v>
      </c>
    </row>
    <row r="148" spans="1:6" ht="24.75" thickBot="1">
      <c r="A148" s="1861" t="s">
        <v>1412</v>
      </c>
      <c r="B148" s="1865" t="s">
        <v>2125</v>
      </c>
      <c r="C148" s="1875"/>
      <c r="D148" s="1875"/>
      <c r="E148" s="1875"/>
      <c r="F148" s="1867">
        <v>0.05</v>
      </c>
    </row>
    <row r="149" spans="1:6" ht="24.75" thickBot="1">
      <c r="A149" s="1861" t="s">
        <v>1412</v>
      </c>
      <c r="B149" s="1865" t="s">
        <v>2126</v>
      </c>
      <c r="C149" s="1875"/>
      <c r="D149" s="1875"/>
      <c r="E149" s="1875"/>
      <c r="F149" s="1867">
        <v>0.05</v>
      </c>
    </row>
    <row r="150" spans="1:6" ht="24.75" thickBot="1">
      <c r="A150" s="1861" t="s">
        <v>1412</v>
      </c>
      <c r="B150" s="1865" t="s">
        <v>2127</v>
      </c>
      <c r="C150" s="1875"/>
      <c r="D150" s="1875"/>
      <c r="E150" s="1875"/>
      <c r="F150" s="1867">
        <v>0.05</v>
      </c>
    </row>
    <row r="151" spans="1:6" ht="24.75" thickBot="1">
      <c r="A151" s="1861" t="s">
        <v>1412</v>
      </c>
      <c r="B151" s="1865" t="s">
        <v>2128</v>
      </c>
      <c r="C151" s="1875"/>
      <c r="D151" s="1875"/>
      <c r="E151" s="1875"/>
      <c r="F151" s="1867">
        <v>0.05</v>
      </c>
    </row>
    <row r="152" spans="1:6" ht="24.75" thickBot="1">
      <c r="A152" s="1861" t="s">
        <v>1412</v>
      </c>
      <c r="B152" s="1865" t="s">
        <v>1394</v>
      </c>
      <c r="C152" s="1875"/>
      <c r="D152" s="1875"/>
      <c r="E152" s="1875"/>
      <c r="F152" s="1867">
        <v>0.05</v>
      </c>
    </row>
    <row r="153" spans="1:6" ht="14.25" thickBot="1">
      <c r="A153" s="1861" t="s">
        <v>1412</v>
      </c>
      <c r="B153" s="1865" t="s">
        <v>2129</v>
      </c>
      <c r="C153" s="1875"/>
      <c r="D153" s="1875"/>
      <c r="E153" s="1875"/>
      <c r="F153" s="1867">
        <v>0.05</v>
      </c>
    </row>
    <row r="154" spans="1:6" ht="14.25" thickBot="1">
      <c r="A154" s="1861" t="s">
        <v>1412</v>
      </c>
      <c r="B154" s="1865" t="s">
        <v>2130</v>
      </c>
      <c r="C154" s="1875"/>
      <c r="D154" s="1875"/>
      <c r="E154" s="1875"/>
      <c r="F154" s="1867">
        <v>0.05</v>
      </c>
    </row>
    <row r="155" spans="1:6" ht="24.75" thickBot="1">
      <c r="A155" s="1861" t="s">
        <v>1412</v>
      </c>
      <c r="B155" s="1865" t="s">
        <v>2131</v>
      </c>
      <c r="C155" s="1875"/>
      <c r="D155" s="1875"/>
      <c r="E155" s="1875"/>
      <c r="F155" s="1867">
        <v>0.05</v>
      </c>
    </row>
    <row r="156" spans="1:6" ht="24.75" thickBot="1">
      <c r="A156" s="1861" t="s">
        <v>1412</v>
      </c>
      <c r="B156" s="1865" t="s">
        <v>2132</v>
      </c>
      <c r="C156" s="1875"/>
      <c r="D156" s="1875"/>
      <c r="E156" s="1875"/>
      <c r="F156" s="1867">
        <v>0.05</v>
      </c>
    </row>
    <row r="157" spans="1:6" ht="14.25" thickBot="1">
      <c r="A157" s="1869" t="s">
        <v>1412</v>
      </c>
      <c r="B157" s="1876" t="s">
        <v>2133</v>
      </c>
      <c r="C157" s="1872"/>
      <c r="D157" s="1872"/>
      <c r="E157" s="1872"/>
      <c r="F157" s="1877">
        <v>0.05</v>
      </c>
    </row>
    <row r="158" spans="1:6" ht="14.25" thickBot="1">
      <c r="A158" s="1861" t="s">
        <v>1414</v>
      </c>
      <c r="B158" s="1862" t="s">
        <v>2134</v>
      </c>
      <c r="C158" s="1863">
        <v>0.13</v>
      </c>
      <c r="D158" s="1863">
        <v>0.13</v>
      </c>
      <c r="E158" s="1863">
        <v>0.13</v>
      </c>
      <c r="F158" s="1864">
        <v>0.13</v>
      </c>
    </row>
    <row r="159" spans="1:6" ht="14.25" thickBot="1">
      <c r="A159" s="1861" t="s">
        <v>1414</v>
      </c>
      <c r="B159" s="1865" t="s">
        <v>1079</v>
      </c>
      <c r="C159" s="1866">
        <v>0.13</v>
      </c>
      <c r="D159" s="1866">
        <v>0.13</v>
      </c>
      <c r="E159" s="1866">
        <v>0.13</v>
      </c>
      <c r="F159" s="1867">
        <v>0.13</v>
      </c>
    </row>
    <row r="160" spans="1:6" ht="14.25" thickBot="1">
      <c r="A160" s="1861" t="s">
        <v>1414</v>
      </c>
      <c r="B160" s="1865" t="s">
        <v>1093</v>
      </c>
      <c r="C160" s="1866">
        <v>0.13</v>
      </c>
      <c r="D160" s="1866">
        <v>0.13</v>
      </c>
      <c r="E160" s="1866">
        <v>0.129</v>
      </c>
      <c r="F160" s="1867">
        <v>0.13</v>
      </c>
    </row>
    <row r="161" spans="1:6" ht="14.25" thickBot="1">
      <c r="A161" s="1861" t="s">
        <v>1414</v>
      </c>
      <c r="B161" s="1865" t="s">
        <v>1106</v>
      </c>
      <c r="C161" s="1866">
        <v>0.128</v>
      </c>
      <c r="D161" s="1866">
        <v>0.128</v>
      </c>
      <c r="E161" s="1866">
        <v>0.125</v>
      </c>
      <c r="F161" s="1867">
        <v>0.13</v>
      </c>
    </row>
    <row r="162" spans="1:6" ht="14.25" thickBot="1">
      <c r="A162" s="1861" t="s">
        <v>1414</v>
      </c>
      <c r="B162" s="1865" t="s">
        <v>1120</v>
      </c>
      <c r="C162" s="1866">
        <v>0.122</v>
      </c>
      <c r="D162" s="1866">
        <v>0.122</v>
      </c>
      <c r="E162" s="1866">
        <v>0.126</v>
      </c>
      <c r="F162" s="1867">
        <v>0.122</v>
      </c>
    </row>
    <row r="163" spans="1:6" ht="14.25" thickBot="1">
      <c r="A163" s="1861" t="s">
        <v>1414</v>
      </c>
      <c r="B163" s="1865" t="s">
        <v>1131</v>
      </c>
      <c r="C163" s="1866">
        <v>0.13</v>
      </c>
      <c r="D163" s="1866">
        <v>0.13</v>
      </c>
      <c r="E163" s="1866">
        <v>0.125</v>
      </c>
      <c r="F163" s="1867">
        <v>0.13</v>
      </c>
    </row>
    <row r="164" spans="1:6" ht="14.25" thickBot="1">
      <c r="A164" s="1861" t="s">
        <v>1414</v>
      </c>
      <c r="B164" s="1865" t="s">
        <v>1142</v>
      </c>
      <c r="C164" s="1866">
        <v>0.13</v>
      </c>
      <c r="D164" s="1866">
        <v>0.13</v>
      </c>
      <c r="E164" s="1866">
        <v>0.13</v>
      </c>
      <c r="F164" s="1867">
        <v>0.13</v>
      </c>
    </row>
    <row r="165" spans="1:6" ht="14.25" thickBot="1">
      <c r="A165" s="1861" t="s">
        <v>1414</v>
      </c>
      <c r="B165" s="1865" t="s">
        <v>1153</v>
      </c>
      <c r="C165" s="1866">
        <v>0.13</v>
      </c>
      <c r="D165" s="1866">
        <v>0.13</v>
      </c>
      <c r="E165" s="1866">
        <v>0.124</v>
      </c>
      <c r="F165" s="1867">
        <v>0.13</v>
      </c>
    </row>
    <row r="166" spans="1:6" ht="14.25" thickBot="1">
      <c r="A166" s="1861" t="s">
        <v>1414</v>
      </c>
      <c r="B166" s="1865" t="s">
        <v>1165</v>
      </c>
      <c r="C166" s="1866">
        <v>0.13</v>
      </c>
      <c r="D166" s="1866">
        <v>0.13</v>
      </c>
      <c r="E166" s="1866">
        <v>0.13</v>
      </c>
      <c r="F166" s="1867">
        <v>0.13</v>
      </c>
    </row>
    <row r="167" spans="1:6" ht="14.25" thickBot="1">
      <c r="A167" s="1861" t="s">
        <v>1414</v>
      </c>
      <c r="B167" s="1865" t="s">
        <v>1175</v>
      </c>
      <c r="C167" s="1866">
        <v>0.125</v>
      </c>
      <c r="D167" s="1866">
        <v>0.125</v>
      </c>
      <c r="E167" s="1866">
        <v>0.121</v>
      </c>
      <c r="F167" s="1874"/>
    </row>
    <row r="168" spans="1:6" ht="14.25" thickBot="1">
      <c r="A168" s="1861" t="s">
        <v>1414</v>
      </c>
      <c r="B168" s="1865" t="s">
        <v>1185</v>
      </c>
      <c r="C168" s="1866">
        <v>0.13</v>
      </c>
      <c r="D168" s="1866">
        <v>0.13</v>
      </c>
      <c r="E168" s="1866">
        <v>0.126</v>
      </c>
      <c r="F168" s="1874"/>
    </row>
    <row r="169" spans="1:6" ht="14.25" thickBot="1">
      <c r="A169" s="1861" t="s">
        <v>1414</v>
      </c>
      <c r="B169" s="1865" t="s">
        <v>1195</v>
      </c>
      <c r="C169" s="1866">
        <v>0.128</v>
      </c>
      <c r="D169" s="1866">
        <v>0.129</v>
      </c>
      <c r="E169" s="1866">
        <v>0.13</v>
      </c>
      <c r="F169" s="1874"/>
    </row>
    <row r="170" spans="1:6" ht="14.25" thickBot="1">
      <c r="A170" s="1861" t="s">
        <v>1414</v>
      </c>
      <c r="B170" s="1865" t="s">
        <v>1205</v>
      </c>
      <c r="C170" s="1866">
        <v>0.14099999999999999</v>
      </c>
      <c r="D170" s="1866">
        <v>0.13</v>
      </c>
      <c r="E170" s="1866">
        <v>0.125</v>
      </c>
      <c r="F170" s="1874"/>
    </row>
    <row r="171" spans="1:6" ht="14.25" thickBot="1">
      <c r="A171" s="1861" t="s">
        <v>1414</v>
      </c>
      <c r="B171" s="1865" t="s">
        <v>2135</v>
      </c>
      <c r="C171" s="1866">
        <v>0.127</v>
      </c>
      <c r="D171" s="1866">
        <v>0.126</v>
      </c>
      <c r="E171" s="1866">
        <v>0.126</v>
      </c>
      <c r="F171" s="1867">
        <v>0.11799999999999999</v>
      </c>
    </row>
    <row r="172" spans="1:6" ht="14.25" thickBot="1">
      <c r="A172" s="1861" t="s">
        <v>1414</v>
      </c>
      <c r="B172" s="1865" t="s">
        <v>2136</v>
      </c>
      <c r="C172" s="1866">
        <v>0.13</v>
      </c>
      <c r="D172" s="1866">
        <v>0.13</v>
      </c>
      <c r="E172" s="1866">
        <v>0.13</v>
      </c>
      <c r="F172" s="1874"/>
    </row>
    <row r="173" spans="1:6" ht="14.25" thickBot="1">
      <c r="A173" s="1861" t="s">
        <v>1414</v>
      </c>
      <c r="B173" s="1865" t="s">
        <v>1235</v>
      </c>
      <c r="C173" s="1866">
        <v>0.13</v>
      </c>
      <c r="D173" s="1866">
        <v>0.13</v>
      </c>
      <c r="E173" s="1866">
        <v>0.13</v>
      </c>
      <c r="F173" s="1874"/>
    </row>
    <row r="174" spans="1:6" ht="14.25" thickBot="1">
      <c r="A174" s="1861" t="s">
        <v>1414</v>
      </c>
      <c r="B174" s="1865" t="s">
        <v>2137</v>
      </c>
      <c r="C174" s="1866">
        <v>0.13</v>
      </c>
      <c r="D174" s="1866">
        <v>0.13</v>
      </c>
      <c r="E174" s="1866">
        <v>0.13</v>
      </c>
      <c r="F174" s="1867">
        <v>0.13</v>
      </c>
    </row>
    <row r="175" spans="1:6" ht="14.25" thickBot="1">
      <c r="A175" s="1861" t="s">
        <v>1414</v>
      </c>
      <c r="B175" s="1865" t="s">
        <v>2138</v>
      </c>
      <c r="C175" s="1866">
        <v>0.13</v>
      </c>
      <c r="D175" s="1866">
        <v>0.13</v>
      </c>
      <c r="E175" s="1866">
        <v>0.13</v>
      </c>
      <c r="F175" s="1867">
        <v>0.13</v>
      </c>
    </row>
    <row r="176" spans="1:6" ht="14.25" thickBot="1">
      <c r="A176" s="1861" t="s">
        <v>1414</v>
      </c>
      <c r="B176" s="1865" t="s">
        <v>1265</v>
      </c>
      <c r="C176" s="1866">
        <v>0.13</v>
      </c>
      <c r="D176" s="1866">
        <v>0.13</v>
      </c>
      <c r="E176" s="1866">
        <v>0.13</v>
      </c>
      <c r="F176" s="1867">
        <v>0.13</v>
      </c>
    </row>
    <row r="177" spans="1:6" ht="14.25" thickBot="1">
      <c r="A177" s="1861" t="s">
        <v>1414</v>
      </c>
      <c r="B177" s="1865" t="s">
        <v>2139</v>
      </c>
      <c r="C177" s="1866">
        <v>0.13</v>
      </c>
      <c r="D177" s="1866">
        <v>0.13</v>
      </c>
      <c r="E177" s="1866">
        <v>0.13</v>
      </c>
      <c r="F177" s="1867">
        <v>0.13</v>
      </c>
    </row>
    <row r="178" spans="1:6" ht="14.25" thickBot="1">
      <c r="A178" s="1861" t="s">
        <v>1414</v>
      </c>
      <c r="B178" s="1865" t="s">
        <v>1283</v>
      </c>
      <c r="C178" s="1866">
        <v>0.13</v>
      </c>
      <c r="D178" s="1866">
        <v>0.13</v>
      </c>
      <c r="E178" s="1866">
        <v>0.13</v>
      </c>
      <c r="F178" s="1867">
        <v>0.127</v>
      </c>
    </row>
    <row r="179" spans="1:6" ht="14.25" thickBot="1">
      <c r="A179" s="1861" t="s">
        <v>1414</v>
      </c>
      <c r="B179" s="1865" t="s">
        <v>1291</v>
      </c>
      <c r="C179" s="1866">
        <v>0.13</v>
      </c>
      <c r="D179" s="1866">
        <v>0.13</v>
      </c>
      <c r="E179" s="1866">
        <v>0.13</v>
      </c>
      <c r="F179" s="1874"/>
    </row>
    <row r="180" spans="1:6" ht="14.25" thickBot="1">
      <c r="A180" s="1861" t="s">
        <v>1414</v>
      </c>
      <c r="B180" s="1865" t="s">
        <v>2140</v>
      </c>
      <c r="C180" s="1866">
        <v>0.13</v>
      </c>
      <c r="D180" s="1866">
        <v>0.13</v>
      </c>
      <c r="E180" s="1866">
        <v>0.125</v>
      </c>
      <c r="F180" s="1867">
        <v>0.13</v>
      </c>
    </row>
    <row r="181" spans="1:6" ht="14.25" thickBot="1">
      <c r="A181" s="1861" t="s">
        <v>1414</v>
      </c>
      <c r="B181" s="1865" t="s">
        <v>1305</v>
      </c>
      <c r="C181" s="1866">
        <v>0.122</v>
      </c>
      <c r="D181" s="1866">
        <v>0.123</v>
      </c>
      <c r="E181" s="1866">
        <v>0.126</v>
      </c>
      <c r="F181" s="1867">
        <v>0.121</v>
      </c>
    </row>
    <row r="182" spans="1:6" ht="14.25" thickBot="1">
      <c r="A182" s="1861" t="s">
        <v>1414</v>
      </c>
      <c r="B182" s="1865" t="s">
        <v>1312</v>
      </c>
      <c r="C182" s="1866">
        <v>0.125</v>
      </c>
      <c r="D182" s="1866">
        <v>0.125</v>
      </c>
      <c r="E182" s="1866">
        <v>0.11700000000000001</v>
      </c>
      <c r="F182" s="1867">
        <v>0.13</v>
      </c>
    </row>
    <row r="183" spans="1:6" ht="14.25" thickBot="1">
      <c r="A183" s="1861" t="s">
        <v>1414</v>
      </c>
      <c r="B183" s="1865" t="s">
        <v>1319</v>
      </c>
      <c r="C183" s="1866">
        <v>0.127</v>
      </c>
      <c r="D183" s="1866">
        <v>0.127</v>
      </c>
      <c r="E183" s="1866">
        <v>0.128</v>
      </c>
      <c r="F183" s="1874"/>
    </row>
    <row r="184" spans="1:6" ht="14.25" thickBot="1">
      <c r="A184" s="1861" t="s">
        <v>1414</v>
      </c>
      <c r="B184" s="1865" t="s">
        <v>1326</v>
      </c>
      <c r="C184" s="1866">
        <v>0.125</v>
      </c>
      <c r="D184" s="1866">
        <v>0.125</v>
      </c>
      <c r="E184" s="1866">
        <v>0.127</v>
      </c>
      <c r="F184" s="1874"/>
    </row>
    <row r="185" spans="1:6" ht="14.25" thickBot="1">
      <c r="A185" s="1861" t="s">
        <v>1414</v>
      </c>
      <c r="B185" s="1865" t="s">
        <v>2141</v>
      </c>
      <c r="C185" s="1866">
        <v>0.127</v>
      </c>
      <c r="D185" s="1866">
        <v>0.127</v>
      </c>
      <c r="E185" s="1866">
        <v>0.128</v>
      </c>
      <c r="F185" s="1867">
        <v>0.13</v>
      </c>
    </row>
    <row r="186" spans="1:6" ht="24.75" thickBot="1">
      <c r="A186" s="1861" t="s">
        <v>1414</v>
      </c>
      <c r="B186" s="1865" t="s">
        <v>2142</v>
      </c>
      <c r="C186" s="1875"/>
      <c r="D186" s="1875"/>
      <c r="E186" s="1875"/>
      <c r="F186" s="1867">
        <v>0.05</v>
      </c>
    </row>
    <row r="187" spans="1:6" ht="14.25" thickBot="1">
      <c r="A187" s="1861" t="s">
        <v>1414</v>
      </c>
      <c r="B187" s="1865" t="s">
        <v>2143</v>
      </c>
      <c r="C187" s="1875"/>
      <c r="D187" s="1875"/>
      <c r="E187" s="1875"/>
      <c r="F187" s="1867">
        <v>0.05</v>
      </c>
    </row>
    <row r="188" spans="1:6" ht="14.25" thickBot="1">
      <c r="A188" s="1861" t="s">
        <v>1414</v>
      </c>
      <c r="B188" s="1865" t="s">
        <v>2144</v>
      </c>
      <c r="C188" s="1875"/>
      <c r="D188" s="1875"/>
      <c r="E188" s="1875"/>
      <c r="F188" s="1867">
        <v>0.05</v>
      </c>
    </row>
    <row r="189" spans="1:6" ht="24.75" thickBot="1">
      <c r="A189" s="1861" t="s">
        <v>1414</v>
      </c>
      <c r="B189" s="1865" t="s">
        <v>2145</v>
      </c>
      <c r="C189" s="1875"/>
      <c r="D189" s="1875"/>
      <c r="E189" s="1875"/>
      <c r="F189" s="1867">
        <v>0.05</v>
      </c>
    </row>
    <row r="190" spans="1:6" ht="24.75" thickBot="1">
      <c r="A190" s="1861" t="s">
        <v>1414</v>
      </c>
      <c r="B190" s="1865" t="s">
        <v>2146</v>
      </c>
      <c r="C190" s="1875"/>
      <c r="D190" s="1875"/>
      <c r="E190" s="1875"/>
      <c r="F190" s="1867">
        <v>0.05</v>
      </c>
    </row>
    <row r="191" spans="1:6" ht="24.75" thickBot="1">
      <c r="A191" s="1861" t="s">
        <v>1414</v>
      </c>
      <c r="B191" s="1865" t="s">
        <v>2147</v>
      </c>
      <c r="C191" s="1875"/>
      <c r="D191" s="1875"/>
      <c r="E191" s="1875"/>
      <c r="F191" s="1867">
        <v>0.05</v>
      </c>
    </row>
    <row r="192" spans="1:6" ht="24.75" thickBot="1">
      <c r="A192" s="1861" t="s">
        <v>1414</v>
      </c>
      <c r="B192" s="1865" t="s">
        <v>2148</v>
      </c>
      <c r="C192" s="1875"/>
      <c r="D192" s="1875"/>
      <c r="E192" s="1875"/>
      <c r="F192" s="1867">
        <v>0.05</v>
      </c>
    </row>
    <row r="193" spans="1:6" ht="24.75" thickBot="1">
      <c r="A193" s="1861" t="s">
        <v>1414</v>
      </c>
      <c r="B193" s="1865" t="s">
        <v>2149</v>
      </c>
      <c r="C193" s="1875"/>
      <c r="D193" s="1875"/>
      <c r="E193" s="1875"/>
      <c r="F193" s="1867">
        <v>0.05</v>
      </c>
    </row>
    <row r="194" spans="1:6" ht="24.75" thickBot="1">
      <c r="A194" s="1861" t="s">
        <v>1414</v>
      </c>
      <c r="B194" s="1865" t="s">
        <v>2150</v>
      </c>
      <c r="C194" s="1875"/>
      <c r="D194" s="1875"/>
      <c r="E194" s="1875"/>
      <c r="F194" s="1867">
        <v>0.05</v>
      </c>
    </row>
    <row r="195" spans="1:6" ht="14.25" thickBot="1">
      <c r="A195" s="1861" t="s">
        <v>1414</v>
      </c>
      <c r="B195" s="1865" t="s">
        <v>2151</v>
      </c>
      <c r="C195" s="1875"/>
      <c r="D195" s="1875"/>
      <c r="E195" s="1875"/>
      <c r="F195" s="1867">
        <v>0.05</v>
      </c>
    </row>
    <row r="196" spans="1:6" ht="24.75" thickBot="1">
      <c r="A196" s="1861" t="s">
        <v>1414</v>
      </c>
      <c r="B196" s="1865" t="s">
        <v>2152</v>
      </c>
      <c r="C196" s="1875"/>
      <c r="D196" s="1875"/>
      <c r="E196" s="1875"/>
      <c r="F196" s="1867">
        <v>0.05</v>
      </c>
    </row>
    <row r="197" spans="1:6" ht="24.75" thickBot="1">
      <c r="A197" s="1861" t="s">
        <v>1414</v>
      </c>
      <c r="B197" s="1865" t="s">
        <v>2153</v>
      </c>
      <c r="C197" s="1875"/>
      <c r="D197" s="1875"/>
      <c r="E197" s="1875"/>
      <c r="F197" s="1867">
        <v>0.05</v>
      </c>
    </row>
    <row r="198" spans="1:6" ht="24.75" thickBot="1">
      <c r="A198" s="1861" t="s">
        <v>1414</v>
      </c>
      <c r="B198" s="1865" t="s">
        <v>2154</v>
      </c>
      <c r="C198" s="1875"/>
      <c r="D198" s="1875"/>
      <c r="E198" s="1875"/>
      <c r="F198" s="1867">
        <v>0.05</v>
      </c>
    </row>
    <row r="199" spans="1:6" ht="24.75" thickBot="1">
      <c r="A199" s="1861" t="s">
        <v>1414</v>
      </c>
      <c r="B199" s="1865" t="s">
        <v>2155</v>
      </c>
      <c r="C199" s="1875"/>
      <c r="D199" s="1875"/>
      <c r="E199" s="1875"/>
      <c r="F199" s="1867">
        <v>0.05</v>
      </c>
    </row>
    <row r="200" spans="1:6" ht="24.75" thickBot="1">
      <c r="A200" s="1861" t="s">
        <v>1414</v>
      </c>
      <c r="B200" s="1865" t="s">
        <v>2156</v>
      </c>
      <c r="C200" s="1875"/>
      <c r="D200" s="1875"/>
      <c r="E200" s="1875"/>
      <c r="F200" s="1867">
        <v>0.05</v>
      </c>
    </row>
    <row r="201" spans="1:6" ht="24.75" thickBot="1">
      <c r="A201" s="1861" t="s">
        <v>1414</v>
      </c>
      <c r="B201" s="1865" t="s">
        <v>2157</v>
      </c>
      <c r="C201" s="1875"/>
      <c r="D201" s="1875"/>
      <c r="E201" s="1875"/>
      <c r="F201" s="1867">
        <v>0.05</v>
      </c>
    </row>
    <row r="202" spans="1:6" ht="24.75" thickBot="1">
      <c r="A202" s="1861" t="s">
        <v>1414</v>
      </c>
      <c r="B202" s="1865" t="s">
        <v>2158</v>
      </c>
      <c r="C202" s="1875"/>
      <c r="D202" s="1875"/>
      <c r="E202" s="1875"/>
      <c r="F202" s="1867">
        <v>0.05</v>
      </c>
    </row>
    <row r="203" spans="1:6" ht="24.75" thickBot="1">
      <c r="A203" s="1861" t="s">
        <v>1414</v>
      </c>
      <c r="B203" s="1865" t="s">
        <v>2159</v>
      </c>
      <c r="C203" s="1875"/>
      <c r="D203" s="1875"/>
      <c r="E203" s="1875"/>
      <c r="F203" s="1867">
        <v>0.05</v>
      </c>
    </row>
    <row r="204" spans="1:6" ht="14.25" thickBot="1">
      <c r="A204" s="1861" t="s">
        <v>1414</v>
      </c>
      <c r="B204" s="1865" t="s">
        <v>2160</v>
      </c>
      <c r="C204" s="1875"/>
      <c r="D204" s="1875"/>
      <c r="E204" s="1875"/>
      <c r="F204" s="1867">
        <v>0.05</v>
      </c>
    </row>
    <row r="205" spans="1:6" ht="14.25" thickBot="1">
      <c r="A205" s="1869" t="s">
        <v>1414</v>
      </c>
      <c r="B205" s="1876" t="s">
        <v>2161</v>
      </c>
      <c r="C205" s="1872"/>
      <c r="D205" s="1872"/>
      <c r="E205" s="1872"/>
      <c r="F205" s="1877">
        <v>0.05</v>
      </c>
    </row>
    <row r="206" spans="1:6" ht="14.25" thickBot="1">
      <c r="A206" s="1861" t="s">
        <v>1416</v>
      </c>
      <c r="B206" s="1862" t="s">
        <v>2162</v>
      </c>
      <c r="C206" s="1863">
        <v>0.15</v>
      </c>
      <c r="D206" s="1863">
        <v>0.15</v>
      </c>
      <c r="E206" s="1863">
        <v>0.15</v>
      </c>
      <c r="F206" s="1864">
        <v>0.15</v>
      </c>
    </row>
    <row r="207" spans="1:6" ht="14.25" thickBot="1">
      <c r="A207" s="1861" t="s">
        <v>1416</v>
      </c>
      <c r="B207" s="1865" t="s">
        <v>1080</v>
      </c>
      <c r="C207" s="1866">
        <v>0.15</v>
      </c>
      <c r="D207" s="1866">
        <v>0.15</v>
      </c>
      <c r="E207" s="1866">
        <v>0.15</v>
      </c>
      <c r="F207" s="1867">
        <v>0.14399999999999999</v>
      </c>
    </row>
    <row r="208" spans="1:6" ht="14.25" thickBot="1">
      <c r="A208" s="1861" t="s">
        <v>1416</v>
      </c>
      <c r="B208" s="1865" t="s">
        <v>1094</v>
      </c>
      <c r="C208" s="1866">
        <v>0.15</v>
      </c>
      <c r="D208" s="1866">
        <v>0.15</v>
      </c>
      <c r="E208" s="1866">
        <v>0.15</v>
      </c>
      <c r="F208" s="1867">
        <v>0.15</v>
      </c>
    </row>
    <row r="209" spans="1:6" ht="14.25" thickBot="1">
      <c r="A209" s="1861" t="s">
        <v>1416</v>
      </c>
      <c r="B209" s="1865" t="s">
        <v>1107</v>
      </c>
      <c r="C209" s="1866">
        <v>0.13700000000000001</v>
      </c>
      <c r="D209" s="1866">
        <v>0.13700000000000001</v>
      </c>
      <c r="E209" s="1866">
        <v>0.14000000000000001</v>
      </c>
      <c r="F209" s="1867">
        <v>0.11700000000000001</v>
      </c>
    </row>
    <row r="210" spans="1:6" ht="14.25" thickBot="1">
      <c r="A210" s="1861" t="s">
        <v>1416</v>
      </c>
      <c r="B210" s="1865" t="s">
        <v>2163</v>
      </c>
      <c r="C210" s="1866">
        <v>0.15</v>
      </c>
      <c r="D210" s="1866">
        <v>0.15</v>
      </c>
      <c r="E210" s="1866">
        <v>0.15</v>
      </c>
      <c r="F210" s="1867">
        <v>0.13800000000000001</v>
      </c>
    </row>
    <row r="211" spans="1:6" ht="14.25" thickBot="1">
      <c r="A211" s="1861" t="s">
        <v>1416</v>
      </c>
      <c r="B211" s="1865" t="s">
        <v>2164</v>
      </c>
      <c r="C211" s="1866">
        <v>0.13700000000000001</v>
      </c>
      <c r="D211" s="1866">
        <v>0.13500000000000001</v>
      </c>
      <c r="E211" s="1866">
        <v>0.13600000000000001</v>
      </c>
      <c r="F211" s="1867">
        <v>0.1</v>
      </c>
    </row>
    <row r="212" spans="1:6" ht="14.25" thickBot="1">
      <c r="A212" s="1861" t="s">
        <v>1416</v>
      </c>
      <c r="B212" s="1865" t="s">
        <v>2165</v>
      </c>
      <c r="C212" s="1866">
        <v>0.15</v>
      </c>
      <c r="D212" s="1866">
        <v>0.15</v>
      </c>
      <c r="E212" s="1866">
        <v>0.14799999999999999</v>
      </c>
      <c r="F212" s="1867">
        <v>0.13600000000000001</v>
      </c>
    </row>
    <row r="213" spans="1:6" ht="14.25" thickBot="1">
      <c r="A213" s="1861" t="s">
        <v>1416</v>
      </c>
      <c r="B213" s="1865" t="s">
        <v>1154</v>
      </c>
      <c r="C213" s="1866">
        <v>0.15</v>
      </c>
      <c r="D213" s="1866">
        <v>0.15</v>
      </c>
      <c r="E213" s="1866">
        <v>0.15</v>
      </c>
      <c r="F213" s="1867">
        <v>0.13800000000000001</v>
      </c>
    </row>
    <row r="214" spans="1:6" ht="14.25" thickBot="1">
      <c r="A214" s="1861" t="s">
        <v>1416</v>
      </c>
      <c r="B214" s="1865" t="s">
        <v>1166</v>
      </c>
      <c r="C214" s="1866">
        <v>9.0999999999999998E-2</v>
      </c>
      <c r="D214" s="1866">
        <v>0.09</v>
      </c>
      <c r="E214" s="1866">
        <v>9.1999999999999998E-2</v>
      </c>
      <c r="F214" s="1874"/>
    </row>
    <row r="215" spans="1:6" ht="14.25" thickBot="1">
      <c r="A215" s="1861" t="s">
        <v>1416</v>
      </c>
      <c r="B215" s="1865" t="s">
        <v>2166</v>
      </c>
      <c r="C215" s="1866">
        <v>0.15</v>
      </c>
      <c r="D215" s="1866">
        <v>0.15</v>
      </c>
      <c r="E215" s="1866">
        <v>0.15</v>
      </c>
      <c r="F215" s="1867">
        <v>0.15</v>
      </c>
    </row>
    <row r="216" spans="1:6" ht="14.25" thickBot="1">
      <c r="A216" s="1861" t="s">
        <v>1416</v>
      </c>
      <c r="B216" s="1865" t="s">
        <v>1186</v>
      </c>
      <c r="C216" s="1866">
        <v>0.14699999999999999</v>
      </c>
      <c r="D216" s="1866">
        <v>0.14699999999999999</v>
      </c>
      <c r="E216" s="1866">
        <v>0.15</v>
      </c>
      <c r="F216" s="1867">
        <v>0.14000000000000001</v>
      </c>
    </row>
    <row r="217" spans="1:6" ht="14.25" thickBot="1">
      <c r="A217" s="1861" t="s">
        <v>1416</v>
      </c>
      <c r="B217" s="1865" t="s">
        <v>1196</v>
      </c>
      <c r="C217" s="1866">
        <v>0.15</v>
      </c>
      <c r="D217" s="1866">
        <v>0.15</v>
      </c>
      <c r="E217" s="1866">
        <v>0.15</v>
      </c>
      <c r="F217" s="1867">
        <v>0.15</v>
      </c>
    </row>
    <row r="218" spans="1:6" ht="14.25" thickBot="1">
      <c r="A218" s="1861" t="s">
        <v>1416</v>
      </c>
      <c r="B218" s="1865" t="s">
        <v>2167</v>
      </c>
      <c r="C218" s="1866">
        <v>0.15</v>
      </c>
      <c r="D218" s="1866">
        <v>0.15</v>
      </c>
      <c r="E218" s="1866">
        <v>0.15</v>
      </c>
      <c r="F218" s="1867">
        <v>0.15</v>
      </c>
    </row>
    <row r="219" spans="1:6" ht="14.25" thickBot="1">
      <c r="A219" s="1861" t="s">
        <v>1416</v>
      </c>
      <c r="B219" s="1865" t="s">
        <v>1216</v>
      </c>
      <c r="C219" s="1866">
        <v>0.15</v>
      </c>
      <c r="D219" s="1866">
        <v>0.15</v>
      </c>
      <c r="E219" s="1866">
        <v>0.15</v>
      </c>
      <c r="F219" s="1867">
        <v>0.14799999999999999</v>
      </c>
    </row>
    <row r="220" spans="1:6" ht="14.25" thickBot="1">
      <c r="A220" s="1861" t="s">
        <v>1416</v>
      </c>
      <c r="B220" s="1865" t="s">
        <v>2168</v>
      </c>
      <c r="C220" s="1866">
        <v>0.15</v>
      </c>
      <c r="D220" s="1866">
        <v>0.15</v>
      </c>
      <c r="E220" s="1866">
        <v>0.15</v>
      </c>
      <c r="F220" s="1867">
        <v>0.15</v>
      </c>
    </row>
    <row r="221" spans="1:6" ht="14.25" thickBot="1">
      <c r="A221" s="1861" t="s">
        <v>1416</v>
      </c>
      <c r="B221" s="1865" t="s">
        <v>1236</v>
      </c>
      <c r="C221" s="1866"/>
      <c r="D221" s="1875"/>
      <c r="E221" s="1875"/>
      <c r="F221" s="1867">
        <v>0.14799999999999999</v>
      </c>
    </row>
    <row r="222" spans="1:6" ht="14.25" thickBot="1">
      <c r="A222" s="1861" t="s">
        <v>1416</v>
      </c>
      <c r="B222" s="1865" t="s">
        <v>1246</v>
      </c>
      <c r="C222" s="1866"/>
      <c r="D222" s="1875"/>
      <c r="E222" s="1875"/>
      <c r="F222" s="1867">
        <v>0.1</v>
      </c>
    </row>
    <row r="223" spans="1:6" ht="14.25" thickBot="1">
      <c r="A223" s="1861" t="s">
        <v>1416</v>
      </c>
      <c r="B223" s="1865" t="s">
        <v>1256</v>
      </c>
      <c r="C223" s="1866"/>
      <c r="D223" s="1875"/>
      <c r="E223" s="1875"/>
      <c r="F223" s="1867">
        <v>0.15</v>
      </c>
    </row>
    <row r="224" spans="1:6" ht="14.25" thickBot="1">
      <c r="A224" s="1861" t="s">
        <v>1416</v>
      </c>
      <c r="B224" s="1865" t="s">
        <v>1266</v>
      </c>
      <c r="C224" s="1866"/>
      <c r="D224" s="1875"/>
      <c r="E224" s="1875"/>
      <c r="F224" s="1867">
        <v>0.15</v>
      </c>
    </row>
    <row r="225" spans="1:6" ht="14.25" thickBot="1">
      <c r="A225" s="1861" t="s">
        <v>1416</v>
      </c>
      <c r="B225" s="1865" t="s">
        <v>2169</v>
      </c>
      <c r="C225" s="1866">
        <v>0.15</v>
      </c>
      <c r="D225" s="1866">
        <v>0.15</v>
      </c>
      <c r="E225" s="1866">
        <v>0.15</v>
      </c>
      <c r="F225" s="1867">
        <v>0.15</v>
      </c>
    </row>
    <row r="226" spans="1:6" ht="14.25" thickBot="1">
      <c r="A226" s="1861" t="s">
        <v>1416</v>
      </c>
      <c r="B226" s="1865" t="s">
        <v>1284</v>
      </c>
      <c r="C226" s="1866">
        <v>0.15</v>
      </c>
      <c r="D226" s="1866">
        <v>0.15</v>
      </c>
      <c r="E226" s="1866">
        <v>0.15</v>
      </c>
      <c r="F226" s="1867">
        <v>0.14799999999999999</v>
      </c>
    </row>
    <row r="227" spans="1:6" ht="14.25" thickBot="1">
      <c r="A227" s="1861" t="s">
        <v>1416</v>
      </c>
      <c r="B227" s="1865" t="s">
        <v>2170</v>
      </c>
      <c r="C227" s="1866">
        <v>0.15</v>
      </c>
      <c r="D227" s="1866">
        <v>0.15</v>
      </c>
      <c r="E227" s="1866">
        <v>0.15</v>
      </c>
      <c r="F227" s="1867">
        <v>0.15</v>
      </c>
    </row>
    <row r="228" spans="1:6" ht="14.25" thickBot="1">
      <c r="A228" s="1861" t="s">
        <v>1416</v>
      </c>
      <c r="B228" s="1865" t="s">
        <v>1299</v>
      </c>
      <c r="C228" s="1866">
        <v>0.15</v>
      </c>
      <c r="D228" s="1866">
        <v>0.15</v>
      </c>
      <c r="E228" s="1866">
        <v>0.15</v>
      </c>
      <c r="F228" s="1867">
        <v>0.15</v>
      </c>
    </row>
    <row r="229" spans="1:6" ht="14.25" thickBot="1">
      <c r="A229" s="1861" t="s">
        <v>1416</v>
      </c>
      <c r="B229" s="1865" t="s">
        <v>1306</v>
      </c>
      <c r="C229" s="1866">
        <v>0.15</v>
      </c>
      <c r="D229" s="1866">
        <v>0.15</v>
      </c>
      <c r="E229" s="1866">
        <v>0.15</v>
      </c>
      <c r="F229" s="1874"/>
    </row>
    <row r="230" spans="1:6" ht="14.25" thickBot="1">
      <c r="A230" s="1861" t="s">
        <v>1416</v>
      </c>
      <c r="B230" s="1865" t="s">
        <v>1313</v>
      </c>
      <c r="C230" s="1866">
        <v>0.14499999999999999</v>
      </c>
      <c r="D230" s="1866">
        <v>0.14499999999999999</v>
      </c>
      <c r="E230" s="1866">
        <v>0.14399999999999999</v>
      </c>
      <c r="F230" s="1874"/>
    </row>
    <row r="231" spans="1:6" ht="14.25" thickBot="1">
      <c r="A231" s="1861" t="s">
        <v>1416</v>
      </c>
      <c r="B231" s="1865" t="s">
        <v>2171</v>
      </c>
      <c r="C231" s="1866">
        <v>0.128</v>
      </c>
      <c r="D231" s="1866">
        <v>0.125</v>
      </c>
      <c r="E231" s="1866">
        <v>0.13200000000000001</v>
      </c>
      <c r="F231" s="1874"/>
    </row>
    <row r="232" spans="1:6" ht="14.25" thickBot="1">
      <c r="A232" s="1861" t="s">
        <v>1416</v>
      </c>
      <c r="B232" s="1865" t="s">
        <v>2172</v>
      </c>
      <c r="C232" s="1866">
        <v>0.14499999999999999</v>
      </c>
      <c r="D232" s="1866">
        <v>0.14399999999999999</v>
      </c>
      <c r="E232" s="1866">
        <v>0.14599999999999999</v>
      </c>
      <c r="F232" s="1867">
        <v>0.13800000000000001</v>
      </c>
    </row>
    <row r="233" spans="1:6" ht="14.25" thickBot="1">
      <c r="A233" s="1861" t="s">
        <v>1416</v>
      </c>
      <c r="B233" s="1865" t="s">
        <v>2173</v>
      </c>
      <c r="C233" s="1866">
        <v>0.14499999999999999</v>
      </c>
      <c r="D233" s="1866">
        <v>0.14299999999999999</v>
      </c>
      <c r="E233" s="1866">
        <v>0.14199999999999999</v>
      </c>
      <c r="F233" s="1874"/>
    </row>
    <row r="234" spans="1:6" ht="14.25" thickBot="1">
      <c r="A234" s="1861" t="s">
        <v>1416</v>
      </c>
      <c r="B234" s="1865" t="s">
        <v>2174</v>
      </c>
      <c r="C234" s="1866">
        <v>0.14000000000000001</v>
      </c>
      <c r="D234" s="1866">
        <v>0.14000000000000001</v>
      </c>
      <c r="E234" s="1866">
        <v>0.14399999999999999</v>
      </c>
      <c r="F234" s="1874"/>
    </row>
    <row r="235" spans="1:6" ht="14.25" thickBot="1">
      <c r="A235" s="1861" t="s">
        <v>1416</v>
      </c>
      <c r="B235" s="1865" t="s">
        <v>2175</v>
      </c>
      <c r="C235" s="1866">
        <v>0.14099999999999999</v>
      </c>
      <c r="D235" s="1866">
        <v>0.14199999999999999</v>
      </c>
      <c r="E235" s="1866">
        <v>0.14499999999999999</v>
      </c>
      <c r="F235" s="1867">
        <v>0.15</v>
      </c>
    </row>
    <row r="236" spans="1:6" ht="14.25" thickBot="1">
      <c r="A236" s="1861" t="s">
        <v>1416</v>
      </c>
      <c r="B236" s="1865" t="s">
        <v>1348</v>
      </c>
      <c r="C236" s="1875"/>
      <c r="D236" s="1875"/>
      <c r="E236" s="1875"/>
      <c r="F236" s="1867">
        <v>0.14299999999999999</v>
      </c>
    </row>
    <row r="237" spans="1:6" ht="24.75" thickBot="1">
      <c r="A237" s="1861" t="s">
        <v>1416</v>
      </c>
      <c r="B237" s="1865" t="s">
        <v>2176</v>
      </c>
      <c r="C237" s="1875"/>
      <c r="D237" s="1875"/>
      <c r="E237" s="1875"/>
      <c r="F237" s="1867">
        <v>0.05</v>
      </c>
    </row>
    <row r="238" spans="1:6" ht="24.75" thickBot="1">
      <c r="A238" s="1861" t="s">
        <v>1416</v>
      </c>
      <c r="B238" s="1865" t="s">
        <v>2177</v>
      </c>
      <c r="C238" s="1875"/>
      <c r="D238" s="1875"/>
      <c r="E238" s="1875"/>
      <c r="F238" s="1867">
        <v>0.05</v>
      </c>
    </row>
    <row r="239" spans="1:6" ht="24.75" thickBot="1">
      <c r="A239" s="1861" t="s">
        <v>1416</v>
      </c>
      <c r="B239" s="1865" t="s">
        <v>2178</v>
      </c>
      <c r="C239" s="1875"/>
      <c r="D239" s="1875"/>
      <c r="E239" s="1875"/>
      <c r="F239" s="1867">
        <v>0.05</v>
      </c>
    </row>
    <row r="240" spans="1:6" ht="24.75" thickBot="1">
      <c r="A240" s="1861" t="s">
        <v>1416</v>
      </c>
      <c r="B240" s="1865" t="s">
        <v>2179</v>
      </c>
      <c r="C240" s="1875"/>
      <c r="D240" s="1875"/>
      <c r="E240" s="1875"/>
      <c r="F240" s="1867">
        <v>0.05</v>
      </c>
    </row>
    <row r="241" spans="1:6" ht="24.75" thickBot="1">
      <c r="A241" s="1861" t="s">
        <v>1416</v>
      </c>
      <c r="B241" s="1865" t="s">
        <v>2180</v>
      </c>
      <c r="C241" s="1875"/>
      <c r="D241" s="1875"/>
      <c r="E241" s="1875"/>
      <c r="F241" s="1867">
        <v>0.05</v>
      </c>
    </row>
    <row r="242" spans="1:6" ht="24.75" thickBot="1">
      <c r="A242" s="1861" t="s">
        <v>1416</v>
      </c>
      <c r="B242" s="1865" t="s">
        <v>2181</v>
      </c>
      <c r="C242" s="1875"/>
      <c r="D242" s="1875"/>
      <c r="E242" s="1875"/>
      <c r="F242" s="1867">
        <v>0.05</v>
      </c>
    </row>
    <row r="243" spans="1:6" ht="24.75" thickBot="1">
      <c r="A243" s="1861" t="s">
        <v>1416</v>
      </c>
      <c r="B243" s="1865" t="s">
        <v>2182</v>
      </c>
      <c r="C243" s="1875"/>
      <c r="D243" s="1875"/>
      <c r="E243" s="1875"/>
      <c r="F243" s="1867">
        <v>0.05</v>
      </c>
    </row>
    <row r="244" spans="1:6" ht="24.75" thickBot="1">
      <c r="A244" s="1869" t="s">
        <v>1416</v>
      </c>
      <c r="B244" s="1876" t="s">
        <v>2183</v>
      </c>
      <c r="C244" s="1872"/>
      <c r="D244" s="1872"/>
      <c r="E244" s="1872"/>
      <c r="F244" s="1877">
        <v>0.05</v>
      </c>
    </row>
    <row r="245" spans="1:6" ht="14.25" thickBot="1">
      <c r="A245" s="1861" t="s">
        <v>1418</v>
      </c>
      <c r="B245" s="1862" t="s">
        <v>2184</v>
      </c>
      <c r="C245" s="1863">
        <v>0.15</v>
      </c>
      <c r="D245" s="1863">
        <v>0.15</v>
      </c>
      <c r="E245" s="1863">
        <v>0.15</v>
      </c>
      <c r="F245" s="1864">
        <v>0.14299999999999999</v>
      </c>
    </row>
    <row r="246" spans="1:6" ht="14.25" thickBot="1">
      <c r="A246" s="1861" t="s">
        <v>1418</v>
      </c>
      <c r="B246" s="1865" t="s">
        <v>1081</v>
      </c>
      <c r="C246" s="1866">
        <v>0.15</v>
      </c>
      <c r="D246" s="1866">
        <v>0.15</v>
      </c>
      <c r="E246" s="1866">
        <v>0.15</v>
      </c>
      <c r="F246" s="1867">
        <v>0.114</v>
      </c>
    </row>
    <row r="247" spans="1:6" ht="14.25" thickBot="1">
      <c r="A247" s="1861" t="s">
        <v>1418</v>
      </c>
      <c r="B247" s="1865" t="s">
        <v>2185</v>
      </c>
      <c r="C247" s="1866">
        <v>0.15</v>
      </c>
      <c r="D247" s="1866">
        <v>0.15</v>
      </c>
      <c r="E247" s="1866">
        <v>0.15</v>
      </c>
      <c r="F247" s="1867">
        <v>0.15</v>
      </c>
    </row>
    <row r="248" spans="1:6" ht="14.25" thickBot="1">
      <c r="A248" s="1861" t="s">
        <v>1418</v>
      </c>
      <c r="B248" s="1865" t="s">
        <v>2186</v>
      </c>
      <c r="C248" s="1866">
        <v>0.15</v>
      </c>
      <c r="D248" s="1866">
        <v>0.15</v>
      </c>
      <c r="E248" s="1866">
        <v>0.15</v>
      </c>
      <c r="F248" s="1867">
        <v>0.14000000000000001</v>
      </c>
    </row>
    <row r="249" spans="1:6" ht="14.25" thickBot="1">
      <c r="A249" s="1861" t="s">
        <v>1418</v>
      </c>
      <c r="B249" s="1865" t="s">
        <v>2187</v>
      </c>
      <c r="C249" s="1866">
        <v>0.15</v>
      </c>
      <c r="D249" s="1866">
        <v>0.14899999999999999</v>
      </c>
      <c r="E249" s="1866">
        <v>0.15</v>
      </c>
      <c r="F249" s="1867">
        <v>0.1</v>
      </c>
    </row>
    <row r="250" spans="1:6" ht="14.25" thickBot="1">
      <c r="A250" s="1861" t="s">
        <v>1418</v>
      </c>
      <c r="B250" s="1865" t="s">
        <v>2188</v>
      </c>
      <c r="C250" s="1866">
        <v>0.15</v>
      </c>
      <c r="D250" s="1866">
        <v>0.15</v>
      </c>
      <c r="E250" s="1866">
        <v>0.15</v>
      </c>
      <c r="F250" s="1867">
        <v>0.14399999999999999</v>
      </c>
    </row>
    <row r="251" spans="1:6" ht="14.25" thickBot="1">
      <c r="A251" s="1861" t="s">
        <v>1418</v>
      </c>
      <c r="B251" s="1865" t="s">
        <v>1144</v>
      </c>
      <c r="C251" s="1866">
        <v>0.15</v>
      </c>
      <c r="D251" s="1866">
        <v>0.15</v>
      </c>
      <c r="E251" s="1866">
        <v>0.15</v>
      </c>
      <c r="F251" s="1867">
        <v>0.14299999999999999</v>
      </c>
    </row>
    <row r="252" spans="1:6" ht="14.25" thickBot="1">
      <c r="A252" s="1861" t="s">
        <v>1418</v>
      </c>
      <c r="B252" s="1865" t="s">
        <v>1155</v>
      </c>
      <c r="C252" s="1866">
        <v>0.15</v>
      </c>
      <c r="D252" s="1866">
        <v>0.15</v>
      </c>
      <c r="E252" s="1866">
        <v>0.15</v>
      </c>
      <c r="F252" s="1867">
        <v>0.1</v>
      </c>
    </row>
    <row r="253" spans="1:6" ht="14.25" thickBot="1">
      <c r="A253" s="1861" t="s">
        <v>1418</v>
      </c>
      <c r="B253" s="1865" t="s">
        <v>1167</v>
      </c>
      <c r="C253" s="1866">
        <v>0.15</v>
      </c>
      <c r="D253" s="1866">
        <v>0.15</v>
      </c>
      <c r="E253" s="1866">
        <v>0.15</v>
      </c>
      <c r="F253" s="1867">
        <v>0.1</v>
      </c>
    </row>
    <row r="254" spans="1:6" ht="14.25" thickBot="1">
      <c r="A254" s="1861" t="s">
        <v>1418</v>
      </c>
      <c r="B254" s="1865" t="s">
        <v>1177</v>
      </c>
      <c r="C254" s="1875"/>
      <c r="D254" s="1875"/>
      <c r="E254" s="1875"/>
      <c r="F254" s="1867">
        <v>0.15</v>
      </c>
    </row>
    <row r="255" spans="1:6" ht="14.25" thickBot="1">
      <c r="A255" s="1861" t="s">
        <v>1418</v>
      </c>
      <c r="B255" s="1865" t="s">
        <v>1187</v>
      </c>
      <c r="C255" s="1875"/>
      <c r="D255" s="1875"/>
      <c r="E255" s="1875"/>
      <c r="F255" s="1867">
        <v>0.14299999999999999</v>
      </c>
    </row>
    <row r="256" spans="1:6" ht="14.25" thickBot="1">
      <c r="A256" s="1861" t="s">
        <v>1418</v>
      </c>
      <c r="B256" s="1865" t="s">
        <v>2189</v>
      </c>
      <c r="C256" s="1866">
        <v>0.14599999999999999</v>
      </c>
      <c r="D256" s="1866">
        <v>0.14699999999999999</v>
      </c>
      <c r="E256" s="1866">
        <v>0.15</v>
      </c>
      <c r="F256" s="1867">
        <v>0.13200000000000001</v>
      </c>
    </row>
    <row r="257" spans="1:6" ht="14.25" thickBot="1">
      <c r="A257" s="1861" t="s">
        <v>1418</v>
      </c>
      <c r="B257" s="1865" t="s">
        <v>1207</v>
      </c>
      <c r="C257" s="1866">
        <v>0.15</v>
      </c>
      <c r="D257" s="1866">
        <v>0.15</v>
      </c>
      <c r="E257" s="1866">
        <v>0.15</v>
      </c>
      <c r="F257" s="1867">
        <v>0.13900000000000001</v>
      </c>
    </row>
    <row r="258" spans="1:6" ht="14.25" thickBot="1">
      <c r="A258" s="1861" t="s">
        <v>1418</v>
      </c>
      <c r="B258" s="1865" t="s">
        <v>1217</v>
      </c>
      <c r="C258" s="1866">
        <v>0.15</v>
      </c>
      <c r="D258" s="1866">
        <v>0.15</v>
      </c>
      <c r="E258" s="1866">
        <v>0.15</v>
      </c>
      <c r="F258" s="1867">
        <v>0.13</v>
      </c>
    </row>
    <row r="259" spans="1:6" ht="14.25" thickBot="1">
      <c r="A259" s="1861" t="s">
        <v>1418</v>
      </c>
      <c r="B259" s="1865" t="s">
        <v>2190</v>
      </c>
      <c r="C259" s="1866">
        <v>0.14799999999999999</v>
      </c>
      <c r="D259" s="1866">
        <v>0.14899999999999999</v>
      </c>
      <c r="E259" s="1866">
        <v>0.15</v>
      </c>
      <c r="F259" s="1867">
        <v>0.13700000000000001</v>
      </c>
    </row>
    <row r="260" spans="1:6" ht="14.25" thickBot="1">
      <c r="A260" s="1861" t="s">
        <v>1418</v>
      </c>
      <c r="B260" s="1865" t="s">
        <v>1237</v>
      </c>
      <c r="C260" s="1866">
        <v>0.15</v>
      </c>
      <c r="D260" s="1866">
        <v>0.15</v>
      </c>
      <c r="E260" s="1866">
        <v>0.15</v>
      </c>
      <c r="F260" s="1867">
        <v>0.14199999999999999</v>
      </c>
    </row>
    <row r="261" spans="1:6" ht="14.25" thickBot="1">
      <c r="A261" s="1861" t="s">
        <v>1418</v>
      </c>
      <c r="B261" s="1865" t="s">
        <v>1247</v>
      </c>
      <c r="C261" s="1866">
        <v>0.15</v>
      </c>
      <c r="D261" s="1866">
        <v>0.15</v>
      </c>
      <c r="E261" s="1866">
        <v>0.14899999999999999</v>
      </c>
      <c r="F261" s="1867">
        <v>0.14799999999999999</v>
      </c>
    </row>
    <row r="262" spans="1:6" ht="14.25" thickBot="1">
      <c r="A262" s="1861" t="s">
        <v>1418</v>
      </c>
      <c r="B262" s="1865" t="s">
        <v>1257</v>
      </c>
      <c r="C262" s="1866">
        <v>0.15</v>
      </c>
      <c r="D262" s="1866">
        <v>0.15</v>
      </c>
      <c r="E262" s="1866">
        <v>0.15</v>
      </c>
      <c r="F262" s="1874"/>
    </row>
    <row r="263" spans="1:6" ht="14.25" thickBot="1">
      <c r="A263" s="1861" t="s">
        <v>1418</v>
      </c>
      <c r="B263" s="1865" t="s">
        <v>2191</v>
      </c>
      <c r="C263" s="1866">
        <v>0.14899999999999999</v>
      </c>
      <c r="D263" s="1866">
        <v>0.14899999999999999</v>
      </c>
      <c r="E263" s="1866">
        <v>0.15</v>
      </c>
      <c r="F263" s="1867">
        <v>0.13</v>
      </c>
    </row>
    <row r="264" spans="1:6" ht="14.25" thickBot="1">
      <c r="A264" s="1861" t="s">
        <v>1418</v>
      </c>
      <c r="B264" s="1865" t="s">
        <v>1276</v>
      </c>
      <c r="C264" s="1866">
        <v>0.14799999999999999</v>
      </c>
      <c r="D264" s="1866">
        <v>0.14699999999999999</v>
      </c>
      <c r="E264" s="1866">
        <v>0.15</v>
      </c>
      <c r="F264" s="1867">
        <v>7.8E-2</v>
      </c>
    </row>
    <row r="265" spans="1:6" ht="14.25" thickBot="1">
      <c r="A265" s="1861" t="s">
        <v>1418</v>
      </c>
      <c r="B265" s="1865" t="s">
        <v>1285</v>
      </c>
      <c r="C265" s="1866">
        <v>0.15</v>
      </c>
      <c r="D265" s="1866">
        <v>0.15</v>
      </c>
      <c r="E265" s="1866">
        <v>0.15</v>
      </c>
      <c r="F265" s="1867">
        <v>7.3999999999999996E-2</v>
      </c>
    </row>
    <row r="266" spans="1:6" ht="14.25" thickBot="1">
      <c r="A266" s="1861" t="s">
        <v>1418</v>
      </c>
      <c r="B266" s="1865" t="s">
        <v>1293</v>
      </c>
      <c r="C266" s="1866">
        <v>0.14699999999999999</v>
      </c>
      <c r="D266" s="1866">
        <v>0.14699999999999999</v>
      </c>
      <c r="E266" s="1866">
        <v>0.15</v>
      </c>
      <c r="F266" s="1867">
        <v>0.14299999999999999</v>
      </c>
    </row>
    <row r="267" spans="1:6" ht="14.25" thickBot="1">
      <c r="A267" s="1861" t="s">
        <v>1418</v>
      </c>
      <c r="B267" s="1865" t="s">
        <v>1300</v>
      </c>
      <c r="C267" s="1866">
        <v>0.14199999999999999</v>
      </c>
      <c r="D267" s="1866">
        <v>0.14299999999999999</v>
      </c>
      <c r="E267" s="1866">
        <v>0.15</v>
      </c>
      <c r="F267" s="1874"/>
    </row>
    <row r="268" spans="1:6" ht="14.25" thickBot="1">
      <c r="A268" s="1861" t="s">
        <v>1418</v>
      </c>
      <c r="B268" s="1865" t="s">
        <v>2192</v>
      </c>
      <c r="C268" s="1866">
        <v>0.15</v>
      </c>
      <c r="D268" s="1866">
        <v>0.15</v>
      </c>
      <c r="E268" s="1866">
        <v>0.15</v>
      </c>
      <c r="F268" s="1867">
        <v>0.13</v>
      </c>
    </row>
    <row r="269" spans="1:6" ht="14.25" thickBot="1">
      <c r="A269" s="1861" t="s">
        <v>1418</v>
      </c>
      <c r="B269" s="1865" t="s">
        <v>1314</v>
      </c>
      <c r="C269" s="1866">
        <v>0.15</v>
      </c>
      <c r="D269" s="1866">
        <v>0.15</v>
      </c>
      <c r="E269" s="1866">
        <v>0.15</v>
      </c>
      <c r="F269" s="1867">
        <v>0.14299999999999999</v>
      </c>
    </row>
    <row r="270" spans="1:6" ht="14.25" thickBot="1">
      <c r="A270" s="1861" t="s">
        <v>1418</v>
      </c>
      <c r="B270" s="1865" t="s">
        <v>1321</v>
      </c>
      <c r="C270" s="1866">
        <v>0.14499999999999999</v>
      </c>
      <c r="D270" s="1866">
        <v>0.14499999999999999</v>
      </c>
      <c r="E270" s="1866">
        <v>0.15</v>
      </c>
      <c r="F270" s="1867">
        <v>0.14699999999999999</v>
      </c>
    </row>
    <row r="271" spans="1:6" ht="14.25" thickBot="1">
      <c r="A271" s="1861" t="s">
        <v>1418</v>
      </c>
      <c r="B271" s="1865" t="s">
        <v>1328</v>
      </c>
      <c r="C271" s="1866">
        <v>0.15</v>
      </c>
      <c r="D271" s="1866">
        <v>0.15</v>
      </c>
      <c r="E271" s="1866">
        <v>0.15</v>
      </c>
      <c r="F271" s="1867">
        <v>0.13800000000000001</v>
      </c>
    </row>
    <row r="272" spans="1:6" ht="14.25" thickBot="1">
      <c r="A272" s="1861" t="s">
        <v>1418</v>
      </c>
      <c r="B272" s="1865" t="s">
        <v>1335</v>
      </c>
      <c r="C272" s="1875"/>
      <c r="D272" s="1875"/>
      <c r="E272" s="1875"/>
      <c r="F272" s="1867">
        <v>0.14000000000000001</v>
      </c>
    </row>
    <row r="273" spans="1:6" ht="14.25" thickBot="1">
      <c r="A273" s="1861" t="s">
        <v>1418</v>
      </c>
      <c r="B273" s="1865" t="s">
        <v>2193</v>
      </c>
      <c r="C273" s="1866">
        <v>0.14199999999999999</v>
      </c>
      <c r="D273" s="1866">
        <v>0.14299999999999999</v>
      </c>
      <c r="E273" s="1866">
        <v>0.15</v>
      </c>
      <c r="F273" s="1867">
        <v>0.1</v>
      </c>
    </row>
    <row r="274" spans="1:6" ht="14.25" thickBot="1">
      <c r="A274" s="1861" t="s">
        <v>1418</v>
      </c>
      <c r="B274" s="1865" t="s">
        <v>2194</v>
      </c>
      <c r="C274" s="1866">
        <v>0.14799999999999999</v>
      </c>
      <c r="D274" s="1866">
        <v>0.14799999999999999</v>
      </c>
      <c r="E274" s="1866">
        <v>0.15</v>
      </c>
      <c r="F274" s="1867">
        <v>6.7000000000000004E-2</v>
      </c>
    </row>
    <row r="275" spans="1:6" ht="14.25" thickBot="1">
      <c r="A275" s="1861" t="s">
        <v>1418</v>
      </c>
      <c r="B275" s="1865" t="s">
        <v>2195</v>
      </c>
      <c r="C275" s="1866">
        <v>0.15</v>
      </c>
      <c r="D275" s="1866">
        <v>0.15</v>
      </c>
      <c r="E275" s="1866">
        <v>0.15</v>
      </c>
      <c r="F275" s="1867">
        <v>0.15</v>
      </c>
    </row>
    <row r="276" spans="1:6" ht="14.25" thickBot="1">
      <c r="A276" s="1861" t="s">
        <v>1418</v>
      </c>
      <c r="B276" s="1865" t="s">
        <v>2196</v>
      </c>
      <c r="C276" s="1866">
        <v>0.14499999999999999</v>
      </c>
      <c r="D276" s="1866">
        <v>0.14299999999999999</v>
      </c>
      <c r="E276" s="1866">
        <v>0.15</v>
      </c>
      <c r="F276" s="1867">
        <v>5.8999999999999997E-2</v>
      </c>
    </row>
    <row r="277" spans="1:6" ht="14.25" thickBot="1">
      <c r="A277" s="1861" t="s">
        <v>1418</v>
      </c>
      <c r="B277" s="1865" t="s">
        <v>2197</v>
      </c>
      <c r="C277" s="1866">
        <v>0.15</v>
      </c>
      <c r="D277" s="1866">
        <v>0.15</v>
      </c>
      <c r="E277" s="1866">
        <v>0.15</v>
      </c>
      <c r="F277" s="1867">
        <v>0.121</v>
      </c>
    </row>
    <row r="278" spans="1:6" ht="14.25" thickBot="1">
      <c r="A278" s="1861" t="s">
        <v>1418</v>
      </c>
      <c r="B278" s="1865" t="s">
        <v>2198</v>
      </c>
      <c r="C278" s="1866">
        <v>0.15</v>
      </c>
      <c r="D278" s="1866">
        <v>0.15</v>
      </c>
      <c r="E278" s="1866">
        <v>0.15</v>
      </c>
      <c r="F278" s="1867">
        <v>0.13800000000000001</v>
      </c>
    </row>
    <row r="279" spans="1:6" ht="24.75" thickBot="1">
      <c r="A279" s="1861" t="s">
        <v>1418</v>
      </c>
      <c r="B279" s="1865" t="s">
        <v>2199</v>
      </c>
      <c r="C279" s="1875"/>
      <c r="D279" s="1875"/>
      <c r="E279" s="1875"/>
      <c r="F279" s="1867">
        <v>0.05</v>
      </c>
    </row>
    <row r="280" spans="1:6" ht="24.75" thickBot="1">
      <c r="A280" s="1861" t="s">
        <v>1418</v>
      </c>
      <c r="B280" s="1865" t="s">
        <v>2200</v>
      </c>
      <c r="C280" s="1875"/>
      <c r="D280" s="1875"/>
      <c r="E280" s="1875"/>
      <c r="F280" s="1867">
        <v>0.05</v>
      </c>
    </row>
    <row r="281" spans="1:6" ht="24.75" thickBot="1">
      <c r="A281" s="1861" t="s">
        <v>1418</v>
      </c>
      <c r="B281" s="1865" t="s">
        <v>2201</v>
      </c>
      <c r="C281" s="1875"/>
      <c r="D281" s="1875"/>
      <c r="E281" s="1875"/>
      <c r="F281" s="1867">
        <v>0.05</v>
      </c>
    </row>
    <row r="282" spans="1:6" ht="24.75" thickBot="1">
      <c r="A282" s="1861" t="s">
        <v>1418</v>
      </c>
      <c r="B282" s="1865" t="s">
        <v>2202</v>
      </c>
      <c r="C282" s="1875"/>
      <c r="D282" s="1875"/>
      <c r="E282" s="1875"/>
      <c r="F282" s="1867">
        <v>0.05</v>
      </c>
    </row>
    <row r="283" spans="1:6" ht="24.75" thickBot="1">
      <c r="A283" s="1861" t="s">
        <v>1418</v>
      </c>
      <c r="B283" s="1865" t="s">
        <v>2203</v>
      </c>
      <c r="C283" s="1875"/>
      <c r="D283" s="1875"/>
      <c r="E283" s="1875"/>
      <c r="F283" s="1867">
        <v>0.05</v>
      </c>
    </row>
    <row r="284" spans="1:6" ht="24.75" thickBot="1">
      <c r="A284" s="1861" t="s">
        <v>1418</v>
      </c>
      <c r="B284" s="1865" t="s">
        <v>2204</v>
      </c>
      <c r="C284" s="1875"/>
      <c r="D284" s="1875"/>
      <c r="E284" s="1875"/>
      <c r="F284" s="1867">
        <v>0.05</v>
      </c>
    </row>
    <row r="285" spans="1:6" ht="24.75" thickBot="1">
      <c r="A285" s="1861" t="s">
        <v>1418</v>
      </c>
      <c r="B285" s="1865" t="s">
        <v>2205</v>
      </c>
      <c r="C285" s="1875"/>
      <c r="D285" s="1875"/>
      <c r="E285" s="1875"/>
      <c r="F285" s="1867">
        <v>0.05</v>
      </c>
    </row>
    <row r="286" spans="1:6" ht="24.75" thickBot="1">
      <c r="A286" s="1861" t="s">
        <v>1418</v>
      </c>
      <c r="B286" s="1865" t="s">
        <v>2206</v>
      </c>
      <c r="C286" s="1875"/>
      <c r="D286" s="1875"/>
      <c r="E286" s="1875"/>
      <c r="F286" s="1867">
        <v>0.05</v>
      </c>
    </row>
    <row r="287" spans="1:6" ht="24.75" thickBot="1">
      <c r="A287" s="1861" t="s">
        <v>1418</v>
      </c>
      <c r="B287" s="1865" t="s">
        <v>2207</v>
      </c>
      <c r="C287" s="1875"/>
      <c r="D287" s="1875"/>
      <c r="E287" s="1875"/>
      <c r="F287" s="1867">
        <v>0.05</v>
      </c>
    </row>
    <row r="288" spans="1:6" ht="24.75" thickBot="1">
      <c r="A288" s="1861" t="s">
        <v>1418</v>
      </c>
      <c r="B288" s="1865" t="s">
        <v>2208</v>
      </c>
      <c r="C288" s="1875"/>
      <c r="D288" s="1875"/>
      <c r="E288" s="1875"/>
      <c r="F288" s="1867">
        <v>0.05</v>
      </c>
    </row>
    <row r="289" spans="1:6" ht="24.75" thickBot="1">
      <c r="A289" s="1869" t="s">
        <v>1418</v>
      </c>
      <c r="B289" s="1876" t="s">
        <v>2209</v>
      </c>
      <c r="C289" s="1872"/>
      <c r="D289" s="1872"/>
      <c r="E289" s="1872"/>
      <c r="F289" s="1877">
        <v>0.05</v>
      </c>
    </row>
    <row r="290" spans="1:6" ht="14.25" thickBot="1">
      <c r="A290" s="1861" t="s">
        <v>1422</v>
      </c>
      <c r="B290" s="1862" t="s">
        <v>2210</v>
      </c>
      <c r="C290" s="1863">
        <v>0.15</v>
      </c>
      <c r="D290" s="1863">
        <v>0.15</v>
      </c>
      <c r="E290" s="1863">
        <v>0.15</v>
      </c>
      <c r="F290" s="1885"/>
    </row>
    <row r="291" spans="1:6" ht="14.25" thickBot="1">
      <c r="A291" s="1861" t="s">
        <v>1422</v>
      </c>
      <c r="B291" s="1865" t="s">
        <v>1082</v>
      </c>
      <c r="C291" s="1866">
        <v>0.15</v>
      </c>
      <c r="D291" s="1866">
        <v>0.15</v>
      </c>
      <c r="E291" s="1866">
        <v>0.15</v>
      </c>
      <c r="F291" s="1874"/>
    </row>
    <row r="292" spans="1:6" ht="14.25" thickBot="1">
      <c r="A292" s="1861" t="s">
        <v>1422</v>
      </c>
      <c r="B292" s="1865" t="s">
        <v>2211</v>
      </c>
      <c r="C292" s="1866">
        <v>0.15</v>
      </c>
      <c r="D292" s="1866">
        <v>0.15</v>
      </c>
      <c r="E292" s="1866">
        <v>0.15</v>
      </c>
      <c r="F292" s="1867">
        <v>0.14699999999999999</v>
      </c>
    </row>
    <row r="293" spans="1:6" ht="14.25" thickBot="1">
      <c r="A293" s="1861" t="s">
        <v>1422</v>
      </c>
      <c r="B293" s="1865" t="s">
        <v>2212</v>
      </c>
      <c r="C293" s="1875"/>
      <c r="D293" s="1875"/>
      <c r="E293" s="1875"/>
      <c r="F293" s="1867">
        <v>0.1</v>
      </c>
    </row>
    <row r="294" spans="1:6" ht="14.25" thickBot="1">
      <c r="A294" s="1861" t="s">
        <v>1422</v>
      </c>
      <c r="B294" s="1865" t="s">
        <v>2213</v>
      </c>
      <c r="C294" s="1866">
        <v>0.15</v>
      </c>
      <c r="D294" s="1866">
        <v>0.15</v>
      </c>
      <c r="E294" s="1866">
        <v>0.15</v>
      </c>
      <c r="F294" s="1867">
        <v>0.15</v>
      </c>
    </row>
    <row r="295" spans="1:6" ht="14.25" thickBot="1">
      <c r="A295" s="1861" t="s">
        <v>1422</v>
      </c>
      <c r="B295" s="1865" t="s">
        <v>1123</v>
      </c>
      <c r="C295" s="1866">
        <v>0.15</v>
      </c>
      <c r="D295" s="1866">
        <v>0.15</v>
      </c>
      <c r="E295" s="1866">
        <v>0.15</v>
      </c>
      <c r="F295" s="1867">
        <v>0.15</v>
      </c>
    </row>
    <row r="296" spans="1:6" ht="14.25" thickBot="1">
      <c r="A296" s="1861" t="s">
        <v>1422</v>
      </c>
      <c r="B296" s="1865" t="s">
        <v>2214</v>
      </c>
      <c r="C296" s="1866">
        <v>0.15</v>
      </c>
      <c r="D296" s="1866">
        <v>0.15</v>
      </c>
      <c r="E296" s="1866">
        <v>0.15</v>
      </c>
      <c r="F296" s="1867">
        <v>0.15</v>
      </c>
    </row>
    <row r="297" spans="1:6" ht="14.25" thickBot="1">
      <c r="A297" s="1861" t="s">
        <v>1422</v>
      </c>
      <c r="B297" s="1865" t="s">
        <v>2215</v>
      </c>
      <c r="C297" s="1866">
        <v>0.14799999999999999</v>
      </c>
      <c r="D297" s="1866">
        <v>0.14899999999999999</v>
      </c>
      <c r="E297" s="1866">
        <v>0.15</v>
      </c>
      <c r="F297" s="1867">
        <v>0.13700000000000001</v>
      </c>
    </row>
    <row r="298" spans="1:6" ht="14.25" thickBot="1">
      <c r="A298" s="1861" t="s">
        <v>1422</v>
      </c>
      <c r="B298" s="1865" t="s">
        <v>1156</v>
      </c>
      <c r="C298" s="1866">
        <v>0.13400000000000001</v>
      </c>
      <c r="D298" s="1866">
        <v>0.13400000000000001</v>
      </c>
      <c r="E298" s="1866">
        <v>0.14499999999999999</v>
      </c>
      <c r="F298" s="1867">
        <v>0.14799999999999999</v>
      </c>
    </row>
    <row r="299" spans="1:6" ht="14.25" thickBot="1">
      <c r="A299" s="1861" t="s">
        <v>1422</v>
      </c>
      <c r="B299" s="1865" t="s">
        <v>1168</v>
      </c>
      <c r="C299" s="1866">
        <v>0.15</v>
      </c>
      <c r="D299" s="1866">
        <v>0.15</v>
      </c>
      <c r="E299" s="1866">
        <v>0.15</v>
      </c>
      <c r="F299" s="1874"/>
    </row>
    <row r="300" spans="1:6" ht="14.25" thickBot="1">
      <c r="A300" s="1861" t="s">
        <v>1422</v>
      </c>
      <c r="B300" s="1865" t="s">
        <v>2216</v>
      </c>
      <c r="C300" s="1866">
        <v>0.15</v>
      </c>
      <c r="D300" s="1866">
        <v>0.15</v>
      </c>
      <c r="E300" s="1866">
        <v>0.15</v>
      </c>
      <c r="F300" s="1867">
        <v>0.15</v>
      </c>
    </row>
    <row r="301" spans="1:6" ht="14.25" thickBot="1">
      <c r="A301" s="1861" t="s">
        <v>1422</v>
      </c>
      <c r="B301" s="1865" t="s">
        <v>1188</v>
      </c>
      <c r="C301" s="1866">
        <v>0.15</v>
      </c>
      <c r="D301" s="1866">
        <v>0.15</v>
      </c>
      <c r="E301" s="1866">
        <v>0.15</v>
      </c>
      <c r="F301" s="1874"/>
    </row>
    <row r="302" spans="1:6" ht="14.25" thickBot="1">
      <c r="A302" s="1861" t="s">
        <v>1422</v>
      </c>
      <c r="B302" s="1865" t="s">
        <v>2217</v>
      </c>
      <c r="C302" s="1866">
        <v>0.15</v>
      </c>
      <c r="D302" s="1866">
        <v>0.15</v>
      </c>
      <c r="E302" s="1866">
        <v>0.15</v>
      </c>
      <c r="F302" s="1867">
        <v>0.15</v>
      </c>
    </row>
    <row r="303" spans="1:6" ht="14.25" thickBot="1">
      <c r="A303" s="1861" t="s">
        <v>1422</v>
      </c>
      <c r="B303" s="1865" t="s">
        <v>1208</v>
      </c>
      <c r="C303" s="1866">
        <v>0.15</v>
      </c>
      <c r="D303" s="1866">
        <v>0.15</v>
      </c>
      <c r="E303" s="1866">
        <v>0.15</v>
      </c>
      <c r="F303" s="1867">
        <v>0.15</v>
      </c>
    </row>
    <row r="304" spans="1:6" ht="14.25" thickBot="1">
      <c r="A304" s="1861" t="s">
        <v>1422</v>
      </c>
      <c r="B304" s="1865" t="s">
        <v>1218</v>
      </c>
      <c r="C304" s="1866">
        <v>0.15</v>
      </c>
      <c r="D304" s="1866">
        <v>0.15</v>
      </c>
      <c r="E304" s="1866">
        <v>0.15</v>
      </c>
      <c r="F304" s="1874"/>
    </row>
    <row r="305" spans="1:6" ht="14.25" thickBot="1">
      <c r="A305" s="1861" t="s">
        <v>1422</v>
      </c>
      <c r="B305" s="1865" t="s">
        <v>2218</v>
      </c>
      <c r="C305" s="1866">
        <v>0.15</v>
      </c>
      <c r="D305" s="1866">
        <v>0.15</v>
      </c>
      <c r="E305" s="1866">
        <v>0.15</v>
      </c>
      <c r="F305" s="1867">
        <v>0.14000000000000001</v>
      </c>
    </row>
    <row r="306" spans="1:6" ht="14.25" thickBot="1">
      <c r="A306" s="1861" t="s">
        <v>1422</v>
      </c>
      <c r="B306" s="1865" t="s">
        <v>1238</v>
      </c>
      <c r="C306" s="1866">
        <v>0.15</v>
      </c>
      <c r="D306" s="1866">
        <v>0.15</v>
      </c>
      <c r="E306" s="1866">
        <v>0.15</v>
      </c>
      <c r="F306" s="1874"/>
    </row>
    <row r="307" spans="1:6" ht="14.25" thickBot="1">
      <c r="A307" s="1861" t="s">
        <v>1422</v>
      </c>
      <c r="B307" s="1865" t="s">
        <v>2219</v>
      </c>
      <c r="C307" s="1866">
        <v>0.15</v>
      </c>
      <c r="D307" s="1866">
        <v>0.15</v>
      </c>
      <c r="E307" s="1866">
        <v>0.15</v>
      </c>
      <c r="F307" s="1867">
        <v>0.14299999999999999</v>
      </c>
    </row>
    <row r="308" spans="1:6" ht="14.25" thickBot="1">
      <c r="A308" s="1861" t="s">
        <v>1422</v>
      </c>
      <c r="B308" s="1865" t="s">
        <v>1258</v>
      </c>
      <c r="C308" s="1866">
        <v>0.15</v>
      </c>
      <c r="D308" s="1866">
        <v>0.15</v>
      </c>
      <c r="E308" s="1866">
        <v>0.15</v>
      </c>
      <c r="F308" s="1867">
        <v>0.15</v>
      </c>
    </row>
    <row r="309" spans="1:6" ht="14.25" thickBot="1">
      <c r="A309" s="1861" t="s">
        <v>1422</v>
      </c>
      <c r="B309" s="1865" t="s">
        <v>1268</v>
      </c>
      <c r="C309" s="1866">
        <v>0.15</v>
      </c>
      <c r="D309" s="1866">
        <v>0.15</v>
      </c>
      <c r="E309" s="1866">
        <v>0.15</v>
      </c>
      <c r="F309" s="1874"/>
    </row>
    <row r="310" spans="1:6" ht="14.25" thickBot="1">
      <c r="A310" s="1861" t="s">
        <v>1422</v>
      </c>
      <c r="B310" s="1865" t="s">
        <v>2220</v>
      </c>
      <c r="C310" s="1866">
        <v>0.15</v>
      </c>
      <c r="D310" s="1866">
        <v>0.15</v>
      </c>
      <c r="E310" s="1866">
        <v>0.15</v>
      </c>
      <c r="F310" s="1867">
        <v>0.13700000000000001</v>
      </c>
    </row>
    <row r="311" spans="1:6" ht="14.25" thickBot="1">
      <c r="A311" s="1861" t="s">
        <v>1422</v>
      </c>
      <c r="B311" s="1865" t="s">
        <v>2221</v>
      </c>
      <c r="C311" s="1866">
        <v>0.15</v>
      </c>
      <c r="D311" s="1866">
        <v>0.15</v>
      </c>
      <c r="E311" s="1866">
        <v>0.15</v>
      </c>
      <c r="F311" s="1867">
        <v>0.15</v>
      </c>
    </row>
    <row r="312" spans="1:6" ht="14.25" thickBot="1">
      <c r="A312" s="1861" t="s">
        <v>1422</v>
      </c>
      <c r="B312" s="1865" t="s">
        <v>1294</v>
      </c>
      <c r="C312" s="1866">
        <v>0.15</v>
      </c>
      <c r="D312" s="1866">
        <v>0.15</v>
      </c>
      <c r="E312" s="1866">
        <v>0.15</v>
      </c>
      <c r="F312" s="1867">
        <v>0.1</v>
      </c>
    </row>
    <row r="313" spans="1:6" ht="14.25" thickBot="1">
      <c r="A313" s="1861" t="s">
        <v>1422</v>
      </c>
      <c r="B313" s="1865" t="s">
        <v>2222</v>
      </c>
      <c r="C313" s="1866">
        <v>0.15</v>
      </c>
      <c r="D313" s="1866">
        <v>0.15</v>
      </c>
      <c r="E313" s="1866">
        <v>0.15</v>
      </c>
      <c r="F313" s="1867">
        <v>0.15</v>
      </c>
    </row>
    <row r="314" spans="1:6" ht="24.75" thickBot="1">
      <c r="A314" s="1861" t="s">
        <v>1422</v>
      </c>
      <c r="B314" s="1865" t="s">
        <v>2223</v>
      </c>
      <c r="C314" s="1875"/>
      <c r="D314" s="1875"/>
      <c r="E314" s="1875"/>
      <c r="F314" s="1867">
        <v>0.05</v>
      </c>
    </row>
    <row r="315" spans="1:6" ht="24.75" thickBot="1">
      <c r="A315" s="1861" t="s">
        <v>1422</v>
      </c>
      <c r="B315" s="1865" t="s">
        <v>2224</v>
      </c>
      <c r="C315" s="1875"/>
      <c r="D315" s="1875"/>
      <c r="E315" s="1875"/>
      <c r="F315" s="1867">
        <v>0.05</v>
      </c>
    </row>
    <row r="316" spans="1:6" ht="24.75" thickBot="1">
      <c r="A316" s="1869" t="s">
        <v>1422</v>
      </c>
      <c r="B316" s="1876" t="s">
        <v>2225</v>
      </c>
      <c r="C316" s="1872"/>
      <c r="D316" s="1872"/>
      <c r="E316" s="1872"/>
      <c r="F316" s="1877">
        <v>0.05</v>
      </c>
    </row>
    <row r="317" spans="1:6" ht="14.25" thickBot="1">
      <c r="A317" s="1861" t="s">
        <v>2226</v>
      </c>
      <c r="B317" s="1862" t="s">
        <v>2227</v>
      </c>
      <c r="C317" s="1863">
        <v>0.15</v>
      </c>
      <c r="D317" s="1863">
        <v>0.15</v>
      </c>
      <c r="E317" s="1863">
        <v>0.15</v>
      </c>
      <c r="F317" s="1864">
        <v>0.15</v>
      </c>
    </row>
    <row r="318" spans="1:6" ht="14.25" thickBot="1">
      <c r="A318" s="1861" t="s">
        <v>2226</v>
      </c>
      <c r="B318" s="1865" t="s">
        <v>2228</v>
      </c>
      <c r="C318" s="1866">
        <v>0.107</v>
      </c>
      <c r="D318" s="1866">
        <v>0.11</v>
      </c>
      <c r="E318" s="1866">
        <v>0.112</v>
      </c>
      <c r="F318" s="1874"/>
    </row>
    <row r="319" spans="1:6" ht="14.25" thickBot="1">
      <c r="A319" s="1861" t="s">
        <v>2226</v>
      </c>
      <c r="B319" s="1865" t="s">
        <v>2229</v>
      </c>
      <c r="C319" s="1866">
        <v>0.15</v>
      </c>
      <c r="D319" s="1866">
        <v>0.15</v>
      </c>
      <c r="E319" s="1866">
        <v>0.15</v>
      </c>
      <c r="F319" s="1867">
        <v>0.15</v>
      </c>
    </row>
    <row r="320" spans="1:6" ht="14.25" thickBot="1">
      <c r="A320" s="1861" t="s">
        <v>2226</v>
      </c>
      <c r="B320" s="1865" t="s">
        <v>1110</v>
      </c>
      <c r="C320" s="1866">
        <v>0.15</v>
      </c>
      <c r="D320" s="1866">
        <v>0.15</v>
      </c>
      <c r="E320" s="1866">
        <v>0.15</v>
      </c>
      <c r="F320" s="1874"/>
    </row>
    <row r="321" spans="1:6" ht="14.25" thickBot="1">
      <c r="A321" s="1861" t="s">
        <v>2226</v>
      </c>
      <c r="B321" s="1865" t="s">
        <v>2230</v>
      </c>
      <c r="C321" s="1866">
        <v>0.15</v>
      </c>
      <c r="D321" s="1866">
        <v>0.15</v>
      </c>
      <c r="E321" s="1866">
        <v>0.15</v>
      </c>
      <c r="F321" s="1874"/>
    </row>
    <row r="322" spans="1:6" ht="14.25" thickBot="1">
      <c r="A322" s="1861" t="s">
        <v>2226</v>
      </c>
      <c r="B322" s="1865" t="s">
        <v>2231</v>
      </c>
      <c r="C322" s="1866">
        <v>0.15</v>
      </c>
      <c r="D322" s="1866">
        <v>0.15</v>
      </c>
      <c r="E322" s="1866">
        <v>0.15</v>
      </c>
      <c r="F322" s="1867">
        <v>0.15</v>
      </c>
    </row>
    <row r="323" spans="1:6" ht="14.25" thickBot="1">
      <c r="A323" s="1861" t="s">
        <v>2226</v>
      </c>
      <c r="B323" s="1865" t="s">
        <v>2232</v>
      </c>
      <c r="C323" s="1866">
        <v>0.15</v>
      </c>
      <c r="D323" s="1866">
        <v>0.15</v>
      </c>
      <c r="E323" s="1866">
        <v>0.15</v>
      </c>
      <c r="F323" s="1874"/>
    </row>
    <row r="324" spans="1:6" ht="14.25" thickBot="1">
      <c r="A324" s="1861" t="s">
        <v>2226</v>
      </c>
      <c r="B324" s="1865" t="s">
        <v>2233</v>
      </c>
      <c r="C324" s="1866">
        <v>0.15</v>
      </c>
      <c r="D324" s="1866">
        <v>0.15</v>
      </c>
      <c r="E324" s="1866">
        <v>0.15</v>
      </c>
      <c r="F324" s="1874"/>
    </row>
    <row r="325" spans="1:6" ht="14.25" thickBot="1">
      <c r="A325" s="1861" t="s">
        <v>2226</v>
      </c>
      <c r="B325" s="1865" t="s">
        <v>2234</v>
      </c>
      <c r="C325" s="1866">
        <v>0.15</v>
      </c>
      <c r="D325" s="1866">
        <v>0.15</v>
      </c>
      <c r="E325" s="1866">
        <v>0.15</v>
      </c>
      <c r="F325" s="1867">
        <v>0.14699999999999999</v>
      </c>
    </row>
    <row r="326" spans="1:6" ht="14.25" thickBot="1">
      <c r="A326" s="1861" t="s">
        <v>2226</v>
      </c>
      <c r="B326" s="1865" t="s">
        <v>1179</v>
      </c>
      <c r="C326" s="1866">
        <v>0.15</v>
      </c>
      <c r="D326" s="1866">
        <v>0.15</v>
      </c>
      <c r="E326" s="1866">
        <v>0.15</v>
      </c>
      <c r="F326" s="1874"/>
    </row>
    <row r="327" spans="1:6" ht="14.25" thickBot="1">
      <c r="A327" s="1861" t="s">
        <v>2226</v>
      </c>
      <c r="B327" s="1865" t="s">
        <v>2235</v>
      </c>
      <c r="C327" s="1866">
        <v>0.15</v>
      </c>
      <c r="D327" s="1866">
        <v>0.15</v>
      </c>
      <c r="E327" s="1866">
        <v>0.15</v>
      </c>
      <c r="F327" s="1867">
        <v>0.15</v>
      </c>
    </row>
    <row r="328" spans="1:6" ht="14.25" thickBot="1">
      <c r="A328" s="1861" t="s">
        <v>2226</v>
      </c>
      <c r="B328" s="1865" t="s">
        <v>1199</v>
      </c>
      <c r="C328" s="1866">
        <v>0.15</v>
      </c>
      <c r="D328" s="1866">
        <v>0.15</v>
      </c>
      <c r="E328" s="1866">
        <v>0.15</v>
      </c>
      <c r="F328" s="1867">
        <v>0.14099999999999999</v>
      </c>
    </row>
    <row r="329" spans="1:6" ht="14.25" thickBot="1">
      <c r="A329" s="1861" t="s">
        <v>2226</v>
      </c>
      <c r="B329" s="1865" t="s">
        <v>1209</v>
      </c>
      <c r="C329" s="1866">
        <v>0.15</v>
      </c>
      <c r="D329" s="1866">
        <v>0.15</v>
      </c>
      <c r="E329" s="1866">
        <v>0.15</v>
      </c>
      <c r="F329" s="1867">
        <v>0.15</v>
      </c>
    </row>
    <row r="330" spans="1:6" ht="14.25" thickBot="1">
      <c r="A330" s="1861" t="s">
        <v>2226</v>
      </c>
      <c r="B330" s="1865" t="s">
        <v>1219</v>
      </c>
      <c r="C330" s="1866">
        <v>0.15</v>
      </c>
      <c r="D330" s="1866">
        <v>0.15</v>
      </c>
      <c r="E330" s="1866">
        <v>0.15</v>
      </c>
      <c r="F330" s="1874"/>
    </row>
    <row r="331" spans="1:6" ht="14.25" thickBot="1">
      <c r="A331" s="1861" t="s">
        <v>2226</v>
      </c>
      <c r="B331" s="1865" t="s">
        <v>2236</v>
      </c>
      <c r="C331" s="1866">
        <v>0.15</v>
      </c>
      <c r="D331" s="1866">
        <v>0.15</v>
      </c>
      <c r="E331" s="1866">
        <v>0.15</v>
      </c>
      <c r="F331" s="1867">
        <v>0.15</v>
      </c>
    </row>
    <row r="332" spans="1:6" ht="14.25" thickBot="1">
      <c r="A332" s="1861" t="s">
        <v>2226</v>
      </c>
      <c r="B332" s="1865" t="s">
        <v>1239</v>
      </c>
      <c r="C332" s="1866">
        <v>0.15</v>
      </c>
      <c r="D332" s="1866">
        <v>0.15</v>
      </c>
      <c r="E332" s="1866">
        <v>0.15</v>
      </c>
      <c r="F332" s="1867">
        <v>0.15</v>
      </c>
    </row>
    <row r="333" spans="1:6" ht="14.25" thickBot="1">
      <c r="A333" s="1861" t="s">
        <v>2226</v>
      </c>
      <c r="B333" s="1865" t="s">
        <v>2237</v>
      </c>
      <c r="C333" s="1866">
        <v>0.15</v>
      </c>
      <c r="D333" s="1866">
        <v>0.15</v>
      </c>
      <c r="E333" s="1866">
        <v>0.15</v>
      </c>
      <c r="F333" s="1867">
        <v>0.14099999999999999</v>
      </c>
    </row>
    <row r="334" spans="1:6" ht="14.25" thickBot="1">
      <c r="A334" s="1861" t="s">
        <v>2226</v>
      </c>
      <c r="B334" s="1865" t="s">
        <v>1259</v>
      </c>
      <c r="C334" s="1866">
        <v>0.15</v>
      </c>
      <c r="D334" s="1866">
        <v>0.15</v>
      </c>
      <c r="E334" s="1866">
        <v>0.15</v>
      </c>
      <c r="F334" s="1867">
        <v>0.15</v>
      </c>
    </row>
    <row r="335" spans="1:6" ht="14.25" thickBot="1">
      <c r="A335" s="1861" t="s">
        <v>2226</v>
      </c>
      <c r="B335" s="1865" t="s">
        <v>1269</v>
      </c>
      <c r="C335" s="1866">
        <v>0.15</v>
      </c>
      <c r="D335" s="1866">
        <v>0.15</v>
      </c>
      <c r="E335" s="1866">
        <v>0.15</v>
      </c>
      <c r="F335" s="1874"/>
    </row>
    <row r="336" spans="1:6" ht="14.25" thickBot="1">
      <c r="A336" s="1861" t="s">
        <v>2226</v>
      </c>
      <c r="B336" s="1865" t="s">
        <v>2238</v>
      </c>
      <c r="C336" s="1866">
        <v>0.15</v>
      </c>
      <c r="D336" s="1866">
        <v>0.15</v>
      </c>
      <c r="E336" s="1866">
        <v>0.15</v>
      </c>
      <c r="F336" s="1867">
        <v>0.11799999999999999</v>
      </c>
    </row>
    <row r="337" spans="1:6" ht="14.25" thickBot="1">
      <c r="A337" s="1869" t="s">
        <v>2226</v>
      </c>
      <c r="B337" s="1876" t="s">
        <v>1287</v>
      </c>
      <c r="C337" s="1872"/>
      <c r="D337" s="1872"/>
      <c r="E337" s="1872"/>
      <c r="F337" s="1877">
        <v>0.14299999999999999</v>
      </c>
    </row>
    <row r="338" spans="1:6" ht="14.25" thickBot="1">
      <c r="A338" s="1861" t="s">
        <v>2239</v>
      </c>
      <c r="B338" s="1862" t="s">
        <v>2240</v>
      </c>
      <c r="C338" s="1863">
        <v>0.15</v>
      </c>
      <c r="D338" s="1863">
        <v>0.15</v>
      </c>
      <c r="E338" s="1863">
        <v>0.15</v>
      </c>
      <c r="F338" s="1885"/>
    </row>
    <row r="339" spans="1:6" ht="14.25" thickBot="1">
      <c r="A339" s="1861" t="s">
        <v>2239</v>
      </c>
      <c r="B339" s="1865" t="s">
        <v>2241</v>
      </c>
      <c r="C339" s="1866">
        <v>0.15</v>
      </c>
      <c r="D339" s="1866">
        <v>0.15</v>
      </c>
      <c r="E339" s="1866">
        <v>0.15</v>
      </c>
      <c r="F339" s="1874"/>
    </row>
    <row r="340" spans="1:6" ht="14.25" thickBot="1">
      <c r="A340" s="1861" t="s">
        <v>2239</v>
      </c>
      <c r="B340" s="1865" t="s">
        <v>2242</v>
      </c>
      <c r="C340" s="1866">
        <v>0.15</v>
      </c>
      <c r="D340" s="1866">
        <v>0.15</v>
      </c>
      <c r="E340" s="1866">
        <v>0.15</v>
      </c>
      <c r="F340" s="1874"/>
    </row>
    <row r="341" spans="1:6" ht="14.25" thickBot="1">
      <c r="A341" s="1861" t="s">
        <v>2243</v>
      </c>
      <c r="B341" s="1865" t="s">
        <v>2244</v>
      </c>
      <c r="C341" s="1866">
        <v>0.15</v>
      </c>
      <c r="D341" s="1866">
        <v>0.15</v>
      </c>
      <c r="E341" s="1866">
        <v>0.15</v>
      </c>
      <c r="F341" s="1867">
        <v>0.15</v>
      </c>
    </row>
    <row r="342" spans="1:6" ht="14.25" thickBot="1">
      <c r="A342" s="1861" t="s">
        <v>2239</v>
      </c>
      <c r="B342" s="1865" t="s">
        <v>2245</v>
      </c>
      <c r="C342" s="1866">
        <v>0.15</v>
      </c>
      <c r="D342" s="1866">
        <v>0.15</v>
      </c>
      <c r="E342" s="1866">
        <v>0.15</v>
      </c>
      <c r="F342" s="1867">
        <v>0.15</v>
      </c>
    </row>
    <row r="343" spans="1:6" ht="14.25" thickBot="1">
      <c r="A343" s="1861" t="s">
        <v>2239</v>
      </c>
      <c r="B343" s="1865" t="s">
        <v>2246</v>
      </c>
      <c r="C343" s="1866">
        <v>0.15</v>
      </c>
      <c r="D343" s="1866">
        <v>0.15</v>
      </c>
      <c r="E343" s="1866">
        <v>0.15</v>
      </c>
      <c r="F343" s="1867">
        <v>0.15</v>
      </c>
    </row>
    <row r="344" spans="1:6" ht="14.25" thickBot="1">
      <c r="A344" s="1869" t="s">
        <v>2239</v>
      </c>
      <c r="B344" s="1876" t="s">
        <v>2247</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7" sqref="I7:L7"/>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15" t="s">
        <v>2590</v>
      </c>
      <c r="C1" s="3415"/>
      <c r="D1" s="3415"/>
      <c r="E1" s="3415"/>
      <c r="F1" s="3415"/>
      <c r="G1" s="3414" t="s">
        <v>2591</v>
      </c>
      <c r="H1" s="3414"/>
      <c r="I1" s="3414"/>
      <c r="J1" s="3414"/>
      <c r="K1" s="3414"/>
      <c r="L1" s="3414"/>
      <c r="N1" s="3414" t="s">
        <v>2592</v>
      </c>
      <c r="O1" s="3414"/>
      <c r="P1" s="3414"/>
      <c r="Q1" s="3414"/>
      <c r="R1" s="2690"/>
      <c r="S1" s="3414" t="s">
        <v>2593</v>
      </c>
      <c r="T1" s="3414"/>
      <c r="U1" s="3414"/>
      <c r="V1" s="3414"/>
      <c r="X1" s="3413" t="s">
        <v>2655</v>
      </c>
      <c r="Y1" s="3414"/>
      <c r="Z1" s="3414"/>
      <c r="AA1" s="3414"/>
      <c r="AB1" s="3414"/>
      <c r="AD1" s="3413" t="s">
        <v>2660</v>
      </c>
      <c r="AE1" s="3414"/>
      <c r="AF1" s="3414"/>
      <c r="AG1" s="3414"/>
      <c r="AH1" s="3414"/>
    </row>
    <row r="2" spans="1:34" s="2793" customFormat="1" ht="14.25" thickBot="1">
      <c r="B2" s="2803" t="s">
        <v>2594</v>
      </c>
      <c r="C2" s="2803" t="s">
        <v>2658</v>
      </c>
      <c r="D2" s="2794" t="s">
        <v>1647</v>
      </c>
      <c r="E2" s="2794" t="s">
        <v>1958</v>
      </c>
      <c r="F2" s="2803" t="s">
        <v>2659</v>
      </c>
      <c r="G2" s="2797"/>
      <c r="H2" s="2796"/>
      <c r="I2" s="2796"/>
      <c r="J2" s="2796"/>
      <c r="K2" s="2796"/>
      <c r="L2" s="2796"/>
      <c r="N2" s="2797"/>
      <c r="O2" s="2796"/>
      <c r="P2" s="2796"/>
      <c r="Q2" s="2796"/>
      <c r="R2" s="2795"/>
      <c r="S2" s="2797"/>
      <c r="T2" s="2796"/>
      <c r="U2" s="2796"/>
      <c r="V2" s="2796"/>
      <c r="X2" s="2803" t="s">
        <v>2594</v>
      </c>
      <c r="Y2" s="2803" t="s">
        <v>2658</v>
      </c>
      <c r="Z2" s="2794" t="s">
        <v>1647</v>
      </c>
      <c r="AA2" s="2794" t="s">
        <v>1958</v>
      </c>
      <c r="AB2" s="2803" t="s">
        <v>2659</v>
      </c>
      <c r="AD2" s="2803" t="s">
        <v>2594</v>
      </c>
      <c r="AE2" s="2803" t="s">
        <v>2658</v>
      </c>
      <c r="AF2" s="2794" t="s">
        <v>1647</v>
      </c>
      <c r="AG2" s="2794" t="s">
        <v>1958</v>
      </c>
      <c r="AH2" s="2803" t="s">
        <v>2659</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1.3494999999999999</v>
      </c>
      <c r="Y3" s="2791">
        <f>ROUND(SUMPRODUCT(PRODUCT(1+O3:O$18)),4)</f>
        <v>1.2154</v>
      </c>
      <c r="Z3" s="2791">
        <f t="shared" ref="Z3:Z16" si="0">Y3</f>
        <v>1.2154</v>
      </c>
      <c r="AA3" s="2791">
        <f>ROUND(SUMPRODUCT(PRODUCT(1+P3:P$18)),4)</f>
        <v>1.3962000000000001</v>
      </c>
      <c r="AB3" s="2791">
        <f>ROUND(SUMPRODUCT(PRODUCT(1+Q3:Q$18)),4)</f>
        <v>1.1890000000000001</v>
      </c>
      <c r="AD3" s="2711">
        <f>ROUND(AVERAGE(I3:I$19)/100,4)</f>
        <v>2.3900000000000001E-2</v>
      </c>
      <c r="AE3" s="2711">
        <f>ROUND(AVERAGE(J3:J$19)/100,4)</f>
        <v>1.5699999999999999E-2</v>
      </c>
      <c r="AF3" s="2711">
        <f t="shared" ref="AF3:AF17" si="1">AE3</f>
        <v>1.5699999999999999E-2</v>
      </c>
      <c r="AG3" s="2711">
        <f>ROUND(AVERAGE(K3:K$19)/100,4)</f>
        <v>2.6599999999999999E-2</v>
      </c>
      <c r="AH3" s="2711">
        <f>ROUND(AVERAGE(L3:L$19)/100,4)</f>
        <v>1.34E-2</v>
      </c>
    </row>
    <row r="4" spans="1:34" s="2689" customFormat="1">
      <c r="A4" s="2691" t="s">
        <v>2595</v>
      </c>
      <c r="B4" s="2692"/>
      <c r="C4" s="2692"/>
      <c r="D4" s="2692"/>
      <c r="E4" s="2692"/>
      <c r="F4" s="2692"/>
      <c r="G4" s="3422">
        <v>2017</v>
      </c>
      <c r="H4" s="2693">
        <v>4</v>
      </c>
      <c r="I4" s="2693"/>
      <c r="J4" s="2693"/>
      <c r="K4" s="2693"/>
      <c r="L4" s="2694"/>
      <c r="N4" s="2695"/>
      <c r="O4" s="2690"/>
      <c r="P4" s="2690"/>
      <c r="Q4" s="2690"/>
      <c r="R4" s="2690"/>
      <c r="S4" s="2695"/>
      <c r="T4" s="2690"/>
      <c r="U4" s="2690"/>
      <c r="V4" s="2690"/>
      <c r="X4" s="2791">
        <f>ROUND(SUMPRODUCT(PRODUCT(1+N4:N$18)),4)</f>
        <v>1.3494999999999999</v>
      </c>
      <c r="Y4" s="2791">
        <f>ROUND(SUMPRODUCT(PRODUCT(1+O4:O$18)),4)</f>
        <v>1.2154</v>
      </c>
      <c r="Z4" s="2791">
        <f t="shared" si="0"/>
        <v>1.2154</v>
      </c>
      <c r="AA4" s="2791">
        <f>ROUND(SUMPRODUCT(PRODUCT(1+P4:P$18)),4)</f>
        <v>1.3962000000000001</v>
      </c>
      <c r="AB4" s="2791">
        <f>ROUND(SUMPRODUCT(PRODUCT(1+Q4:Q$18)),4)</f>
        <v>1.1890000000000001</v>
      </c>
      <c r="AD4" s="2711">
        <f>ROUND(AVERAGE(I4:I$19)/100,4)</f>
        <v>2.3900000000000001E-2</v>
      </c>
      <c r="AE4" s="2711">
        <f>ROUND(AVERAGE(J4:J$19)/100,4)</f>
        <v>1.5699999999999999E-2</v>
      </c>
      <c r="AF4" s="2711">
        <f t="shared" si="1"/>
        <v>1.5699999999999999E-2</v>
      </c>
      <c r="AG4" s="2711">
        <f>ROUND(AVERAGE(K4:K$19)/100,4)</f>
        <v>2.6599999999999999E-2</v>
      </c>
      <c r="AH4" s="2711">
        <f>ROUND(AVERAGE(L4:L$19)/100,4)</f>
        <v>1.34E-2</v>
      </c>
    </row>
    <row r="5" spans="1:34" s="2689" customFormat="1">
      <c r="A5" s="2691" t="s">
        <v>2596</v>
      </c>
      <c r="B5" s="2692"/>
      <c r="C5" s="2692"/>
      <c r="D5" s="2692"/>
      <c r="E5" s="2692"/>
      <c r="F5" s="2692"/>
      <c r="G5" s="3417"/>
      <c r="H5" s="2696">
        <v>3</v>
      </c>
      <c r="I5" s="2692"/>
      <c r="J5" s="2692"/>
      <c r="K5" s="2692"/>
      <c r="L5" s="2692"/>
      <c r="N5" s="2695"/>
      <c r="O5" s="2690"/>
      <c r="P5" s="2690"/>
      <c r="Q5" s="2690"/>
      <c r="R5" s="2690"/>
      <c r="S5" s="2695"/>
      <c r="T5" s="2690"/>
      <c r="U5" s="2690"/>
      <c r="V5" s="2690"/>
      <c r="X5" s="2791">
        <f>ROUND(SUMPRODUCT(PRODUCT(1+N5:N$18)),4)</f>
        <v>1.3494999999999999</v>
      </c>
      <c r="Y5" s="2791">
        <f>ROUND(SUMPRODUCT(PRODUCT(1+O5:O$18)),4)</f>
        <v>1.2154</v>
      </c>
      <c r="Z5" s="2791">
        <f t="shared" si="0"/>
        <v>1.2154</v>
      </c>
      <c r="AA5" s="2791">
        <f>ROUND(SUMPRODUCT(PRODUCT(1+P5:P$18)),4)</f>
        <v>1.3962000000000001</v>
      </c>
      <c r="AB5" s="2791">
        <f>ROUND(SUMPRODUCT(PRODUCT(1+Q5:Q$18)),4)</f>
        <v>1.1890000000000001</v>
      </c>
      <c r="AD5" s="2711">
        <f>ROUND(AVERAGE(I5:I$19)/100,4)</f>
        <v>2.3900000000000001E-2</v>
      </c>
      <c r="AE5" s="2711">
        <f>ROUND(AVERAGE(J5:J$19)/100,4)</f>
        <v>1.5699999999999999E-2</v>
      </c>
      <c r="AF5" s="2711">
        <f t="shared" si="1"/>
        <v>1.5699999999999999E-2</v>
      </c>
      <c r="AG5" s="2711">
        <f>ROUND(AVERAGE(K5:K$19)/100,4)</f>
        <v>2.6599999999999999E-2</v>
      </c>
      <c r="AH5" s="2711">
        <f>ROUND(AVERAGE(L5:L$19)/100,4)</f>
        <v>1.34E-2</v>
      </c>
    </row>
    <row r="6" spans="1:34" s="2689" customFormat="1">
      <c r="A6" s="2691" t="s">
        <v>2597</v>
      </c>
      <c r="B6" s="2834">
        <f>B7*(1+N6)</f>
        <v>415.21602360000003</v>
      </c>
      <c r="C6" s="2834">
        <f>C7*(1+O6)</f>
        <v>312.63083488000001</v>
      </c>
      <c r="D6" s="2834">
        <f>C6</f>
        <v>312.63083488000001</v>
      </c>
      <c r="E6" s="2834">
        <f>E7*(1+P6)</f>
        <v>589.96402416000001</v>
      </c>
      <c r="F6" s="2834">
        <f>F7*(1+Q6)</f>
        <v>273.82351752000005</v>
      </c>
      <c r="G6" s="3417"/>
      <c r="H6" s="2697">
        <v>2</v>
      </c>
      <c r="I6" s="2798">
        <f>ROUND(AVERAGE(I7:I19),2)</f>
        <v>2.39</v>
      </c>
      <c r="J6" s="2798">
        <f t="shared" ref="J6:L6" si="2">ROUND(AVERAGE(J7:J19),2)</f>
        <v>1.57</v>
      </c>
      <c r="K6" s="2798">
        <f t="shared" si="2"/>
        <v>2.66</v>
      </c>
      <c r="L6" s="2798">
        <f t="shared" si="2"/>
        <v>1.34</v>
      </c>
      <c r="N6" s="2800">
        <f>I6/100</f>
        <v>2.3900000000000001E-2</v>
      </c>
      <c r="O6" s="2800">
        <f t="shared" ref="O6" si="3">J6/100</f>
        <v>1.5700000000000002E-2</v>
      </c>
      <c r="P6" s="2800">
        <f t="shared" ref="P6" si="4">K6/100</f>
        <v>2.6600000000000002E-2</v>
      </c>
      <c r="Q6" s="2800">
        <f t="shared" ref="Q6" si="5">L6/100</f>
        <v>1.34E-2</v>
      </c>
      <c r="R6" s="2690"/>
      <c r="S6" s="2695"/>
      <c r="T6" s="2690"/>
      <c r="U6" s="2690"/>
      <c r="V6" s="2690"/>
      <c r="W6" s="2801" t="s">
        <v>2656</v>
      </c>
      <c r="X6" s="2791">
        <f>ROUND(SUMPRODUCT(PRODUCT(1+N6:N$18)),4)</f>
        <v>1.3494999999999999</v>
      </c>
      <c r="Y6" s="2791">
        <f>ROUND(SUMPRODUCT(PRODUCT(1+O6:O$18)),4)</f>
        <v>1.2154</v>
      </c>
      <c r="Z6" s="2791">
        <f t="shared" si="0"/>
        <v>1.2154</v>
      </c>
      <c r="AA6" s="2791">
        <f>ROUND(SUMPRODUCT(PRODUCT(1+P6:P$18)),4)</f>
        <v>1.3962000000000001</v>
      </c>
      <c r="AB6" s="2791">
        <f>ROUND(SUMPRODUCT(PRODUCT(1+Q6:Q$18)),4)</f>
        <v>1.1890000000000001</v>
      </c>
      <c r="AD6" s="2711">
        <f>ROUND(AVERAGE(I6:I$19)/100,4)</f>
        <v>2.3900000000000001E-2</v>
      </c>
      <c r="AE6" s="2711">
        <f>ROUND(AVERAGE(J6:J$19)/100,4)</f>
        <v>1.5699999999999999E-2</v>
      </c>
      <c r="AF6" s="2711">
        <f t="shared" si="1"/>
        <v>1.5699999999999999E-2</v>
      </c>
      <c r="AG6" s="2711">
        <f>ROUND(AVERAGE(K6:K$19)/100,4)</f>
        <v>2.6599999999999999E-2</v>
      </c>
      <c r="AH6" s="2711">
        <f>ROUND(AVERAGE(L6:L$19)/100,4)</f>
        <v>1.34E-2</v>
      </c>
    </row>
    <row r="7" spans="1:34" s="2799" customFormat="1" ht="13.5" thickBot="1">
      <c r="A7" s="2691" t="s">
        <v>2598</v>
      </c>
      <c r="B7" s="2706">
        <f>B8*(1+N7)</f>
        <v>405.524</v>
      </c>
      <c r="C7" s="2706">
        <f>C8*(1+O7)</f>
        <v>307.79840000000002</v>
      </c>
      <c r="D7" s="2706">
        <f>C7</f>
        <v>307.79840000000002</v>
      </c>
      <c r="E7" s="2706">
        <f>E8*(1+P7)</f>
        <v>574.67759999999998</v>
      </c>
      <c r="F7" s="2706">
        <f>F8*(1+Q7)</f>
        <v>270.20280000000002</v>
      </c>
      <c r="G7" s="3418"/>
      <c r="H7" s="2696">
        <v>1</v>
      </c>
      <c r="I7" s="2696">
        <v>3.45</v>
      </c>
      <c r="J7" s="2696">
        <v>1.92</v>
      </c>
      <c r="K7" s="2696">
        <v>3.92</v>
      </c>
      <c r="L7" s="2707">
        <v>1.58</v>
      </c>
      <c r="M7" s="2700"/>
      <c r="N7" s="2701">
        <f>I7/100</f>
        <v>3.4500000000000003E-2</v>
      </c>
      <c r="O7" s="2702">
        <f t="shared" ref="O7" si="6">J7/100</f>
        <v>1.9199999999999998E-2</v>
      </c>
      <c r="P7" s="2702">
        <f t="shared" ref="P7" si="7">K7/100</f>
        <v>3.9199999999999999E-2</v>
      </c>
      <c r="Q7" s="2702">
        <f t="shared" ref="Q7" si="8">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973</v>
      </c>
      <c r="B8" s="2698">
        <v>392</v>
      </c>
      <c r="C8" s="2698">
        <v>302</v>
      </c>
      <c r="D8" s="2698">
        <f>C8</f>
        <v>302</v>
      </c>
      <c r="E8" s="2698">
        <v>553</v>
      </c>
      <c r="F8" s="2699">
        <v>266</v>
      </c>
      <c r="G8" s="3422">
        <v>2016</v>
      </c>
      <c r="H8" s="2693">
        <v>4</v>
      </c>
      <c r="I8" s="2693">
        <v>4.5599999999999996</v>
      </c>
      <c r="J8" s="2693">
        <v>2.15</v>
      </c>
      <c r="K8" s="2693">
        <v>5.32</v>
      </c>
      <c r="L8" s="2694">
        <v>1.57</v>
      </c>
      <c r="N8" s="2701">
        <f>I8/100</f>
        <v>4.5599999999999995E-2</v>
      </c>
      <c r="O8" s="2702">
        <f t="shared" ref="O8:Q23" si="9">J8/100</f>
        <v>2.1499999999999998E-2</v>
      </c>
      <c r="P8" s="2702">
        <f t="shared" si="9"/>
        <v>5.3200000000000004E-2</v>
      </c>
      <c r="Q8" s="2702">
        <f t="shared" si="9"/>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972</v>
      </c>
      <c r="B9" s="2706">
        <f t="shared" ref="B9:C11" si="10">B8/(1+N8)</f>
        <v>374.90436113236416</v>
      </c>
      <c r="C9" s="2706">
        <f t="shared" si="10"/>
        <v>295.64366128242779</v>
      </c>
      <c r="D9" s="2706">
        <f t="shared" ref="D9:D68" si="11">C9</f>
        <v>295.64366128242779</v>
      </c>
      <c r="E9" s="2706">
        <f t="shared" ref="E9:F11" si="12">E8/(1+P8)</f>
        <v>525.06646410938095</v>
      </c>
      <c r="F9" s="2706">
        <f t="shared" si="12"/>
        <v>261.88835286009646</v>
      </c>
      <c r="G9" s="3417"/>
      <c r="H9" s="2696">
        <v>3</v>
      </c>
      <c r="I9" s="2696">
        <v>4.12</v>
      </c>
      <c r="J9" s="2696">
        <v>2</v>
      </c>
      <c r="K9" s="2696">
        <v>4.79</v>
      </c>
      <c r="L9" s="2707">
        <v>1.97</v>
      </c>
      <c r="N9" s="2701">
        <f t="shared" ref="N9:Q43" si="13">I9/100</f>
        <v>4.1200000000000001E-2</v>
      </c>
      <c r="O9" s="2702">
        <f t="shared" si="9"/>
        <v>0.02</v>
      </c>
      <c r="P9" s="2702">
        <f t="shared" si="9"/>
        <v>4.7899999999999998E-2</v>
      </c>
      <c r="Q9" s="2702">
        <f t="shared" si="9"/>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962</v>
      </c>
      <c r="B10" s="2706">
        <f t="shared" si="10"/>
        <v>360.06949782209392</v>
      </c>
      <c r="C10" s="2706">
        <f t="shared" si="10"/>
        <v>289.84672674747821</v>
      </c>
      <c r="D10" s="2706">
        <f t="shared" si="11"/>
        <v>289.84672674747821</v>
      </c>
      <c r="E10" s="2706">
        <f t="shared" si="12"/>
        <v>501.06543001181495</v>
      </c>
      <c r="F10" s="2706">
        <f t="shared" si="12"/>
        <v>256.82882500744967</v>
      </c>
      <c r="G10" s="3417"/>
      <c r="H10" s="2697">
        <v>2</v>
      </c>
      <c r="I10" s="2697">
        <v>3.85</v>
      </c>
      <c r="J10" s="2697">
        <v>1.95</v>
      </c>
      <c r="K10" s="2697">
        <v>4.4800000000000004</v>
      </c>
      <c r="L10" s="2708">
        <v>1.41</v>
      </c>
      <c r="N10" s="2701">
        <f t="shared" si="13"/>
        <v>3.85E-2</v>
      </c>
      <c r="O10" s="2702">
        <f t="shared" si="9"/>
        <v>1.95E-2</v>
      </c>
      <c r="P10" s="2702">
        <f t="shared" si="9"/>
        <v>4.4800000000000006E-2</v>
      </c>
      <c r="Q10" s="2702">
        <f t="shared" si="9"/>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971</v>
      </c>
      <c r="B11" s="2706">
        <f t="shared" si="10"/>
        <v>346.720748986128</v>
      </c>
      <c r="C11" s="2706">
        <f t="shared" si="10"/>
        <v>284.30282172386285</v>
      </c>
      <c r="D11" s="2706">
        <f t="shared" si="11"/>
        <v>284.30282172386285</v>
      </c>
      <c r="E11" s="2706">
        <f t="shared" si="12"/>
        <v>479.58023546306947</v>
      </c>
      <c r="F11" s="2706">
        <f t="shared" si="12"/>
        <v>253.25788877571213</v>
      </c>
      <c r="G11" s="3418"/>
      <c r="H11" s="2696">
        <v>1</v>
      </c>
      <c r="I11" s="2696">
        <v>4.09</v>
      </c>
      <c r="J11" s="2696">
        <v>2.93</v>
      </c>
      <c r="K11" s="2696">
        <v>4.54</v>
      </c>
      <c r="L11" s="2707">
        <v>1.48</v>
      </c>
      <c r="N11" s="2701">
        <f t="shared" si="13"/>
        <v>4.0899999999999999E-2</v>
      </c>
      <c r="O11" s="2702">
        <f t="shared" si="9"/>
        <v>2.9300000000000003E-2</v>
      </c>
      <c r="P11" s="2702">
        <f t="shared" si="9"/>
        <v>4.5400000000000003E-2</v>
      </c>
      <c r="Q11" s="2702">
        <f t="shared" si="9"/>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970</v>
      </c>
      <c r="B12" s="2698">
        <v>333</v>
      </c>
      <c r="C12" s="2698">
        <v>277</v>
      </c>
      <c r="D12" s="2698">
        <f t="shared" si="11"/>
        <v>277</v>
      </c>
      <c r="E12" s="2698">
        <v>459</v>
      </c>
      <c r="F12" s="2699">
        <v>249</v>
      </c>
      <c r="G12" s="3416">
        <v>2015</v>
      </c>
      <c r="H12" s="2712">
        <v>4</v>
      </c>
      <c r="I12" s="2712">
        <v>1.63</v>
      </c>
      <c r="J12" s="2712">
        <v>1.1100000000000001</v>
      </c>
      <c r="K12" s="2712">
        <v>1.77</v>
      </c>
      <c r="L12" s="2713">
        <v>1.89</v>
      </c>
      <c r="N12" s="2714">
        <f t="shared" si="13"/>
        <v>1.6299999999999999E-2</v>
      </c>
      <c r="O12" s="2715">
        <f t="shared" si="9"/>
        <v>1.11E-2</v>
      </c>
      <c r="P12" s="2715">
        <f t="shared" si="9"/>
        <v>1.77E-2</v>
      </c>
      <c r="Q12" s="2715">
        <f t="shared" si="9"/>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969</v>
      </c>
      <c r="B13" s="2706">
        <f t="shared" ref="B13:C15" si="14">B12/(1+N12)</f>
        <v>327.65915576109415</v>
      </c>
      <c r="C13" s="2706">
        <f t="shared" si="14"/>
        <v>273.95905449510434</v>
      </c>
      <c r="D13" s="2706">
        <f t="shared" si="11"/>
        <v>273.95905449510434</v>
      </c>
      <c r="E13" s="2706">
        <f t="shared" ref="E13:F15" si="15">E12/(1+P12)</f>
        <v>451.01699911565294</v>
      </c>
      <c r="F13" s="2706">
        <f t="shared" si="15"/>
        <v>244.38119540681129</v>
      </c>
      <c r="G13" s="3417"/>
      <c r="H13" s="2717">
        <v>3</v>
      </c>
      <c r="I13" s="2717">
        <v>1.65</v>
      </c>
      <c r="J13" s="2717">
        <v>0.92</v>
      </c>
      <c r="K13" s="2717">
        <v>1.88</v>
      </c>
      <c r="L13" s="2718">
        <v>1.26</v>
      </c>
      <c r="N13" s="2701">
        <f t="shared" si="13"/>
        <v>1.6500000000000001E-2</v>
      </c>
      <c r="O13" s="2719">
        <f t="shared" si="9"/>
        <v>9.1999999999999998E-3</v>
      </c>
      <c r="P13" s="2719">
        <f t="shared" si="9"/>
        <v>1.8799999999999997E-2</v>
      </c>
      <c r="Q13" s="2719">
        <f t="shared" si="9"/>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968</v>
      </c>
      <c r="B14" s="2706">
        <f t="shared" si="14"/>
        <v>322.34053690220776</v>
      </c>
      <c r="C14" s="2706">
        <f t="shared" si="14"/>
        <v>271.46160770422546</v>
      </c>
      <c r="D14" s="2706">
        <f t="shared" si="11"/>
        <v>271.46160770422546</v>
      </c>
      <c r="E14" s="2706">
        <f t="shared" si="15"/>
        <v>442.69434542172456</v>
      </c>
      <c r="F14" s="2706">
        <f t="shared" si="15"/>
        <v>241.34030753190925</v>
      </c>
      <c r="G14" s="3417"/>
      <c r="H14" s="2697">
        <v>2</v>
      </c>
      <c r="I14" s="2697">
        <v>0.77</v>
      </c>
      <c r="J14" s="2697">
        <v>0.69</v>
      </c>
      <c r="K14" s="2697">
        <v>0.8</v>
      </c>
      <c r="L14" s="2708">
        <v>0.88</v>
      </c>
      <c r="N14" s="2701">
        <f t="shared" si="13"/>
        <v>7.7000000000000002E-3</v>
      </c>
      <c r="O14" s="2719">
        <f t="shared" si="9"/>
        <v>6.8999999999999999E-3</v>
      </c>
      <c r="P14" s="2719">
        <f t="shared" si="9"/>
        <v>8.0000000000000002E-3</v>
      </c>
      <c r="Q14" s="2719">
        <f t="shared" si="9"/>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967</v>
      </c>
      <c r="B15" s="2706">
        <f t="shared" si="14"/>
        <v>319.87748030386797</v>
      </c>
      <c r="C15" s="2706">
        <f t="shared" si="14"/>
        <v>269.60135833173649</v>
      </c>
      <c r="D15" s="2706">
        <f t="shared" si="11"/>
        <v>269.60135833173649</v>
      </c>
      <c r="E15" s="2706">
        <f t="shared" si="15"/>
        <v>439.18089823583784</v>
      </c>
      <c r="F15" s="2706">
        <f t="shared" si="15"/>
        <v>239.23503918706311</v>
      </c>
      <c r="G15" s="3418"/>
      <c r="H15" s="2696">
        <v>1</v>
      </c>
      <c r="I15" s="2696">
        <v>0.51</v>
      </c>
      <c r="J15" s="2696">
        <v>0.54</v>
      </c>
      <c r="K15" s="2696">
        <v>0.48</v>
      </c>
      <c r="L15" s="2707">
        <v>0.93</v>
      </c>
      <c r="N15" s="2709">
        <f t="shared" si="13"/>
        <v>5.1000000000000004E-3</v>
      </c>
      <c r="O15" s="2710">
        <f t="shared" si="9"/>
        <v>5.4000000000000003E-3</v>
      </c>
      <c r="P15" s="2710">
        <f t="shared" si="9"/>
        <v>4.7999999999999996E-3</v>
      </c>
      <c r="Q15" s="2710">
        <f t="shared" si="9"/>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966</v>
      </c>
      <c r="B16" s="2720">
        <v>318</v>
      </c>
      <c r="C16" s="2720">
        <v>268</v>
      </c>
      <c r="D16" s="2720">
        <f t="shared" si="11"/>
        <v>268</v>
      </c>
      <c r="E16" s="2720">
        <v>437</v>
      </c>
      <c r="F16" s="2721">
        <v>237</v>
      </c>
      <c r="G16" s="3416">
        <v>2014</v>
      </c>
      <c r="H16" s="2712">
        <v>4</v>
      </c>
      <c r="I16" s="2712">
        <v>0.21</v>
      </c>
      <c r="J16" s="2712">
        <v>0.41</v>
      </c>
      <c r="K16" s="2712">
        <v>0.12</v>
      </c>
      <c r="L16" s="2713">
        <v>0.89</v>
      </c>
      <c r="N16" s="2701">
        <f t="shared" si="13"/>
        <v>2.0999999999999999E-3</v>
      </c>
      <c r="O16" s="2702">
        <f t="shared" si="9"/>
        <v>4.0999999999999995E-3</v>
      </c>
      <c r="P16" s="2702">
        <f t="shared" si="9"/>
        <v>1.1999999999999999E-3</v>
      </c>
      <c r="Q16" s="2702">
        <f t="shared" si="9"/>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965</v>
      </c>
      <c r="B17" s="2706">
        <f t="shared" ref="B17:C19" si="16">B16/(1+N16)</f>
        <v>317.33359944117353</v>
      </c>
      <c r="C17" s="2706">
        <f t="shared" si="16"/>
        <v>266.90568668459315</v>
      </c>
      <c r="D17" s="2706">
        <f t="shared" si="11"/>
        <v>266.90568668459315</v>
      </c>
      <c r="E17" s="2706">
        <f t="shared" ref="E17:F19" si="17">E16/(1+P16)</f>
        <v>436.47622852576905</v>
      </c>
      <c r="F17" s="2706">
        <f t="shared" si="17"/>
        <v>234.90930716622066</v>
      </c>
      <c r="G17" s="3417"/>
      <c r="H17" s="2722">
        <v>3</v>
      </c>
      <c r="I17" s="2722">
        <v>0.83</v>
      </c>
      <c r="J17" s="2722">
        <v>1.47</v>
      </c>
      <c r="K17" s="2722">
        <v>0.65</v>
      </c>
      <c r="L17" s="2723">
        <v>0.72</v>
      </c>
      <c r="N17" s="2701">
        <f t="shared" si="13"/>
        <v>8.3000000000000001E-3</v>
      </c>
      <c r="O17" s="2702">
        <f t="shared" si="9"/>
        <v>1.47E-2</v>
      </c>
      <c r="P17" s="2702">
        <f t="shared" si="9"/>
        <v>6.5000000000000006E-3</v>
      </c>
      <c r="Q17" s="2702">
        <f t="shared" si="9"/>
        <v>7.1999999999999998E-3</v>
      </c>
      <c r="R17" s="2703"/>
      <c r="S17" s="2701"/>
      <c r="T17" s="2702"/>
      <c r="U17" s="2702"/>
      <c r="V17" s="2702"/>
      <c r="X17" s="2791">
        <f>ROUND(SUMPRODUCT(PRODUCT(1+N17:N$18)),4)</f>
        <v>1.0325</v>
      </c>
      <c r="Y17" s="2791">
        <f>ROUND(SUMPRODUCT(PRODUCT(1+O17:O$18)),4)</f>
        <v>1.0353000000000001</v>
      </c>
      <c r="Z17" s="2791">
        <f t="shared" ref="Z17:Z18" si="18">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964</v>
      </c>
      <c r="B18" s="2706">
        <f t="shared" si="16"/>
        <v>314.72141172386546</v>
      </c>
      <c r="C18" s="2706">
        <f t="shared" si="16"/>
        <v>263.03901319069001</v>
      </c>
      <c r="D18" s="2706">
        <f t="shared" si="11"/>
        <v>263.03901319069001</v>
      </c>
      <c r="E18" s="2706">
        <f t="shared" si="17"/>
        <v>433.65745506782821</v>
      </c>
      <c r="F18" s="2706">
        <f t="shared" si="17"/>
        <v>233.23005080045735</v>
      </c>
      <c r="G18" s="3417"/>
      <c r="H18" s="2712">
        <v>2</v>
      </c>
      <c r="I18" s="2712">
        <v>2.4</v>
      </c>
      <c r="J18" s="2712">
        <v>2.0299999999999998</v>
      </c>
      <c r="K18" s="2712">
        <v>2.59</v>
      </c>
      <c r="L18" s="2713">
        <v>1.52</v>
      </c>
      <c r="N18" s="2701">
        <f t="shared" si="13"/>
        <v>2.4E-2</v>
      </c>
      <c r="O18" s="2702">
        <f t="shared" si="9"/>
        <v>2.0299999999999999E-2</v>
      </c>
      <c r="P18" s="2702">
        <f t="shared" si="9"/>
        <v>2.5899999999999999E-2</v>
      </c>
      <c r="Q18" s="2702">
        <f t="shared" si="9"/>
        <v>1.52E-2</v>
      </c>
      <c r="R18" s="2703"/>
      <c r="S18" s="2701"/>
      <c r="T18" s="2702"/>
      <c r="U18" s="2702"/>
      <c r="V18" s="2702"/>
      <c r="X18" s="2791">
        <f>1+N18</f>
        <v>1.024</v>
      </c>
      <c r="Y18" s="2791">
        <f>1+O18</f>
        <v>1.0203</v>
      </c>
      <c r="Z18" s="2791">
        <f t="shared" si="18"/>
        <v>1.0203</v>
      </c>
      <c r="AA18" s="2791">
        <f>1+P18</f>
        <v>1.0259</v>
      </c>
      <c r="AB18" s="2791">
        <f>1+Q18</f>
        <v>1.0152000000000001</v>
      </c>
      <c r="AD18" s="2711">
        <f>ROUND(AVERAGE(I18:I$19)/100,4)</f>
        <v>2.69E-2</v>
      </c>
      <c r="AE18" s="2711">
        <f>ROUND(AVERAGE(J18:J$19)/100,4)</f>
        <v>2.1899999999999999E-2</v>
      </c>
      <c r="AF18" s="2711">
        <f t="shared" ref="AF18" si="19">AE18</f>
        <v>2.1899999999999999E-2</v>
      </c>
      <c r="AG18" s="2711">
        <f>ROUND(AVERAGE(K18:K$19)/100,4)</f>
        <v>2.9399999999999999E-2</v>
      </c>
      <c r="AH18" s="2711">
        <f>ROUND(AVERAGE(L18:L$19)/100,4)</f>
        <v>1.44E-2</v>
      </c>
    </row>
    <row r="19" spans="1:34" s="2728" customFormat="1" ht="13.5" thickBot="1">
      <c r="A19" s="2724" t="s">
        <v>963</v>
      </c>
      <c r="B19" s="2725">
        <f t="shared" si="16"/>
        <v>307.34512863658733</v>
      </c>
      <c r="C19" s="2725">
        <f t="shared" si="16"/>
        <v>257.80556031626975</v>
      </c>
      <c r="D19" s="2725">
        <f t="shared" si="11"/>
        <v>257.80556031626975</v>
      </c>
      <c r="E19" s="2725">
        <f t="shared" si="17"/>
        <v>422.70928459677179</v>
      </c>
      <c r="F19" s="2725">
        <f t="shared" si="17"/>
        <v>229.73803270336617</v>
      </c>
      <c r="G19" s="3418"/>
      <c r="H19" s="2726">
        <v>1</v>
      </c>
      <c r="I19" s="2726">
        <v>2.97</v>
      </c>
      <c r="J19" s="2726">
        <v>2.34</v>
      </c>
      <c r="K19" s="2726">
        <v>3.28</v>
      </c>
      <c r="L19" s="2727">
        <v>1.36</v>
      </c>
      <c r="N19" s="2729">
        <f t="shared" si="13"/>
        <v>2.9700000000000001E-2</v>
      </c>
      <c r="O19" s="2730">
        <f t="shared" si="9"/>
        <v>2.3399999999999997E-2</v>
      </c>
      <c r="P19" s="2730">
        <f t="shared" si="9"/>
        <v>3.2799999999999996E-2</v>
      </c>
      <c r="Q19" s="2730">
        <f t="shared" si="9"/>
        <v>1.3600000000000001E-2</v>
      </c>
      <c r="R19" s="2731"/>
      <c r="S19" s="2732">
        <f>B19/B20-1</f>
        <v>2.7910129219355539E-2</v>
      </c>
      <c r="T19" s="2733">
        <f>C19/C20-1</f>
        <v>2.3037937762975247E-2</v>
      </c>
      <c r="U19" s="2733">
        <f>E19/E20-1</f>
        <v>3.3519033243940788E-2</v>
      </c>
      <c r="V19" s="2733">
        <f>F19/F20-1</f>
        <v>1.2061818076502862E-2</v>
      </c>
      <c r="W19" s="2802" t="s">
        <v>2657</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2599</v>
      </c>
      <c r="B20" s="2698">
        <v>299</v>
      </c>
      <c r="C20" s="2698">
        <v>252</v>
      </c>
      <c r="D20" s="2698">
        <f t="shared" si="11"/>
        <v>252</v>
      </c>
      <c r="E20" s="2698">
        <v>409</v>
      </c>
      <c r="F20" s="2699">
        <v>227</v>
      </c>
      <c r="G20" s="3419">
        <v>2013</v>
      </c>
      <c r="H20" s="2734">
        <v>4</v>
      </c>
      <c r="I20" s="2734">
        <v>1.83</v>
      </c>
      <c r="J20" s="2734">
        <v>1.68</v>
      </c>
      <c r="K20" s="2734">
        <v>1.97</v>
      </c>
      <c r="L20" s="2735">
        <v>0.87</v>
      </c>
      <c r="N20" s="2714">
        <f t="shared" si="13"/>
        <v>1.83E-2</v>
      </c>
      <c r="O20" s="2715">
        <f t="shared" si="9"/>
        <v>1.6799999999999999E-2</v>
      </c>
      <c r="P20" s="2715">
        <f t="shared" si="9"/>
        <v>1.9699999999999999E-2</v>
      </c>
      <c r="Q20" s="2715">
        <f t="shared" si="9"/>
        <v>8.6999999999999994E-3</v>
      </c>
      <c r="R20" s="2703"/>
      <c r="S20" s="2704"/>
      <c r="T20" s="2705"/>
      <c r="U20" s="2705"/>
      <c r="V20" s="2705"/>
      <c r="X20" s="2705"/>
      <c r="Y20" s="2705"/>
      <c r="Z20" s="2705"/>
    </row>
    <row r="21" spans="1:34">
      <c r="A21" s="2691" t="s">
        <v>2600</v>
      </c>
      <c r="B21" s="2706">
        <f t="shared" ref="B21:C23" si="20">B20/(1+N20)</f>
        <v>293.62663262299913</v>
      </c>
      <c r="C21" s="2706">
        <f t="shared" si="20"/>
        <v>247.83634933123525</v>
      </c>
      <c r="D21" s="2706">
        <f t="shared" si="11"/>
        <v>247.83634933123525</v>
      </c>
      <c r="E21" s="2706">
        <f t="shared" ref="E21:F23" si="21">E20/(1+P20)</f>
        <v>401.09836226341076</v>
      </c>
      <c r="F21" s="2706">
        <f t="shared" si="21"/>
        <v>225.04213343908003</v>
      </c>
      <c r="G21" s="3420"/>
      <c r="H21" s="2717">
        <v>3</v>
      </c>
      <c r="I21" s="2717">
        <v>1.86</v>
      </c>
      <c r="J21" s="2717">
        <v>1.72</v>
      </c>
      <c r="K21" s="2717">
        <v>1.98</v>
      </c>
      <c r="L21" s="2718">
        <v>0.88</v>
      </c>
      <c r="N21" s="2701">
        <f t="shared" si="13"/>
        <v>1.8600000000000002E-2</v>
      </c>
      <c r="O21" s="2719">
        <f t="shared" si="9"/>
        <v>1.72E-2</v>
      </c>
      <c r="P21" s="2719">
        <f t="shared" si="9"/>
        <v>1.9799999999999998E-2</v>
      </c>
      <c r="Q21" s="2719">
        <f t="shared" si="9"/>
        <v>8.8000000000000005E-3</v>
      </c>
      <c r="R21" s="2703"/>
      <c r="S21" s="2701"/>
      <c r="T21" s="2702"/>
      <c r="U21" s="2702"/>
      <c r="V21" s="2702"/>
    </row>
    <row r="22" spans="1:34">
      <c r="A22" s="2691" t="s">
        <v>2601</v>
      </c>
      <c r="B22" s="2706">
        <f t="shared" si="20"/>
        <v>288.2649053828776</v>
      </c>
      <c r="C22" s="2706">
        <f t="shared" si="20"/>
        <v>243.64564425013293</v>
      </c>
      <c r="D22" s="2706">
        <f t="shared" si="11"/>
        <v>243.64564425013293</v>
      </c>
      <c r="E22" s="2706">
        <f t="shared" si="21"/>
        <v>393.31080825986544</v>
      </c>
      <c r="F22" s="2706">
        <f t="shared" si="21"/>
        <v>223.07903790551154</v>
      </c>
      <c r="G22" s="3420"/>
      <c r="H22" s="2697">
        <v>2</v>
      </c>
      <c r="I22" s="2697">
        <v>2.04</v>
      </c>
      <c r="J22" s="2697">
        <v>2.33</v>
      </c>
      <c r="K22" s="2697">
        <v>2.0699999999999998</v>
      </c>
      <c r="L22" s="2708">
        <v>0.69</v>
      </c>
      <c r="N22" s="2701">
        <f t="shared" si="13"/>
        <v>2.0400000000000001E-2</v>
      </c>
      <c r="O22" s="2719">
        <f t="shared" si="9"/>
        <v>2.3300000000000001E-2</v>
      </c>
      <c r="P22" s="2719">
        <f t="shared" si="9"/>
        <v>2.07E-2</v>
      </c>
      <c r="Q22" s="2719">
        <f t="shared" si="9"/>
        <v>6.8999999999999999E-3</v>
      </c>
      <c r="R22" s="2703"/>
      <c r="S22" s="2701"/>
      <c r="T22" s="2702"/>
      <c r="U22" s="2702"/>
      <c r="V22" s="2702"/>
      <c r="X22" s="2805"/>
      <c r="Y22" s="2807"/>
    </row>
    <row r="23" spans="1:34">
      <c r="A23" s="2691" t="s">
        <v>2602</v>
      </c>
      <c r="B23" s="2706">
        <f t="shared" si="20"/>
        <v>282.50186729015837</v>
      </c>
      <c r="C23" s="2706">
        <f t="shared" si="20"/>
        <v>238.09796174155468</v>
      </c>
      <c r="D23" s="2706">
        <f t="shared" si="11"/>
        <v>238.09796174155468</v>
      </c>
      <c r="E23" s="2706">
        <f t="shared" si="21"/>
        <v>385.33438646014054</v>
      </c>
      <c r="F23" s="2706">
        <f t="shared" si="21"/>
        <v>221.55034055567739</v>
      </c>
      <c r="G23" s="3421"/>
      <c r="H23" s="2696">
        <v>1</v>
      </c>
      <c r="I23" s="2696">
        <v>1.67</v>
      </c>
      <c r="J23" s="2696">
        <v>1.31</v>
      </c>
      <c r="K23" s="2696">
        <v>1.85</v>
      </c>
      <c r="L23" s="2707">
        <v>0.96</v>
      </c>
      <c r="N23" s="2709">
        <f t="shared" si="13"/>
        <v>1.67E-2</v>
      </c>
      <c r="O23" s="2710">
        <f t="shared" si="9"/>
        <v>1.3100000000000001E-2</v>
      </c>
      <c r="P23" s="2710">
        <f t="shared" si="9"/>
        <v>1.8500000000000003E-2</v>
      </c>
      <c r="Q23" s="2710">
        <f t="shared" si="9"/>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2603</v>
      </c>
      <c r="B24" s="2736">
        <v>278</v>
      </c>
      <c r="C24" s="2736">
        <v>234</v>
      </c>
      <c r="D24" s="2736">
        <f t="shared" si="11"/>
        <v>234</v>
      </c>
      <c r="E24" s="2736">
        <v>379</v>
      </c>
      <c r="F24" s="2737">
        <v>220</v>
      </c>
      <c r="G24" s="3416">
        <v>2012</v>
      </c>
      <c r="H24" s="2712">
        <v>4</v>
      </c>
      <c r="I24" s="2712">
        <v>0.91</v>
      </c>
      <c r="J24" s="2712">
        <v>0.68</v>
      </c>
      <c r="K24" s="2712">
        <v>0.98</v>
      </c>
      <c r="L24" s="2713">
        <v>0.9</v>
      </c>
      <c r="N24" s="2701">
        <f t="shared" si="13"/>
        <v>9.1000000000000004E-3</v>
      </c>
      <c r="O24" s="2702">
        <f t="shared" si="13"/>
        <v>6.8000000000000005E-3</v>
      </c>
      <c r="P24" s="2702">
        <f t="shared" si="13"/>
        <v>9.7999999999999997E-3</v>
      </c>
      <c r="Q24" s="2702">
        <f t="shared" si="13"/>
        <v>9.0000000000000011E-3</v>
      </c>
      <c r="R24" s="2703"/>
      <c r="S24" s="2704"/>
      <c r="T24" s="2705"/>
      <c r="U24" s="2705"/>
      <c r="V24" s="2705"/>
      <c r="X24" s="2705"/>
      <c r="Y24" s="2705"/>
      <c r="Z24" s="2705"/>
    </row>
    <row r="25" spans="1:34">
      <c r="A25" s="2691" t="s">
        <v>2604</v>
      </c>
      <c r="B25" s="2706">
        <f>B24/(1+N24)</f>
        <v>275.49301357645425</v>
      </c>
      <c r="C25" s="2706">
        <f>C24/(1+O24)</f>
        <v>232.41954707985698</v>
      </c>
      <c r="D25" s="2706">
        <f t="shared" si="11"/>
        <v>232.41954707985698</v>
      </c>
      <c r="E25" s="2706">
        <f t="shared" ref="E25:F27" si="22">E24/(1+P24)</f>
        <v>375.32184591008121</v>
      </c>
      <c r="F25" s="2706">
        <f t="shared" si="22"/>
        <v>218.03766105054513</v>
      </c>
      <c r="G25" s="3417"/>
      <c r="H25" s="2717">
        <v>3</v>
      </c>
      <c r="I25" s="2717">
        <v>0.09</v>
      </c>
      <c r="J25" s="2717">
        <v>0.28999999999999998</v>
      </c>
      <c r="K25" s="2717">
        <v>-0.01</v>
      </c>
      <c r="L25" s="2718">
        <v>0.57999999999999996</v>
      </c>
      <c r="N25" s="2701">
        <f t="shared" si="13"/>
        <v>8.9999999999999998E-4</v>
      </c>
      <c r="O25" s="2702">
        <f t="shared" si="13"/>
        <v>2.8999999999999998E-3</v>
      </c>
      <c r="P25" s="2702">
        <f t="shared" si="13"/>
        <v>-1E-4</v>
      </c>
      <c r="Q25" s="2702">
        <f t="shared" si="13"/>
        <v>5.7999999999999996E-3</v>
      </c>
      <c r="R25" s="2703"/>
      <c r="S25" s="2701"/>
      <c r="T25" s="2702"/>
      <c r="U25" s="2702"/>
      <c r="V25" s="2702"/>
    </row>
    <row r="26" spans="1:34">
      <c r="A26" s="2691" t="s">
        <v>2605</v>
      </c>
      <c r="B26" s="2706">
        <f>B25/(1+N25)</f>
        <v>275.24529281292263</v>
      </c>
      <c r="C26" s="2706">
        <f>C25/(1+O25)</f>
        <v>231.74747938962707</v>
      </c>
      <c r="D26" s="2706">
        <f t="shared" si="11"/>
        <v>231.74747938962707</v>
      </c>
      <c r="E26" s="2706">
        <f t="shared" si="22"/>
        <v>375.35938184826603</v>
      </c>
      <c r="F26" s="2706">
        <f t="shared" si="22"/>
        <v>216.78033510692495</v>
      </c>
      <c r="G26" s="3417"/>
      <c r="H26" s="2697">
        <v>2</v>
      </c>
      <c r="I26" s="2697">
        <v>0.02</v>
      </c>
      <c r="J26" s="2697">
        <v>0.12</v>
      </c>
      <c r="K26" s="2697">
        <v>-0.08</v>
      </c>
      <c r="L26" s="2708">
        <v>1.24</v>
      </c>
      <c r="N26" s="2701">
        <f t="shared" si="13"/>
        <v>2.0000000000000001E-4</v>
      </c>
      <c r="O26" s="2702">
        <f t="shared" si="13"/>
        <v>1.1999999999999999E-3</v>
      </c>
      <c r="P26" s="2702">
        <f t="shared" si="13"/>
        <v>-8.0000000000000004E-4</v>
      </c>
      <c r="Q26" s="2702">
        <f t="shared" si="13"/>
        <v>1.24E-2</v>
      </c>
      <c r="R26" s="2703"/>
      <c r="S26" s="2701"/>
      <c r="T26" s="2702"/>
      <c r="U26" s="2702"/>
      <c r="V26" s="2702"/>
    </row>
    <row r="27" spans="1:34" ht="13.5" thickBot="1">
      <c r="A27" s="2691" t="s">
        <v>2606</v>
      </c>
      <c r="B27" s="2706">
        <f>B26/(1+N26)</f>
        <v>275.19025476197027</v>
      </c>
      <c r="C27" s="2738">
        <v>232</v>
      </c>
      <c r="D27" s="2738">
        <f t="shared" si="11"/>
        <v>232</v>
      </c>
      <c r="E27" s="2706">
        <f t="shared" si="22"/>
        <v>375.65990977608692</v>
      </c>
      <c r="F27" s="2706">
        <f t="shared" si="22"/>
        <v>214.12518283971252</v>
      </c>
      <c r="G27" s="3418"/>
      <c r="H27" s="2696">
        <v>1</v>
      </c>
      <c r="I27" s="2696">
        <v>0.02</v>
      </c>
      <c r="J27" s="2696">
        <v>0.13</v>
      </c>
      <c r="K27" s="2696">
        <v>-0.04</v>
      </c>
      <c r="L27" s="2707">
        <v>0.46</v>
      </c>
      <c r="N27" s="2701">
        <f t="shared" si="13"/>
        <v>2.0000000000000001E-4</v>
      </c>
      <c r="O27" s="2702">
        <f t="shared" si="13"/>
        <v>1.2999999999999999E-3</v>
      </c>
      <c r="P27" s="2702">
        <f t="shared" si="13"/>
        <v>-4.0000000000000002E-4</v>
      </c>
      <c r="Q27" s="2702">
        <f t="shared" si="13"/>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2607</v>
      </c>
      <c r="B28" s="2698">
        <v>275</v>
      </c>
      <c r="C28" s="2698">
        <v>232</v>
      </c>
      <c r="D28" s="2698">
        <f t="shared" si="11"/>
        <v>232</v>
      </c>
      <c r="E28" s="2698">
        <v>376</v>
      </c>
      <c r="F28" s="2699">
        <v>213</v>
      </c>
      <c r="G28" s="3416">
        <v>2011</v>
      </c>
      <c r="H28" s="2712">
        <v>4</v>
      </c>
      <c r="I28" s="2712">
        <v>-0.2</v>
      </c>
      <c r="J28" s="2712">
        <v>0.04</v>
      </c>
      <c r="K28" s="2712">
        <v>-0.34</v>
      </c>
      <c r="L28" s="2713">
        <v>0.46</v>
      </c>
      <c r="N28" s="2714">
        <f t="shared" si="13"/>
        <v>-2E-3</v>
      </c>
      <c r="O28" s="2715">
        <f t="shared" si="13"/>
        <v>4.0000000000000002E-4</v>
      </c>
      <c r="P28" s="2715">
        <f t="shared" si="13"/>
        <v>-3.4000000000000002E-3</v>
      </c>
      <c r="Q28" s="2715">
        <f t="shared" si="13"/>
        <v>4.5999999999999999E-3</v>
      </c>
      <c r="R28" s="2703"/>
      <c r="S28" s="2704"/>
      <c r="T28" s="2705"/>
      <c r="U28" s="2705"/>
      <c r="V28" s="2705"/>
      <c r="X28" s="2705"/>
      <c r="Y28" s="2705"/>
      <c r="Z28" s="2705"/>
    </row>
    <row r="29" spans="1:34">
      <c r="A29" s="2691" t="s">
        <v>2608</v>
      </c>
      <c r="B29" s="2706">
        <f t="shared" ref="B29:C31" si="23">B28/(1+N28)</f>
        <v>275.55110220440883</v>
      </c>
      <c r="C29" s="2706">
        <f t="shared" si="23"/>
        <v>231.90723710515795</v>
      </c>
      <c r="D29" s="2706">
        <f t="shared" si="11"/>
        <v>231.90723710515795</v>
      </c>
      <c r="E29" s="2706">
        <f t="shared" ref="E29:F31" si="24">E28/(1+P28)</f>
        <v>377.28276138872161</v>
      </c>
      <c r="F29" s="2706">
        <f t="shared" si="24"/>
        <v>212.02468644236512</v>
      </c>
      <c r="G29" s="3417">
        <v>2011</v>
      </c>
      <c r="H29" s="2717">
        <v>3</v>
      </c>
      <c r="I29" s="2717">
        <v>0.13</v>
      </c>
      <c r="J29" s="2717">
        <v>0.75</v>
      </c>
      <c r="K29" s="2717">
        <v>-0.08</v>
      </c>
      <c r="L29" s="2718">
        <v>0.53</v>
      </c>
      <c r="N29" s="2701">
        <f t="shared" si="13"/>
        <v>1.2999999999999999E-3</v>
      </c>
      <c r="O29" s="2719">
        <f t="shared" si="13"/>
        <v>7.4999999999999997E-3</v>
      </c>
      <c r="P29" s="2719">
        <f t="shared" si="13"/>
        <v>-8.0000000000000004E-4</v>
      </c>
      <c r="Q29" s="2719">
        <f t="shared" si="13"/>
        <v>5.3E-3</v>
      </c>
      <c r="R29" s="2703"/>
      <c r="S29" s="2701"/>
      <c r="T29" s="2702"/>
      <c r="U29" s="2702"/>
      <c r="V29" s="2702"/>
    </row>
    <row r="30" spans="1:34">
      <c r="A30" s="2691" t="s">
        <v>2609</v>
      </c>
      <c r="B30" s="2706">
        <f t="shared" si="23"/>
        <v>275.19335084830601</v>
      </c>
      <c r="C30" s="2706">
        <f t="shared" si="23"/>
        <v>230.18088050139744</v>
      </c>
      <c r="D30" s="2706">
        <f t="shared" si="11"/>
        <v>230.18088050139744</v>
      </c>
      <c r="E30" s="2706">
        <f t="shared" si="24"/>
        <v>377.58482925212331</v>
      </c>
      <c r="F30" s="2706">
        <f t="shared" si="24"/>
        <v>210.90687997847917</v>
      </c>
      <c r="G30" s="3417">
        <v>2011</v>
      </c>
      <c r="H30" s="2697">
        <v>2</v>
      </c>
      <c r="I30" s="2697">
        <v>-0.4</v>
      </c>
      <c r="J30" s="2697">
        <v>0.17</v>
      </c>
      <c r="K30" s="2697">
        <v>-0.57999999999999996</v>
      </c>
      <c r="L30" s="2708">
        <v>-0.2</v>
      </c>
      <c r="N30" s="2701">
        <f t="shared" si="13"/>
        <v>-4.0000000000000001E-3</v>
      </c>
      <c r="O30" s="2719">
        <f t="shared" si="13"/>
        <v>1.7000000000000001E-3</v>
      </c>
      <c r="P30" s="2719">
        <f t="shared" si="13"/>
        <v>-5.7999999999999996E-3</v>
      </c>
      <c r="Q30" s="2719">
        <f t="shared" si="13"/>
        <v>-2E-3</v>
      </c>
      <c r="R30" s="2703"/>
      <c r="S30" s="2701"/>
      <c r="T30" s="2702"/>
      <c r="U30" s="2702"/>
      <c r="V30" s="2702"/>
    </row>
    <row r="31" spans="1:34" ht="13.5" thickBot="1">
      <c r="A31" s="2691" t="s">
        <v>2610</v>
      </c>
      <c r="B31" s="2706">
        <f t="shared" si="23"/>
        <v>276.29854502841971</v>
      </c>
      <c r="C31" s="2706">
        <f t="shared" si="23"/>
        <v>229.79023709833027</v>
      </c>
      <c r="D31" s="2706">
        <f t="shared" si="11"/>
        <v>229.79023709833027</v>
      </c>
      <c r="E31" s="2706">
        <f t="shared" si="24"/>
        <v>379.78759731655936</v>
      </c>
      <c r="F31" s="2706">
        <f t="shared" si="24"/>
        <v>211.32953905659235</v>
      </c>
      <c r="G31" s="3418">
        <v>2011</v>
      </c>
      <c r="H31" s="2696">
        <v>1</v>
      </c>
      <c r="I31" s="2696">
        <v>2.65</v>
      </c>
      <c r="J31" s="2696">
        <v>3.76</v>
      </c>
      <c r="K31" s="2696">
        <v>1.89</v>
      </c>
      <c r="L31" s="2707">
        <v>7.95</v>
      </c>
      <c r="N31" s="2709">
        <f t="shared" si="13"/>
        <v>2.6499999999999999E-2</v>
      </c>
      <c r="O31" s="2710">
        <f t="shared" si="13"/>
        <v>3.7599999999999995E-2</v>
      </c>
      <c r="P31" s="2710">
        <f t="shared" si="13"/>
        <v>1.89E-2</v>
      </c>
      <c r="Q31" s="2710">
        <f t="shared" si="13"/>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2611</v>
      </c>
      <c r="B32" s="2698">
        <v>269</v>
      </c>
      <c r="C32" s="2698">
        <v>221</v>
      </c>
      <c r="D32" s="2698">
        <f t="shared" si="11"/>
        <v>221</v>
      </c>
      <c r="E32" s="2698">
        <v>373</v>
      </c>
      <c r="F32" s="2699">
        <v>196</v>
      </c>
      <c r="G32" s="3416">
        <v>2010</v>
      </c>
      <c r="H32" s="2712">
        <v>4</v>
      </c>
      <c r="I32" s="2712">
        <v>5.72</v>
      </c>
      <c r="J32" s="2712">
        <v>6.57</v>
      </c>
      <c r="K32" s="2712">
        <v>5.72</v>
      </c>
      <c r="L32" s="2713">
        <v>2.72</v>
      </c>
      <c r="N32" s="2701">
        <f t="shared" si="13"/>
        <v>5.7200000000000001E-2</v>
      </c>
      <c r="O32" s="2702">
        <f t="shared" si="13"/>
        <v>6.5700000000000008E-2</v>
      </c>
      <c r="P32" s="2702">
        <f t="shared" si="13"/>
        <v>5.7200000000000001E-2</v>
      </c>
      <c r="Q32" s="2702">
        <f t="shared" si="13"/>
        <v>2.7200000000000002E-2</v>
      </c>
      <c r="R32" s="2703"/>
      <c r="S32" s="2704"/>
      <c r="T32" s="2705"/>
      <c r="U32" s="2705"/>
      <c r="V32" s="2705"/>
      <c r="X32" s="2705"/>
      <c r="Y32" s="2705"/>
      <c r="Z32" s="2705"/>
    </row>
    <row r="33" spans="1:26">
      <c r="A33" s="2691" t="s">
        <v>2612</v>
      </c>
      <c r="B33" s="2706">
        <f t="shared" ref="B33:C35" si="25">B32/(1+N32)</f>
        <v>254.44570563753314</v>
      </c>
      <c r="C33" s="2706">
        <f t="shared" si="25"/>
        <v>207.37543398705074</v>
      </c>
      <c r="D33" s="2706">
        <f t="shared" si="11"/>
        <v>207.37543398705074</v>
      </c>
      <c r="E33" s="2706">
        <f t="shared" ref="E33:F35" si="26">E32/(1+P32)</f>
        <v>352.81876655315932</v>
      </c>
      <c r="F33" s="2706">
        <f t="shared" si="26"/>
        <v>190.809968847352</v>
      </c>
      <c r="G33" s="3417">
        <v>2010</v>
      </c>
      <c r="H33" s="2717">
        <v>3</v>
      </c>
      <c r="I33" s="2717">
        <v>4.7300000000000004</v>
      </c>
      <c r="J33" s="2717">
        <v>3.9</v>
      </c>
      <c r="K33" s="2717">
        <v>5.03</v>
      </c>
      <c r="L33" s="2718">
        <v>4.21</v>
      </c>
      <c r="N33" s="2701">
        <f t="shared" si="13"/>
        <v>4.7300000000000002E-2</v>
      </c>
      <c r="O33" s="2702">
        <f t="shared" si="13"/>
        <v>3.9E-2</v>
      </c>
      <c r="P33" s="2702">
        <f t="shared" si="13"/>
        <v>5.0300000000000004E-2</v>
      </c>
      <c r="Q33" s="2702">
        <f t="shared" si="13"/>
        <v>4.2099999999999999E-2</v>
      </c>
      <c r="R33" s="2703"/>
      <c r="S33" s="2701"/>
      <c r="T33" s="2702"/>
      <c r="U33" s="2702"/>
      <c r="V33" s="2702"/>
    </row>
    <row r="34" spans="1:26">
      <c r="A34" s="2691" t="s">
        <v>2613</v>
      </c>
      <c r="B34" s="2706">
        <f t="shared" si="25"/>
        <v>242.95398227588385</v>
      </c>
      <c r="C34" s="2706">
        <f t="shared" si="25"/>
        <v>199.59137053614126</v>
      </c>
      <c r="D34" s="2706">
        <f t="shared" si="11"/>
        <v>199.59137053614126</v>
      </c>
      <c r="E34" s="2706">
        <f t="shared" si="26"/>
        <v>335.92189522342125</v>
      </c>
      <c r="F34" s="2706">
        <f t="shared" si="26"/>
        <v>183.10139991109489</v>
      </c>
      <c r="G34" s="3417">
        <v>2010</v>
      </c>
      <c r="H34" s="2697">
        <v>2</v>
      </c>
      <c r="I34" s="2697">
        <v>4.6900000000000004</v>
      </c>
      <c r="J34" s="2697">
        <v>3.55</v>
      </c>
      <c r="K34" s="2697">
        <v>5.07</v>
      </c>
      <c r="L34" s="2708">
        <v>4.2300000000000004</v>
      </c>
      <c r="N34" s="2701">
        <f t="shared" si="13"/>
        <v>4.6900000000000004E-2</v>
      </c>
      <c r="O34" s="2702">
        <f t="shared" si="13"/>
        <v>3.5499999999999997E-2</v>
      </c>
      <c r="P34" s="2702">
        <f t="shared" si="13"/>
        <v>5.0700000000000002E-2</v>
      </c>
      <c r="Q34" s="2702">
        <f t="shared" si="13"/>
        <v>4.2300000000000004E-2</v>
      </c>
      <c r="R34" s="2703"/>
      <c r="S34" s="2701"/>
      <c r="T34" s="2702"/>
      <c r="U34" s="2702"/>
      <c r="V34" s="2702"/>
    </row>
    <row r="35" spans="1:26" ht="13.5" thickBot="1">
      <c r="A35" s="2691" t="s">
        <v>2614</v>
      </c>
      <c r="B35" s="2706">
        <f t="shared" si="25"/>
        <v>232.06990378821649</v>
      </c>
      <c r="C35" s="2706">
        <f t="shared" si="25"/>
        <v>192.74878854286936</v>
      </c>
      <c r="D35" s="2706">
        <f t="shared" si="11"/>
        <v>192.74878854286936</v>
      </c>
      <c r="E35" s="2706">
        <f t="shared" si="26"/>
        <v>319.71247284992984</v>
      </c>
      <c r="F35" s="2706">
        <f t="shared" si="26"/>
        <v>175.67053622862409</v>
      </c>
      <c r="G35" s="3418">
        <v>2010</v>
      </c>
      <c r="H35" s="2696">
        <v>1</v>
      </c>
      <c r="I35" s="2696">
        <v>5.4</v>
      </c>
      <c r="J35" s="2696">
        <v>3.2</v>
      </c>
      <c r="K35" s="2696">
        <v>6.16</v>
      </c>
      <c r="L35" s="2707">
        <v>4.51</v>
      </c>
      <c r="N35" s="2701">
        <f t="shared" si="13"/>
        <v>5.4000000000000006E-2</v>
      </c>
      <c r="O35" s="2702">
        <f t="shared" si="13"/>
        <v>3.2000000000000001E-2</v>
      </c>
      <c r="P35" s="2702">
        <f t="shared" si="13"/>
        <v>6.1600000000000002E-2</v>
      </c>
      <c r="Q35" s="2702">
        <f t="shared" si="13"/>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2615</v>
      </c>
      <c r="B36" s="2698">
        <v>220</v>
      </c>
      <c r="C36" s="2698">
        <v>187</v>
      </c>
      <c r="D36" s="2698">
        <f t="shared" si="11"/>
        <v>187</v>
      </c>
      <c r="E36" s="2698">
        <v>301</v>
      </c>
      <c r="F36" s="2699">
        <v>168</v>
      </c>
      <c r="G36" s="3416">
        <v>2009</v>
      </c>
      <c r="H36" s="2712">
        <v>4</v>
      </c>
      <c r="I36" s="2712">
        <v>2.2999999999999998</v>
      </c>
      <c r="J36" s="2712">
        <v>1.04</v>
      </c>
      <c r="K36" s="2712">
        <v>2.84</v>
      </c>
      <c r="L36" s="2713">
        <v>0.67</v>
      </c>
      <c r="N36" s="2714">
        <f t="shared" si="13"/>
        <v>2.3E-2</v>
      </c>
      <c r="O36" s="2715">
        <f t="shared" si="13"/>
        <v>1.04E-2</v>
      </c>
      <c r="P36" s="2715">
        <f t="shared" si="13"/>
        <v>2.8399999999999998E-2</v>
      </c>
      <c r="Q36" s="2715">
        <f t="shared" si="13"/>
        <v>6.7000000000000002E-3</v>
      </c>
      <c r="R36" s="2703"/>
      <c r="S36" s="2704"/>
      <c r="T36" s="2705"/>
      <c r="U36" s="2705"/>
      <c r="V36" s="2705"/>
      <c r="X36" s="2705"/>
      <c r="Y36" s="2705"/>
      <c r="Z36" s="2705"/>
    </row>
    <row r="37" spans="1:26">
      <c r="A37" s="2691" t="s">
        <v>2616</v>
      </c>
      <c r="B37" s="2706">
        <f t="shared" ref="B37:C39" si="27">B36/(1+N36)</f>
        <v>215.05376344086022</v>
      </c>
      <c r="C37" s="2706">
        <f t="shared" si="27"/>
        <v>185.0752177355503</v>
      </c>
      <c r="D37" s="2706">
        <f t="shared" si="11"/>
        <v>185.0752177355503</v>
      </c>
      <c r="E37" s="2706">
        <f t="shared" ref="E37:F39" si="28">E36/(1+P36)</f>
        <v>292.68767016725008</v>
      </c>
      <c r="F37" s="2706">
        <f t="shared" si="28"/>
        <v>166.88189132810174</v>
      </c>
      <c r="G37" s="3417">
        <v>2009</v>
      </c>
      <c r="H37" s="2717">
        <v>3</v>
      </c>
      <c r="I37" s="2717">
        <v>2.1</v>
      </c>
      <c r="J37" s="2717">
        <v>1.86</v>
      </c>
      <c r="K37" s="2717">
        <v>2.29</v>
      </c>
      <c r="L37" s="2718">
        <v>0.85</v>
      </c>
      <c r="N37" s="2701">
        <f t="shared" si="13"/>
        <v>2.1000000000000001E-2</v>
      </c>
      <c r="O37" s="2719">
        <f t="shared" si="13"/>
        <v>1.8600000000000002E-2</v>
      </c>
      <c r="P37" s="2719">
        <f t="shared" si="13"/>
        <v>2.29E-2</v>
      </c>
      <c r="Q37" s="2719">
        <f t="shared" si="13"/>
        <v>8.5000000000000006E-3</v>
      </c>
      <c r="R37" s="2703"/>
      <c r="S37" s="2701"/>
      <c r="T37" s="2702"/>
      <c r="U37" s="2702"/>
      <c r="V37" s="2702"/>
    </row>
    <row r="38" spans="1:26">
      <c r="A38" s="2691" t="s">
        <v>2617</v>
      </c>
      <c r="B38" s="2706">
        <f t="shared" si="27"/>
        <v>210.630522469011</v>
      </c>
      <c r="C38" s="2706">
        <f t="shared" si="27"/>
        <v>181.69567812247232</v>
      </c>
      <c r="D38" s="2706">
        <f t="shared" si="11"/>
        <v>181.69567812247232</v>
      </c>
      <c r="E38" s="2706">
        <f t="shared" si="28"/>
        <v>286.13517466736738</v>
      </c>
      <c r="F38" s="2706">
        <f t="shared" si="28"/>
        <v>165.47535084591149</v>
      </c>
      <c r="G38" s="3417">
        <v>2009</v>
      </c>
      <c r="H38" s="2697">
        <v>2</v>
      </c>
      <c r="I38" s="2697">
        <v>0.86</v>
      </c>
      <c r="J38" s="2697">
        <v>-1.1299999999999999</v>
      </c>
      <c r="K38" s="2697">
        <v>1.79</v>
      </c>
      <c r="L38" s="2708">
        <v>-2.0699999999999998</v>
      </c>
      <c r="N38" s="2701">
        <f t="shared" si="13"/>
        <v>8.6E-3</v>
      </c>
      <c r="O38" s="2719">
        <f t="shared" si="13"/>
        <v>-1.1299999999999999E-2</v>
      </c>
      <c r="P38" s="2719">
        <f t="shared" si="13"/>
        <v>1.7899999999999999E-2</v>
      </c>
      <c r="Q38" s="2719">
        <f t="shared" si="13"/>
        <v>-2.07E-2</v>
      </c>
      <c r="R38" s="2703"/>
      <c r="S38" s="2701"/>
      <c r="T38" s="2702"/>
      <c r="U38" s="2702"/>
      <c r="V38" s="2702"/>
    </row>
    <row r="39" spans="1:26">
      <c r="A39" s="2691" t="s">
        <v>2618</v>
      </c>
      <c r="B39" s="2706">
        <f t="shared" si="27"/>
        <v>208.83454537875372</v>
      </c>
      <c r="C39" s="2706">
        <f t="shared" si="27"/>
        <v>183.77230517090351</v>
      </c>
      <c r="D39" s="2706">
        <f t="shared" si="11"/>
        <v>183.77230517090351</v>
      </c>
      <c r="E39" s="2706">
        <f t="shared" si="28"/>
        <v>281.10342338870947</v>
      </c>
      <c r="F39" s="2706">
        <f t="shared" si="28"/>
        <v>168.97309388942256</v>
      </c>
      <c r="G39" s="3418">
        <v>2009</v>
      </c>
      <c r="H39" s="2696">
        <v>1</v>
      </c>
      <c r="I39" s="2696">
        <v>-2.64</v>
      </c>
      <c r="J39" s="2696">
        <v>-2.5299999999999998</v>
      </c>
      <c r="K39" s="2696">
        <v>-3.02</v>
      </c>
      <c r="L39" s="2707">
        <v>1.52</v>
      </c>
      <c r="N39" s="2709">
        <f t="shared" si="13"/>
        <v>-2.64E-2</v>
      </c>
      <c r="O39" s="2710">
        <f t="shared" si="13"/>
        <v>-2.53E-2</v>
      </c>
      <c r="P39" s="2710">
        <f t="shared" si="13"/>
        <v>-3.0200000000000001E-2</v>
      </c>
      <c r="Q39" s="2710">
        <f t="shared" si="13"/>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2619</v>
      </c>
      <c r="B40" s="2736">
        <v>214</v>
      </c>
      <c r="C40" s="2736">
        <v>188</v>
      </c>
      <c r="D40" s="2736">
        <f t="shared" si="11"/>
        <v>188</v>
      </c>
      <c r="E40" s="2736">
        <v>289</v>
      </c>
      <c r="F40" s="2737">
        <v>166</v>
      </c>
      <c r="G40" s="3416">
        <v>2008</v>
      </c>
      <c r="H40" s="2712">
        <v>4</v>
      </c>
      <c r="I40" s="2712">
        <v>1.73</v>
      </c>
      <c r="J40" s="2712">
        <v>0.03</v>
      </c>
      <c r="K40" s="2712">
        <v>2.59</v>
      </c>
      <c r="L40" s="2713">
        <v>-1.66</v>
      </c>
      <c r="N40" s="2701">
        <f t="shared" si="13"/>
        <v>1.7299999999999999E-2</v>
      </c>
      <c r="O40" s="2702">
        <f t="shared" si="13"/>
        <v>2.9999999999999997E-4</v>
      </c>
      <c r="P40" s="2702">
        <f t="shared" si="13"/>
        <v>2.5899999999999999E-2</v>
      </c>
      <c r="Q40" s="2702">
        <f t="shared" si="13"/>
        <v>-1.66E-2</v>
      </c>
      <c r="R40" s="2703"/>
      <c r="S40" s="2704"/>
      <c r="T40" s="2705"/>
      <c r="U40" s="2705"/>
      <c r="V40" s="2705"/>
      <c r="X40" s="2705"/>
      <c r="Y40" s="2705"/>
      <c r="Z40" s="2705"/>
    </row>
    <row r="41" spans="1:26">
      <c r="A41" s="2691" t="s">
        <v>2620</v>
      </c>
      <c r="B41" s="2706">
        <f t="shared" ref="B41:C43" si="29">B40/(1+N40)</f>
        <v>210.36075887152265</v>
      </c>
      <c r="C41" s="2706">
        <f t="shared" si="29"/>
        <v>187.94361691492554</v>
      </c>
      <c r="D41" s="2706">
        <f t="shared" si="11"/>
        <v>187.94361691492554</v>
      </c>
      <c r="E41" s="2706">
        <f t="shared" ref="E41:F43" si="30">E40/(1+P40)</f>
        <v>281.70386977288234</v>
      </c>
      <c r="F41" s="2706">
        <f t="shared" si="30"/>
        <v>168.80211511083994</v>
      </c>
      <c r="G41" s="3417">
        <v>2008</v>
      </c>
      <c r="H41" s="2717">
        <v>3</v>
      </c>
      <c r="I41" s="2717">
        <v>1.96</v>
      </c>
      <c r="J41" s="2717">
        <v>2.36</v>
      </c>
      <c r="K41" s="2717">
        <v>1.82</v>
      </c>
      <c r="L41" s="2718">
        <v>2.2200000000000002</v>
      </c>
      <c r="N41" s="2701">
        <f t="shared" si="13"/>
        <v>1.9599999999999999E-2</v>
      </c>
      <c r="O41" s="2702">
        <f t="shared" si="13"/>
        <v>2.3599999999999999E-2</v>
      </c>
      <c r="P41" s="2702">
        <f t="shared" si="13"/>
        <v>1.8200000000000001E-2</v>
      </c>
      <c r="Q41" s="2702">
        <f t="shared" si="13"/>
        <v>2.2200000000000001E-2</v>
      </c>
      <c r="R41" s="2703"/>
      <c r="S41" s="2701"/>
      <c r="T41" s="2702"/>
      <c r="U41" s="2702"/>
      <c r="V41" s="2702"/>
    </row>
    <row r="42" spans="1:26">
      <c r="A42" s="2691" t="s">
        <v>2621</v>
      </c>
      <c r="B42" s="2706">
        <f t="shared" si="29"/>
        <v>206.31694671589116</v>
      </c>
      <c r="C42" s="2706">
        <f t="shared" si="29"/>
        <v>183.61041121036101</v>
      </c>
      <c r="D42" s="2706">
        <f t="shared" si="11"/>
        <v>183.61041121036101</v>
      </c>
      <c r="E42" s="2706">
        <f t="shared" si="30"/>
        <v>276.66850301795557</v>
      </c>
      <c r="F42" s="2706">
        <f t="shared" si="30"/>
        <v>165.1360938278614</v>
      </c>
      <c r="G42" s="3417">
        <v>2008</v>
      </c>
      <c r="H42" s="2697">
        <v>2</v>
      </c>
      <c r="I42" s="2697">
        <v>4.93</v>
      </c>
      <c r="J42" s="2697">
        <v>7.38</v>
      </c>
      <c r="K42" s="2697">
        <v>3.98</v>
      </c>
      <c r="L42" s="2708">
        <v>6.86</v>
      </c>
      <c r="N42" s="2701">
        <f t="shared" si="13"/>
        <v>4.9299999999999997E-2</v>
      </c>
      <c r="O42" s="2702">
        <f t="shared" si="13"/>
        <v>7.3800000000000004E-2</v>
      </c>
      <c r="P42" s="2702">
        <f t="shared" si="13"/>
        <v>3.9800000000000002E-2</v>
      </c>
      <c r="Q42" s="2702">
        <f t="shared" si="13"/>
        <v>6.8600000000000008E-2</v>
      </c>
      <c r="R42" s="2703"/>
      <c r="S42" s="2701"/>
      <c r="T42" s="2702"/>
      <c r="U42" s="2702"/>
      <c r="V42" s="2702"/>
    </row>
    <row r="43" spans="1:26" s="2742" customFormat="1" ht="13.5" thickBot="1">
      <c r="A43" s="2691" t="s">
        <v>2622</v>
      </c>
      <c r="B43" s="2739">
        <f t="shared" si="29"/>
        <v>196.62341248059772</v>
      </c>
      <c r="C43" s="2739">
        <f t="shared" si="29"/>
        <v>170.99125648199012</v>
      </c>
      <c r="D43" s="2739">
        <f t="shared" si="11"/>
        <v>170.99125648199012</v>
      </c>
      <c r="E43" s="2739">
        <f t="shared" si="30"/>
        <v>266.07857570490052</v>
      </c>
      <c r="F43" s="2739">
        <f t="shared" si="30"/>
        <v>154.53499328828505</v>
      </c>
      <c r="G43" s="3418">
        <v>2008</v>
      </c>
      <c r="H43" s="2740">
        <v>1</v>
      </c>
      <c r="I43" s="2740">
        <v>4.1399999999999997</v>
      </c>
      <c r="J43" s="2740">
        <v>3.45</v>
      </c>
      <c r="K43" s="2740">
        <v>4.95</v>
      </c>
      <c r="L43" s="2741">
        <v>4.82</v>
      </c>
      <c r="N43" s="2743">
        <f t="shared" si="13"/>
        <v>4.1399999999999999E-2</v>
      </c>
      <c r="O43" s="2744">
        <f t="shared" si="13"/>
        <v>3.4500000000000003E-2</v>
      </c>
      <c r="P43" s="2744">
        <f t="shared" si="13"/>
        <v>4.9500000000000002E-2</v>
      </c>
      <c r="Q43" s="2744">
        <f t="shared" si="13"/>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2623</v>
      </c>
      <c r="B44" s="2698">
        <v>188</v>
      </c>
      <c r="C44" s="2698">
        <v>165</v>
      </c>
      <c r="D44" s="2698">
        <f t="shared" si="11"/>
        <v>165</v>
      </c>
      <c r="E44" s="2698">
        <v>254</v>
      </c>
      <c r="F44" s="2699">
        <v>148</v>
      </c>
      <c r="G44" s="3416">
        <v>2007</v>
      </c>
      <c r="H44" s="2747">
        <v>4</v>
      </c>
      <c r="I44" s="2747">
        <v>5.51</v>
      </c>
      <c r="J44" s="2747">
        <v>4.8899999999999997</v>
      </c>
      <c r="K44" s="2747">
        <v>6.43</v>
      </c>
      <c r="L44" s="2748">
        <v>5.36</v>
      </c>
      <c r="N44" s="2749">
        <f t="shared" ref="N44:O47" si="31">B44/B45-1</f>
        <v>4.1339718365245526E-2</v>
      </c>
      <c r="O44" s="2750">
        <f t="shared" si="31"/>
        <v>4.0324492593776018E-2</v>
      </c>
      <c r="P44" s="2750">
        <f t="shared" ref="P44:Q47" si="32">E44/E45-1</f>
        <v>6.1625555347990968E-2</v>
      </c>
      <c r="Q44" s="2750">
        <f t="shared" si="32"/>
        <v>4.6757569250590603E-2</v>
      </c>
      <c r="R44" s="2703"/>
      <c r="S44" s="2704"/>
      <c r="T44" s="2705"/>
      <c r="U44" s="2705"/>
      <c r="V44" s="2705"/>
      <c r="X44" s="2705"/>
      <c r="Y44" s="2705"/>
      <c r="Z44" s="2705"/>
    </row>
    <row r="45" spans="1:26">
      <c r="A45" s="2691" t="s">
        <v>2624</v>
      </c>
      <c r="B45" s="2706">
        <f t="shared" ref="B45:C47" si="33">B46+(B$44-B$48)*I45/SUM(I$44:I$47)</f>
        <v>180.5366651097618</v>
      </c>
      <c r="C45" s="2706">
        <f t="shared" si="33"/>
        <v>158.60435967302453</v>
      </c>
      <c r="D45" s="2706">
        <f t="shared" si="11"/>
        <v>158.60435967302453</v>
      </c>
      <c r="E45" s="2706">
        <f t="shared" ref="E45:F47" si="34">E46+(E$44-E$48)*K45/SUM(K$44:K$47)</f>
        <v>239.25573260785075</v>
      </c>
      <c r="F45" s="2706">
        <f t="shared" si="34"/>
        <v>141.38899430740037</v>
      </c>
      <c r="G45" s="3417">
        <v>2007</v>
      </c>
      <c r="H45" s="2717">
        <v>3</v>
      </c>
      <c r="I45" s="2717">
        <v>8.65</v>
      </c>
      <c r="J45" s="2717">
        <v>8.06</v>
      </c>
      <c r="K45" s="2717">
        <v>9.94</v>
      </c>
      <c r="L45" s="2718">
        <v>5.8</v>
      </c>
      <c r="N45" s="2749">
        <f t="shared" si="31"/>
        <v>6.940217571740015E-2</v>
      </c>
      <c r="O45" s="2750">
        <f t="shared" si="31"/>
        <v>7.1197482471153428E-2</v>
      </c>
      <c r="P45" s="2750">
        <f t="shared" si="32"/>
        <v>0.10529679922579582</v>
      </c>
      <c r="Q45" s="2750">
        <f t="shared" si="32"/>
        <v>5.3292245059512133E-2</v>
      </c>
      <c r="R45" s="2703"/>
      <c r="S45" s="2701"/>
      <c r="T45" s="2702"/>
      <c r="U45" s="2702"/>
      <c r="V45" s="2702"/>
      <c r="X45" s="2751"/>
      <c r="Y45" s="2751"/>
      <c r="Z45" s="2751"/>
    </row>
    <row r="46" spans="1:26">
      <c r="A46" s="2691" t="s">
        <v>2625</v>
      </c>
      <c r="B46" s="2706">
        <f t="shared" si="33"/>
        <v>168.82017748715555</v>
      </c>
      <c r="C46" s="2706">
        <f t="shared" si="33"/>
        <v>148.06267029972753</v>
      </c>
      <c r="D46" s="2706">
        <f t="shared" si="11"/>
        <v>148.06267029972753</v>
      </c>
      <c r="E46" s="2706">
        <f t="shared" si="34"/>
        <v>216.46288379323747</v>
      </c>
      <c r="F46" s="2706">
        <f t="shared" si="34"/>
        <v>134.23529411764704</v>
      </c>
      <c r="G46" s="3417">
        <v>2007</v>
      </c>
      <c r="H46" s="2697">
        <v>2</v>
      </c>
      <c r="I46" s="2697">
        <v>3.67</v>
      </c>
      <c r="J46" s="2697">
        <v>2.3199999999999998</v>
      </c>
      <c r="K46" s="2697">
        <v>5.0199999999999996</v>
      </c>
      <c r="L46" s="2708">
        <v>6.71</v>
      </c>
      <c r="N46" s="2749">
        <f t="shared" si="31"/>
        <v>3.0339138143848032E-2</v>
      </c>
      <c r="O46" s="2750">
        <f t="shared" si="31"/>
        <v>2.0922341588790472E-2</v>
      </c>
      <c r="P46" s="2750">
        <f t="shared" si="32"/>
        <v>5.6164796592717003E-2</v>
      </c>
      <c r="Q46" s="2750">
        <f t="shared" si="32"/>
        <v>6.5704536723887319E-2</v>
      </c>
      <c r="R46" s="2703"/>
      <c r="S46" s="2701"/>
      <c r="T46" s="2702"/>
      <c r="U46" s="2702"/>
      <c r="V46" s="2702"/>
      <c r="X46" s="2751"/>
      <c r="Y46" s="2751"/>
      <c r="Z46" s="2751"/>
    </row>
    <row r="47" spans="1:26">
      <c r="A47" s="2691" t="s">
        <v>2626</v>
      </c>
      <c r="B47" s="2706">
        <f t="shared" si="33"/>
        <v>163.84913591779542</v>
      </c>
      <c r="C47" s="2706">
        <f t="shared" si="33"/>
        <v>145.0283378746594</v>
      </c>
      <c r="D47" s="2706">
        <f t="shared" si="11"/>
        <v>145.0283378746594</v>
      </c>
      <c r="E47" s="2706">
        <f t="shared" si="34"/>
        <v>204.95180722891567</v>
      </c>
      <c r="F47" s="2706">
        <f t="shared" si="34"/>
        <v>125.95920303605313</v>
      </c>
      <c r="G47" s="3418">
        <v>2007</v>
      </c>
      <c r="H47" s="2696">
        <v>1</v>
      </c>
      <c r="I47" s="2696">
        <v>3.58</v>
      </c>
      <c r="J47" s="2696">
        <v>3.08</v>
      </c>
      <c r="K47" s="2696">
        <v>4.34</v>
      </c>
      <c r="L47" s="2707">
        <v>3.21</v>
      </c>
      <c r="N47" s="2752">
        <f t="shared" si="31"/>
        <v>3.0497710174814063E-2</v>
      </c>
      <c r="O47" s="2753">
        <f t="shared" si="31"/>
        <v>2.8569772160704998E-2</v>
      </c>
      <c r="P47" s="2753">
        <f t="shared" si="32"/>
        <v>5.1034908866234296E-2</v>
      </c>
      <c r="Q47" s="2753">
        <f t="shared" si="32"/>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2627</v>
      </c>
      <c r="B48" s="2720">
        <v>159</v>
      </c>
      <c r="C48" s="2720">
        <v>141</v>
      </c>
      <c r="D48" s="2720">
        <f t="shared" si="11"/>
        <v>141</v>
      </c>
      <c r="E48" s="2720">
        <v>195</v>
      </c>
      <c r="F48" s="2721">
        <v>122</v>
      </c>
      <c r="G48" s="3416">
        <v>2006</v>
      </c>
      <c r="H48" s="2712">
        <v>4</v>
      </c>
      <c r="I48" s="2712">
        <v>3.79</v>
      </c>
      <c r="J48" s="2712">
        <v>2.21</v>
      </c>
      <c r="K48" s="2712">
        <v>5.65</v>
      </c>
      <c r="L48" s="2713">
        <v>5.41</v>
      </c>
      <c r="N48" s="2749">
        <f t="shared" ref="N48:O51" si="35">I48/SUM(I$48:I$51)*(B$48/B$52-1)</f>
        <v>7.245466462748526E-2</v>
      </c>
      <c r="O48" s="2750">
        <f t="shared" si="35"/>
        <v>2.3237230038062766E-2</v>
      </c>
      <c r="P48" s="2750">
        <f t="shared" ref="P48:Q51" si="36">K48/SUM(K$48:K$51)*(E$48/E$52-1)</f>
        <v>0.16146893866323722</v>
      </c>
      <c r="Q48" s="2750">
        <f t="shared" si="36"/>
        <v>5.0755230321793784E-2</v>
      </c>
      <c r="R48" s="2703"/>
      <c r="S48" s="2704"/>
      <c r="T48" s="2705"/>
      <c r="U48" s="2705"/>
      <c r="V48" s="2705"/>
      <c r="X48" s="2751"/>
      <c r="Y48" s="2751"/>
      <c r="Z48" s="2751"/>
    </row>
    <row r="49" spans="1:26">
      <c r="A49" s="2691" t="s">
        <v>2628</v>
      </c>
      <c r="B49" s="2706">
        <f t="shared" ref="B49:C51" si="37">B50+(B$48-B$52)*I49/SUM(I$48:I$51)</f>
        <v>149.00125628140702</v>
      </c>
      <c r="C49" s="2706">
        <f t="shared" si="37"/>
        <v>137.95592286501378</v>
      </c>
      <c r="D49" s="2706">
        <f t="shared" si="11"/>
        <v>137.95592286501378</v>
      </c>
      <c r="E49" s="2706">
        <f t="shared" ref="E49:F51" si="38">E50+(E$48-E$52)*K49/SUM(K$48:K$51)</f>
        <v>169.97231450719823</v>
      </c>
      <c r="F49" s="2706">
        <f t="shared" si="38"/>
        <v>116.21390374331551</v>
      </c>
      <c r="G49" s="3417">
        <v>2006</v>
      </c>
      <c r="H49" s="2717">
        <v>3</v>
      </c>
      <c r="I49" s="2717">
        <v>0.92</v>
      </c>
      <c r="J49" s="2717">
        <v>1.08</v>
      </c>
      <c r="K49" s="2717">
        <v>0.73</v>
      </c>
      <c r="L49" s="2718">
        <v>1.08</v>
      </c>
      <c r="N49" s="2749">
        <f t="shared" si="35"/>
        <v>1.7587939698492462E-2</v>
      </c>
      <c r="O49" s="2750">
        <f t="shared" si="35"/>
        <v>1.1355750425840628E-2</v>
      </c>
      <c r="P49" s="2750">
        <f t="shared" si="36"/>
        <v>2.0862358446754544E-2</v>
      </c>
      <c r="Q49" s="2750">
        <f t="shared" si="36"/>
        <v>1.0132282578103011E-2</v>
      </c>
      <c r="R49" s="2703"/>
      <c r="S49" s="2701"/>
      <c r="T49" s="2702"/>
      <c r="U49" s="2702"/>
      <c r="V49" s="2702"/>
      <c r="X49" s="2751"/>
      <c r="Y49" s="2751"/>
      <c r="Z49" s="2751"/>
    </row>
    <row r="50" spans="1:26">
      <c r="A50" s="2691" t="s">
        <v>2629</v>
      </c>
      <c r="B50" s="2706">
        <f t="shared" si="37"/>
        <v>146.57412060301507</v>
      </c>
      <c r="C50" s="2706">
        <f t="shared" si="37"/>
        <v>136.46831955922866</v>
      </c>
      <c r="D50" s="2706">
        <f t="shared" si="11"/>
        <v>136.46831955922866</v>
      </c>
      <c r="E50" s="2706">
        <f t="shared" si="38"/>
        <v>166.73864894795128</v>
      </c>
      <c r="F50" s="2706">
        <f t="shared" si="38"/>
        <v>115.05882352941177</v>
      </c>
      <c r="G50" s="3417">
        <v>2006</v>
      </c>
      <c r="H50" s="2697">
        <v>2</v>
      </c>
      <c r="I50" s="2697">
        <v>0.96</v>
      </c>
      <c r="J50" s="2697">
        <v>0.25</v>
      </c>
      <c r="K50" s="2697">
        <v>1.9</v>
      </c>
      <c r="L50" s="2708">
        <v>0.95</v>
      </c>
      <c r="N50" s="2749">
        <f t="shared" si="35"/>
        <v>1.8352632728861701E-2</v>
      </c>
      <c r="O50" s="2750">
        <f t="shared" si="35"/>
        <v>2.6286459319075526E-3</v>
      </c>
      <c r="P50" s="2750">
        <f t="shared" si="36"/>
        <v>5.4299289107991269E-2</v>
      </c>
      <c r="Q50" s="2750">
        <f t="shared" si="36"/>
        <v>8.9126559714794995E-3</v>
      </c>
      <c r="R50" s="2703"/>
      <c r="S50" s="2701"/>
      <c r="T50" s="2702"/>
      <c r="U50" s="2702"/>
      <c r="V50" s="2702"/>
      <c r="X50" s="2751"/>
      <c r="Y50" s="2751"/>
      <c r="Z50" s="2751"/>
    </row>
    <row r="51" spans="1:26">
      <c r="A51" s="2691" t="s">
        <v>2630</v>
      </c>
      <c r="B51" s="2706">
        <f t="shared" si="37"/>
        <v>144.04145728643215</v>
      </c>
      <c r="C51" s="2706">
        <f t="shared" si="37"/>
        <v>136.12396694214877</v>
      </c>
      <c r="D51" s="2706">
        <f t="shared" si="11"/>
        <v>136.12396694214877</v>
      </c>
      <c r="E51" s="2706">
        <f t="shared" si="38"/>
        <v>158.32225913621264</v>
      </c>
      <c r="F51" s="2706">
        <f t="shared" si="38"/>
        <v>114.04278074866311</v>
      </c>
      <c r="G51" s="3418">
        <v>2006</v>
      </c>
      <c r="H51" s="2696">
        <v>1</v>
      </c>
      <c r="I51" s="2696">
        <v>2.29</v>
      </c>
      <c r="J51" s="2696">
        <v>3.72</v>
      </c>
      <c r="K51" s="2696">
        <v>0.75</v>
      </c>
      <c r="L51" s="2707">
        <v>0.04</v>
      </c>
      <c r="N51" s="2752">
        <f t="shared" si="35"/>
        <v>4.3778675988638847E-2</v>
      </c>
      <c r="O51" s="2753">
        <f t="shared" si="35"/>
        <v>3.9114251466784385E-2</v>
      </c>
      <c r="P51" s="2753">
        <f t="shared" si="36"/>
        <v>2.1433929911049188E-2</v>
      </c>
      <c r="Q51" s="2753">
        <f t="shared" si="36"/>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2631</v>
      </c>
      <c r="B52" s="2720">
        <v>138</v>
      </c>
      <c r="C52" s="2720">
        <v>131</v>
      </c>
      <c r="D52" s="2720">
        <f t="shared" si="11"/>
        <v>131</v>
      </c>
      <c r="E52" s="2720">
        <v>155</v>
      </c>
      <c r="F52" s="2721">
        <v>114</v>
      </c>
      <c r="G52" s="3416">
        <v>2005</v>
      </c>
      <c r="H52" s="2712">
        <v>4</v>
      </c>
      <c r="I52" s="2712">
        <v>3.29</v>
      </c>
      <c r="J52" s="2712">
        <v>1.44</v>
      </c>
      <c r="K52" s="2712">
        <v>0.66</v>
      </c>
      <c r="L52" s="2713">
        <v>7.78</v>
      </c>
      <c r="N52" s="2749">
        <f t="shared" ref="N52:O55" si="39">I52/SUM(I$52:I$55)*(B$52/B$56-1)</f>
        <v>9.9404603216919935E-2</v>
      </c>
      <c r="O52" s="2750">
        <f t="shared" si="39"/>
        <v>4.7636550760861554E-2</v>
      </c>
      <c r="P52" s="2750">
        <f t="shared" ref="P52:Q55" si="40">K52/SUM(K$52:K$55)*(E$52/E$56-1)</f>
        <v>8.3756345177664976E-2</v>
      </c>
      <c r="Q52" s="2750">
        <f t="shared" si="40"/>
        <v>5.2148766661559584E-2</v>
      </c>
      <c r="R52" s="2703"/>
      <c r="S52" s="2704"/>
      <c r="T52" s="2705"/>
      <c r="U52" s="2705"/>
      <c r="V52" s="2705"/>
      <c r="X52" s="2751"/>
      <c r="Y52" s="2751"/>
      <c r="Z52" s="2751"/>
    </row>
    <row r="53" spans="1:26">
      <c r="A53" s="2691" t="s">
        <v>2632</v>
      </c>
      <c r="B53" s="2706">
        <f t="shared" ref="B53:C55" si="41">B54+(B$52-B$56)*I53/SUM(I$52:I$55)</f>
        <v>125.9720430107527</v>
      </c>
      <c r="C53" s="2706">
        <f t="shared" si="41"/>
        <v>125.1883408071749</v>
      </c>
      <c r="D53" s="2706">
        <f t="shared" si="11"/>
        <v>125.1883408071749</v>
      </c>
      <c r="E53" s="2706">
        <f t="shared" ref="E53:F55" si="42">E54+(E$52-E$56)*K53/SUM(K$52:K$55)</f>
        <v>144.61421319796952</v>
      </c>
      <c r="F53" s="2706">
        <f t="shared" si="42"/>
        <v>108.42008196721311</v>
      </c>
      <c r="G53" s="3417">
        <v>2005</v>
      </c>
      <c r="H53" s="2717">
        <v>3</v>
      </c>
      <c r="I53" s="2717">
        <v>0.46</v>
      </c>
      <c r="J53" s="2717">
        <v>0.32</v>
      </c>
      <c r="K53" s="2717">
        <v>0.42</v>
      </c>
      <c r="L53" s="2718">
        <v>0.64</v>
      </c>
      <c r="N53" s="2749">
        <f t="shared" si="39"/>
        <v>1.3898515951301874E-2</v>
      </c>
      <c r="O53" s="2750">
        <f t="shared" si="39"/>
        <v>1.0585900169080346E-2</v>
      </c>
      <c r="P53" s="2750">
        <f t="shared" si="40"/>
        <v>5.3299492385786795E-2</v>
      </c>
      <c r="Q53" s="2750">
        <f t="shared" si="40"/>
        <v>4.2898728359123568E-3</v>
      </c>
      <c r="R53" s="2703"/>
      <c r="S53" s="2701"/>
      <c r="T53" s="2702"/>
      <c r="U53" s="2702"/>
      <c r="V53" s="2702"/>
      <c r="X53" s="2751"/>
      <c r="Y53" s="2751"/>
      <c r="Z53" s="2751"/>
    </row>
    <row r="54" spans="1:26">
      <c r="A54" s="2691" t="s">
        <v>2633</v>
      </c>
      <c r="B54" s="2706">
        <f t="shared" si="41"/>
        <v>124.29032258064517</v>
      </c>
      <c r="C54" s="2706">
        <f t="shared" si="41"/>
        <v>123.8968609865471</v>
      </c>
      <c r="D54" s="2706">
        <f t="shared" si="11"/>
        <v>123.8968609865471</v>
      </c>
      <c r="E54" s="2706">
        <f t="shared" si="42"/>
        <v>138.00507614213197</v>
      </c>
      <c r="F54" s="2706">
        <f t="shared" si="42"/>
        <v>107.96106557377048</v>
      </c>
      <c r="G54" s="3417">
        <v>2005</v>
      </c>
      <c r="H54" s="2697">
        <v>2</v>
      </c>
      <c r="I54" s="2697">
        <v>0.47</v>
      </c>
      <c r="J54" s="2697">
        <v>0.1</v>
      </c>
      <c r="K54" s="2697">
        <v>0.52</v>
      </c>
      <c r="L54" s="2708">
        <v>0.79</v>
      </c>
      <c r="N54" s="2749">
        <f t="shared" si="39"/>
        <v>1.420065760241713E-2</v>
      </c>
      <c r="O54" s="2750">
        <f t="shared" si="39"/>
        <v>3.3080938028376083E-3</v>
      </c>
      <c r="P54" s="2750">
        <f t="shared" si="40"/>
        <v>6.598984771573603E-2</v>
      </c>
      <c r="Q54" s="2750">
        <f t="shared" si="40"/>
        <v>5.2953117818293153E-3</v>
      </c>
      <c r="R54" s="2703"/>
      <c r="S54" s="2701"/>
      <c r="T54" s="2702"/>
      <c r="U54" s="2702"/>
      <c r="V54" s="2702"/>
      <c r="X54" s="2751"/>
      <c r="Y54" s="2751"/>
      <c r="Z54" s="2751"/>
    </row>
    <row r="55" spans="1:26">
      <c r="A55" s="2691" t="s">
        <v>2634</v>
      </c>
      <c r="B55" s="2706">
        <f t="shared" si="41"/>
        <v>122.57204301075269</v>
      </c>
      <c r="C55" s="2706">
        <f t="shared" si="41"/>
        <v>123.4932735426009</v>
      </c>
      <c r="D55" s="2706">
        <f t="shared" si="11"/>
        <v>123.4932735426009</v>
      </c>
      <c r="E55" s="2706">
        <f t="shared" si="42"/>
        <v>129.82233502538071</v>
      </c>
      <c r="F55" s="2706">
        <f t="shared" si="42"/>
        <v>107.39446721311475</v>
      </c>
      <c r="G55" s="3418">
        <v>2005</v>
      </c>
      <c r="H55" s="2696">
        <v>1</v>
      </c>
      <c r="I55" s="2696">
        <v>0.43</v>
      </c>
      <c r="J55" s="2696">
        <v>0.37</v>
      </c>
      <c r="K55" s="2696">
        <v>0.37</v>
      </c>
      <c r="L55" s="2707">
        <v>0.55000000000000004</v>
      </c>
      <c r="N55" s="2752">
        <f t="shared" si="39"/>
        <v>1.2992090997956099E-2</v>
      </c>
      <c r="O55" s="2753">
        <f t="shared" si="39"/>
        <v>1.2239947070499151E-2</v>
      </c>
      <c r="P55" s="2753">
        <f t="shared" si="40"/>
        <v>4.6954314720812178E-2</v>
      </c>
      <c r="Q55" s="2753">
        <f t="shared" si="40"/>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2635</v>
      </c>
      <c r="B56" s="2736">
        <v>121</v>
      </c>
      <c r="C56" s="2736">
        <v>122</v>
      </c>
      <c r="D56" s="2736">
        <f t="shared" si="11"/>
        <v>122</v>
      </c>
      <c r="E56" s="2736">
        <v>124</v>
      </c>
      <c r="F56" s="2737">
        <v>107</v>
      </c>
      <c r="G56" s="3416">
        <v>2004</v>
      </c>
      <c r="H56" s="2712">
        <v>4</v>
      </c>
      <c r="I56" s="2712">
        <v>0.33</v>
      </c>
      <c r="J56" s="2712">
        <v>0.5</v>
      </c>
      <c r="K56" s="2712">
        <v>0.5</v>
      </c>
      <c r="L56" s="2713">
        <v>0</v>
      </c>
      <c r="N56" s="2749">
        <f t="shared" ref="N56:O59" si="43">I56/SUM(I$56:I$59)*(B$56/B$60-1)</f>
        <v>1.3391770148526898E-2</v>
      </c>
      <c r="O56" s="2750">
        <f t="shared" si="43"/>
        <v>1.063264221158958E-2</v>
      </c>
      <c r="P56" s="2750">
        <f t="shared" ref="P56:Q59" si="44">K56/SUM(K$56:K$59)*(E$56/E$60-1)</f>
        <v>2.2244466688911134E-2</v>
      </c>
      <c r="Q56" s="2750">
        <f t="shared" si="44"/>
        <v>0</v>
      </c>
      <c r="R56" s="2703"/>
      <c r="S56" s="2704"/>
      <c r="T56" s="2705"/>
      <c r="U56" s="2705"/>
      <c r="V56" s="2705"/>
      <c r="X56" s="2751"/>
      <c r="Y56" s="2751"/>
      <c r="Z56" s="2751"/>
    </row>
    <row r="57" spans="1:26">
      <c r="A57" s="2691" t="s">
        <v>2636</v>
      </c>
      <c r="B57" s="2706">
        <f t="shared" ref="B57:C59" si="45">B58+(B$56-B$60)*I57/SUM(I$56:I$59)</f>
        <v>119.51351351351352</v>
      </c>
      <c r="C57" s="2706">
        <f t="shared" si="45"/>
        <v>120.7878787878788</v>
      </c>
      <c r="D57" s="2706">
        <f t="shared" si="11"/>
        <v>120.7878787878788</v>
      </c>
      <c r="E57" s="2706">
        <f t="shared" ref="E57:F59" si="46">E58+(E$56-E$60)*K57/SUM(K$56:K$59)</f>
        <v>121.5975975975976</v>
      </c>
      <c r="F57" s="2706">
        <f t="shared" si="46"/>
        <v>107</v>
      </c>
      <c r="G57" s="3417">
        <v>2004</v>
      </c>
      <c r="H57" s="2717">
        <v>3</v>
      </c>
      <c r="I57" s="2717">
        <v>0.56000000000000005</v>
      </c>
      <c r="J57" s="2717">
        <v>0.8</v>
      </c>
      <c r="K57" s="2717">
        <v>0.83</v>
      </c>
      <c r="L57" s="2718">
        <v>0.06</v>
      </c>
      <c r="N57" s="2749">
        <f t="shared" si="43"/>
        <v>2.2725428130833527E-2</v>
      </c>
      <c r="O57" s="2750">
        <f t="shared" si="43"/>
        <v>1.7012227538543329E-2</v>
      </c>
      <c r="P57" s="2750">
        <f t="shared" si="44"/>
        <v>3.6925814703592477E-2</v>
      </c>
      <c r="Q57" s="2750">
        <f t="shared" si="44"/>
        <v>2.8846153846153744E-2</v>
      </c>
      <c r="R57" s="2703"/>
      <c r="S57" s="2701"/>
      <c r="T57" s="2702"/>
      <c r="U57" s="2702"/>
      <c r="V57" s="2702"/>
      <c r="X57" s="2751"/>
      <c r="Y57" s="2751"/>
      <c r="Z57" s="2751"/>
    </row>
    <row r="58" spans="1:26">
      <c r="A58" s="2691" t="s">
        <v>2637</v>
      </c>
      <c r="B58" s="2706">
        <f t="shared" si="45"/>
        <v>116.99099099099099</v>
      </c>
      <c r="C58" s="2706">
        <f t="shared" si="45"/>
        <v>118.84848484848486</v>
      </c>
      <c r="D58" s="2706">
        <f t="shared" si="11"/>
        <v>118.84848484848486</v>
      </c>
      <c r="E58" s="2706">
        <f t="shared" si="46"/>
        <v>117.60960960960961</v>
      </c>
      <c r="F58" s="2706">
        <f t="shared" si="46"/>
        <v>104</v>
      </c>
      <c r="G58" s="3417">
        <v>2004</v>
      </c>
      <c r="H58" s="2697">
        <v>2</v>
      </c>
      <c r="I58" s="2697">
        <v>1</v>
      </c>
      <c r="J58" s="2697">
        <v>1.5</v>
      </c>
      <c r="K58" s="2697">
        <v>1.5</v>
      </c>
      <c r="L58" s="2708">
        <v>0</v>
      </c>
      <c r="N58" s="2749">
        <f t="shared" si="43"/>
        <v>4.0581121662202721E-2</v>
      </c>
      <c r="O58" s="2750">
        <f t="shared" si="43"/>
        <v>3.1897926634768738E-2</v>
      </c>
      <c r="P58" s="2750">
        <f t="shared" si="44"/>
        <v>6.6733400066733395E-2</v>
      </c>
      <c r="Q58" s="2750">
        <f t="shared" si="44"/>
        <v>0</v>
      </c>
      <c r="R58" s="2703"/>
      <c r="S58" s="2701"/>
      <c r="T58" s="2702"/>
      <c r="U58" s="2702"/>
      <c r="V58" s="2702"/>
      <c r="X58" s="2751"/>
      <c r="Y58" s="2751"/>
      <c r="Z58" s="2751"/>
    </row>
    <row r="59" spans="1:26" s="2742" customFormat="1" ht="13.5" thickBot="1">
      <c r="A59" s="2691" t="s">
        <v>2638</v>
      </c>
      <c r="B59" s="2739">
        <f t="shared" si="45"/>
        <v>112.48648648648648</v>
      </c>
      <c r="C59" s="2739">
        <f t="shared" si="45"/>
        <v>115.21212121212122</v>
      </c>
      <c r="D59" s="2739">
        <f t="shared" si="11"/>
        <v>115.21212121212122</v>
      </c>
      <c r="E59" s="2739">
        <f t="shared" si="46"/>
        <v>110.4024024024024</v>
      </c>
      <c r="F59" s="2739">
        <f t="shared" si="46"/>
        <v>104</v>
      </c>
      <c r="G59" s="3418">
        <v>2004</v>
      </c>
      <c r="H59" s="2740">
        <v>1</v>
      </c>
      <c r="I59" s="2740">
        <v>0.33</v>
      </c>
      <c r="J59" s="2740">
        <v>0.5</v>
      </c>
      <c r="K59" s="2740">
        <v>0.5</v>
      </c>
      <c r="L59" s="2741">
        <v>0</v>
      </c>
      <c r="N59" s="2754">
        <f t="shared" si="43"/>
        <v>1.3391770148526898E-2</v>
      </c>
      <c r="O59" s="2755">
        <f t="shared" si="43"/>
        <v>1.063264221158958E-2</v>
      </c>
      <c r="P59" s="2755">
        <f t="shared" si="44"/>
        <v>2.2244466688911134E-2</v>
      </c>
      <c r="Q59" s="2755">
        <f t="shared" si="44"/>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2639</v>
      </c>
      <c r="B60" s="2757">
        <v>111</v>
      </c>
      <c r="C60" s="2757">
        <v>114</v>
      </c>
      <c r="D60" s="2757">
        <f t="shared" si="11"/>
        <v>114</v>
      </c>
      <c r="E60" s="2757">
        <v>108</v>
      </c>
      <c r="F60" s="2758">
        <v>104</v>
      </c>
      <c r="G60" s="3416">
        <v>2003</v>
      </c>
      <c r="H60" s="2747">
        <v>4</v>
      </c>
      <c r="I60" s="2759"/>
      <c r="J60" s="2759"/>
      <c r="K60" s="2759"/>
      <c r="L60" s="2759"/>
      <c r="N60" s="2760"/>
      <c r="O60" s="2759"/>
      <c r="P60" s="2759"/>
      <c r="Q60" s="2759"/>
      <c r="S60" s="2760"/>
      <c r="T60" s="2759"/>
      <c r="U60" s="2759"/>
      <c r="V60" s="2759"/>
      <c r="X60" s="2751"/>
      <c r="Y60" s="2751"/>
      <c r="Z60" s="2751"/>
    </row>
    <row r="61" spans="1:26">
      <c r="A61" s="2691" t="s">
        <v>2640</v>
      </c>
      <c r="B61" s="2761">
        <f t="shared" ref="B61:C63" si="47">B62+(B$60-B$64)/4</f>
        <v>109.75</v>
      </c>
      <c r="C61" s="2761">
        <f t="shared" si="47"/>
        <v>112.25</v>
      </c>
      <c r="D61" s="2761">
        <f t="shared" si="11"/>
        <v>112.25</v>
      </c>
      <c r="E61" s="2761">
        <f t="shared" ref="E61:F63" si="48">E62+(E$60-E$64)/4</f>
        <v>107.25</v>
      </c>
      <c r="F61" s="2761">
        <f t="shared" si="48"/>
        <v>103.5</v>
      </c>
      <c r="G61" s="3417">
        <v>2003</v>
      </c>
      <c r="H61" s="2717">
        <v>3</v>
      </c>
      <c r="I61" s="2759"/>
      <c r="J61" s="2759"/>
      <c r="K61" s="2759"/>
      <c r="L61" s="2759"/>
      <c r="X61" s="2751"/>
      <c r="Y61" s="2751"/>
      <c r="Z61" s="2751"/>
    </row>
    <row r="62" spans="1:26">
      <c r="A62" s="2691" t="s">
        <v>2641</v>
      </c>
      <c r="B62" s="2761">
        <f t="shared" si="47"/>
        <v>108.5</v>
      </c>
      <c r="C62" s="2761">
        <f t="shared" si="47"/>
        <v>110.5</v>
      </c>
      <c r="D62" s="2761">
        <f t="shared" si="11"/>
        <v>110.5</v>
      </c>
      <c r="E62" s="2761">
        <f t="shared" si="48"/>
        <v>106.5</v>
      </c>
      <c r="F62" s="2761">
        <f t="shared" si="48"/>
        <v>103</v>
      </c>
      <c r="G62" s="3417">
        <v>2003</v>
      </c>
      <c r="H62" s="2697">
        <v>2</v>
      </c>
      <c r="I62" s="2759"/>
      <c r="J62" s="2759"/>
      <c r="K62" s="2759"/>
      <c r="L62" s="2759"/>
      <c r="X62" s="2751"/>
      <c r="Y62" s="2751"/>
      <c r="Z62" s="2751"/>
    </row>
    <row r="63" spans="1:26" ht="13.5" thickBot="1">
      <c r="A63" s="2691" t="s">
        <v>2642</v>
      </c>
      <c r="B63" s="2761">
        <f t="shared" si="47"/>
        <v>107.25</v>
      </c>
      <c r="C63" s="2761">
        <f t="shared" si="47"/>
        <v>108.75</v>
      </c>
      <c r="D63" s="2761">
        <f t="shared" si="11"/>
        <v>108.75</v>
      </c>
      <c r="E63" s="2761">
        <f t="shared" si="48"/>
        <v>105.75</v>
      </c>
      <c r="F63" s="2761">
        <f t="shared" si="48"/>
        <v>102.5</v>
      </c>
      <c r="G63" s="3418">
        <v>2003</v>
      </c>
      <c r="H63" s="2762">
        <v>1</v>
      </c>
      <c r="I63" s="2759"/>
      <c r="J63" s="2759"/>
      <c r="K63" s="2759"/>
      <c r="L63" s="2759"/>
      <c r="S63" s="2701"/>
      <c r="T63" s="2702"/>
      <c r="U63" s="2702"/>
      <c r="X63" s="2751"/>
      <c r="Y63" s="2751"/>
      <c r="Z63" s="2751"/>
    </row>
    <row r="64" spans="1:26" ht="13.5" thickBot="1">
      <c r="A64" s="2691" t="s">
        <v>2643</v>
      </c>
      <c r="B64" s="2763">
        <v>106</v>
      </c>
      <c r="C64" s="2763">
        <v>107</v>
      </c>
      <c r="D64" s="2763">
        <f t="shared" si="11"/>
        <v>107</v>
      </c>
      <c r="E64" s="2763">
        <v>105</v>
      </c>
      <c r="F64" s="2764">
        <v>102</v>
      </c>
      <c r="G64" s="3416">
        <v>2002</v>
      </c>
      <c r="H64" s="2712">
        <v>4</v>
      </c>
      <c r="I64" s="2759"/>
      <c r="J64" s="2759"/>
      <c r="K64" s="2759"/>
      <c r="L64" s="2759"/>
      <c r="N64" s="2760"/>
      <c r="O64" s="2759"/>
      <c r="P64" s="2759"/>
      <c r="Q64" s="2759"/>
      <c r="S64" s="2760"/>
      <c r="T64" s="2759"/>
      <c r="U64" s="2759"/>
      <c r="V64" s="2759"/>
      <c r="X64" s="2751"/>
      <c r="Y64" s="2751"/>
      <c r="Z64" s="2751"/>
    </row>
    <row r="65" spans="1:26">
      <c r="A65" s="2691" t="s">
        <v>2644</v>
      </c>
      <c r="B65" s="2761">
        <f t="shared" ref="B65:C67" si="49">B66+(B$64-B$68)/4</f>
        <v>105</v>
      </c>
      <c r="C65" s="2761">
        <f t="shared" si="49"/>
        <v>106</v>
      </c>
      <c r="D65" s="2761">
        <f t="shared" si="11"/>
        <v>106</v>
      </c>
      <c r="E65" s="2761">
        <f t="shared" ref="E65:F67" si="50">E66+(E$64-E$68)/4</f>
        <v>104.5</v>
      </c>
      <c r="F65" s="2761">
        <f t="shared" si="50"/>
        <v>101.5</v>
      </c>
      <c r="G65" s="3417">
        <v>2002</v>
      </c>
      <c r="H65" s="2717">
        <v>3</v>
      </c>
      <c r="I65" s="2759"/>
      <c r="J65" s="2759"/>
      <c r="K65" s="2759"/>
      <c r="L65" s="2759"/>
      <c r="X65" s="2751"/>
      <c r="Y65" s="2751"/>
      <c r="Z65" s="2751"/>
    </row>
    <row r="66" spans="1:26">
      <c r="A66" s="2691" t="s">
        <v>2645</v>
      </c>
      <c r="B66" s="2761">
        <f t="shared" si="49"/>
        <v>104</v>
      </c>
      <c r="C66" s="2761">
        <f t="shared" si="49"/>
        <v>105</v>
      </c>
      <c r="D66" s="2761">
        <f t="shared" si="11"/>
        <v>105</v>
      </c>
      <c r="E66" s="2761">
        <f t="shared" si="50"/>
        <v>104</v>
      </c>
      <c r="F66" s="2761">
        <f t="shared" si="50"/>
        <v>101</v>
      </c>
      <c r="G66" s="3417">
        <v>2002</v>
      </c>
      <c r="H66" s="2697">
        <v>2</v>
      </c>
      <c r="I66" s="2759"/>
      <c r="J66" s="2759"/>
      <c r="K66" s="2759"/>
      <c r="L66" s="2759"/>
      <c r="X66" s="2751"/>
      <c r="Y66" s="2751"/>
      <c r="Z66" s="2751"/>
    </row>
    <row r="67" spans="1:26" s="2728" customFormat="1" ht="13.5" thickBot="1">
      <c r="A67" s="2724" t="s">
        <v>2646</v>
      </c>
      <c r="B67" s="2765">
        <f t="shared" si="49"/>
        <v>103</v>
      </c>
      <c r="C67" s="2765">
        <f t="shared" si="49"/>
        <v>104</v>
      </c>
      <c r="D67" s="2765">
        <f t="shared" si="11"/>
        <v>104</v>
      </c>
      <c r="E67" s="2765">
        <f t="shared" si="50"/>
        <v>103.5</v>
      </c>
      <c r="F67" s="2765">
        <f t="shared" si="50"/>
        <v>100.5</v>
      </c>
      <c r="G67" s="3418">
        <v>2002</v>
      </c>
      <c r="H67" s="2766">
        <v>1</v>
      </c>
      <c r="I67" s="2767"/>
      <c r="J67" s="2767"/>
      <c r="K67" s="2767"/>
      <c r="L67" s="2767"/>
      <c r="N67" s="2768"/>
      <c r="S67" s="2768"/>
      <c r="X67" s="2769"/>
      <c r="Y67" s="2769"/>
      <c r="Z67" s="2769"/>
    </row>
    <row r="68" spans="1:26" ht="13.5" thickBot="1">
      <c r="B68" s="2770">
        <v>102</v>
      </c>
      <c r="C68" s="2771">
        <v>103</v>
      </c>
      <c r="D68" s="2771">
        <f t="shared" si="11"/>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2647</v>
      </c>
      <c r="G70" s="2775"/>
      <c r="N70" s="2775"/>
      <c r="S70" s="2775"/>
    </row>
    <row r="71" spans="1:26" s="2774" customFormat="1">
      <c r="A71" s="2774" t="s">
        <v>2648</v>
      </c>
      <c r="G71" s="2775"/>
      <c r="N71" s="2775"/>
      <c r="S71" s="2775"/>
    </row>
    <row r="72" spans="1:26" s="2774" customFormat="1">
      <c r="A72" s="2774" t="s">
        <v>2649</v>
      </c>
      <c r="G72" s="2775"/>
      <c r="I72" s="2776"/>
      <c r="J72" s="2776"/>
      <c r="K72" s="2776"/>
      <c r="L72" s="2776"/>
      <c r="N72" s="2777"/>
      <c r="O72" s="2776"/>
      <c r="P72" s="2776"/>
      <c r="Q72" s="2776"/>
      <c r="S72" s="2777"/>
      <c r="T72" s="2776"/>
      <c r="U72" s="2776"/>
      <c r="V72" s="2776"/>
    </row>
    <row r="73" spans="1:26" s="2774" customFormat="1">
      <c r="A73" s="2774" t="s">
        <v>2650</v>
      </c>
      <c r="G73" s="2775"/>
      <c r="N73" s="2775"/>
      <c r="S73" s="2775"/>
    </row>
    <row r="80" spans="1:26" ht="13.5" thickBot="1"/>
    <row r="81" spans="14:22" s="2700" customFormat="1">
      <c r="N81" s="2716"/>
      <c r="S81" s="2778" t="s">
        <v>2651</v>
      </c>
      <c r="T81" s="2779" t="s">
        <v>2652</v>
      </c>
      <c r="U81" s="2779" t="s">
        <v>2653</v>
      </c>
      <c r="V81" s="2779" t="s">
        <v>2654</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M19" sqref="M19"/>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629</v>
      </c>
      <c r="B1" s="741"/>
      <c r="C1" s="776"/>
      <c r="D1" s="2056"/>
      <c r="E1" s="2057"/>
      <c r="F1" s="2057"/>
      <c r="G1" s="777">
        <f>MATCH(C1,'数据-取费表'!A6:A16,0)+5</f>
        <v>7</v>
      </c>
      <c r="H1" s="1353"/>
      <c r="I1" s="2058"/>
      <c r="J1" s="2058"/>
      <c r="K1" s="2059"/>
      <c r="L1" s="2058"/>
      <c r="M1" s="2058"/>
      <c r="N1" s="2060"/>
      <c r="O1" s="2060"/>
      <c r="P1" s="2060"/>
      <c r="Q1" s="2060"/>
      <c r="R1" s="2060"/>
      <c r="S1" s="2060"/>
      <c r="T1" s="2060"/>
      <c r="U1" s="2060"/>
      <c r="V1" s="2060"/>
      <c r="W1" s="2060"/>
      <c r="X1" s="2060"/>
      <c r="Y1" s="2060"/>
    </row>
    <row r="2" spans="1:25" ht="18" customHeight="1">
      <c r="A2" s="1650" t="s">
        <v>630</v>
      </c>
      <c r="B2" s="778">
        <f ca="1">IF(ISERROR(C45+J31),0,C45+J31)</f>
        <v>0</v>
      </c>
      <c r="C2" s="1354"/>
      <c r="D2" s="2062"/>
      <c r="E2" s="2063"/>
      <c r="F2" s="2063"/>
      <c r="G2" s="1596"/>
      <c r="H2" s="1367"/>
      <c r="I2" s="2064"/>
      <c r="J2" s="2064"/>
      <c r="K2" s="2065"/>
      <c r="L2" s="2064"/>
      <c r="M2" s="2064"/>
    </row>
    <row r="3" spans="1:25" ht="18" customHeight="1">
      <c r="A3" s="1651" t="s">
        <v>1689</v>
      </c>
      <c r="B3" s="1396">
        <f ca="1">ROUND(B2*10000/'数据-汇总表'!E3,0)</f>
        <v>0</v>
      </c>
      <c r="C3" s="1354"/>
      <c r="D3" s="2062"/>
      <c r="E3" s="2063"/>
      <c r="F3" s="2063"/>
      <c r="G3" s="1596"/>
      <c r="H3" s="779" t="s">
        <v>697</v>
      </c>
      <c r="I3" s="2064"/>
      <c r="J3" s="2064"/>
      <c r="K3" s="2065"/>
      <c r="L3" s="2064"/>
      <c r="M3" s="2064"/>
    </row>
    <row r="4" spans="1:25" ht="18" customHeight="1">
      <c r="A4" s="1652" t="s">
        <v>698</v>
      </c>
      <c r="B4" s="1355">
        <f ca="1">ROUND(B2*10000/'数据-汇总表'!D3,0)</f>
        <v>0</v>
      </c>
      <c r="C4" s="431"/>
      <c r="D4" s="2062"/>
      <c r="E4" s="2063"/>
      <c r="F4" s="2063"/>
      <c r="G4" s="1596"/>
      <c r="H4" s="779"/>
      <c r="I4" s="2064"/>
      <c r="J4" s="2064"/>
      <c r="K4" s="2065"/>
      <c r="L4" s="2064"/>
      <c r="M4" s="2064"/>
    </row>
    <row r="5" spans="1:25" ht="18" customHeight="1" thickBot="1">
      <c r="A5" s="1653"/>
      <c r="B5" s="433">
        <f ca="1">ROUND(B2/('数据-汇总表'!D3/666.67),0)</f>
        <v>0</v>
      </c>
      <c r="C5" s="434" t="s">
        <v>699</v>
      </c>
      <c r="D5" s="2062"/>
      <c r="E5" s="2063"/>
      <c r="F5" s="2063"/>
      <c r="G5" s="1596"/>
      <c r="H5" s="779"/>
      <c r="I5" s="2064"/>
      <c r="J5" s="2064"/>
      <c r="K5" s="2065"/>
      <c r="L5" s="2064"/>
      <c r="M5" s="2064"/>
    </row>
    <row r="6" spans="1:25" ht="18" customHeight="1">
      <c r="A6" s="1834" t="s">
        <v>700</v>
      </c>
      <c r="B6" s="1826" t="s">
        <v>701</v>
      </c>
      <c r="C6" s="1826" t="s">
        <v>633</v>
      </c>
      <c r="D6" s="1826" t="s">
        <v>634</v>
      </c>
      <c r="E6" s="782" t="s">
        <v>635</v>
      </c>
      <c r="F6" s="783"/>
      <c r="G6" s="1598"/>
      <c r="H6" s="1834" t="s">
        <v>631</v>
      </c>
      <c r="I6" s="1826" t="s">
        <v>632</v>
      </c>
      <c r="J6" s="1826" t="s">
        <v>633</v>
      </c>
      <c r="K6" s="1826" t="s">
        <v>634</v>
      </c>
      <c r="L6" s="782" t="s">
        <v>635</v>
      </c>
      <c r="M6" s="783"/>
    </row>
    <row r="7" spans="1:25" ht="18" customHeight="1">
      <c r="A7" s="784">
        <v>1</v>
      </c>
      <c r="B7" s="785" t="s">
        <v>2471</v>
      </c>
      <c r="C7" s="53">
        <f ca="1">C8+C12+C14</f>
        <v>0</v>
      </c>
      <c r="D7" s="2531" t="s">
        <v>2474</v>
      </c>
      <c r="E7" s="2525"/>
      <c r="F7" s="2526"/>
      <c r="G7" s="1598"/>
      <c r="H7" s="784">
        <v>1</v>
      </c>
      <c r="I7" s="785" t="s">
        <v>2471</v>
      </c>
      <c r="J7" s="53">
        <f ca="1">J8+J12+J14</f>
        <v>0</v>
      </c>
      <c r="K7" s="2531" t="s">
        <v>2474</v>
      </c>
      <c r="L7" s="2525"/>
      <c r="M7" s="2526"/>
    </row>
    <row r="8" spans="1:25" ht="18" customHeight="1">
      <c r="A8" s="1836" t="s">
        <v>1828</v>
      </c>
      <c r="B8" s="3424" t="s">
        <v>2476</v>
      </c>
      <c r="C8" s="1831">
        <f ca="1">ROUND(F8*F10*F9*(1-F11)/10000,0)</f>
        <v>0</v>
      </c>
      <c r="D8" s="1828" t="s">
        <v>2548</v>
      </c>
      <c r="E8" s="61" t="s">
        <v>638</v>
      </c>
      <c r="F8" s="788">
        <f ca="1">INDIRECT("'数据-取费表'!u"&amp;$G$1)</f>
        <v>0</v>
      </c>
      <c r="G8" s="1598"/>
      <c r="H8" s="2539" t="s">
        <v>1828</v>
      </c>
      <c r="I8" s="3424" t="s">
        <v>2476</v>
      </c>
      <c r="J8" s="786">
        <f ca="1">ROUND(M8*M10*M9*(1-M11)/10000,0)</f>
        <v>0</v>
      </c>
      <c r="K8" s="344" t="s">
        <v>2548</v>
      </c>
      <c r="L8" s="787" t="s">
        <v>1741</v>
      </c>
      <c r="M8" s="788">
        <f ca="1">INDIRECT("'数据-取费表'!z"&amp;$G$1)</f>
        <v>0</v>
      </c>
    </row>
    <row r="9" spans="1:25" ht="18" customHeight="1">
      <c r="A9" s="2535"/>
      <c r="B9" s="3425"/>
      <c r="C9" s="1832"/>
      <c r="D9" s="1829"/>
      <c r="E9" s="61" t="s">
        <v>639</v>
      </c>
      <c r="F9" s="788">
        <f ca="1">IF(INDIRECT("'数据-取费表'!ah"&amp;$G$1)="",INDIRECT("'数据-取费表'!k"&amp;$G$1),INDIRECT("'数据-取费表'!ah"&amp;$G$1))</f>
        <v>0</v>
      </c>
      <c r="G9" s="1598"/>
      <c r="H9" s="2524"/>
      <c r="I9" s="3425"/>
      <c r="J9" s="791"/>
      <c r="K9" s="792"/>
      <c r="L9" s="787" t="s">
        <v>1742</v>
      </c>
      <c r="M9" s="788">
        <f ca="1">F9</f>
        <v>0</v>
      </c>
    </row>
    <row r="10" spans="1:25" ht="18" customHeight="1">
      <c r="A10" s="2528"/>
      <c r="B10" s="3426"/>
      <c r="C10" s="1832"/>
      <c r="D10" s="1829"/>
      <c r="E10" s="61" t="s">
        <v>640</v>
      </c>
      <c r="F10" s="788">
        <f ca="1">INDIRECT("'数据-取费表'!ai"&amp;$G$1)</f>
        <v>0</v>
      </c>
      <c r="G10" s="1598"/>
      <c r="H10" s="2524"/>
      <c r="I10" s="3426"/>
      <c r="J10" s="791"/>
      <c r="K10" s="792"/>
      <c r="L10" s="787" t="s">
        <v>1743</v>
      </c>
      <c r="M10" s="788">
        <f ca="1">INDIRECT("'数据-取费表'!ai"&amp;$G$1)</f>
        <v>0</v>
      </c>
    </row>
    <row r="11" spans="1:25" ht="18" customHeight="1">
      <c r="A11" s="789"/>
      <c r="B11" s="3427"/>
      <c r="C11" s="1832"/>
      <c r="D11" s="1829"/>
      <c r="E11" s="61" t="s">
        <v>641</v>
      </c>
      <c r="F11" s="797">
        <f ca="1">INDIRECT("'数据-取费表'!w"&amp;$G$1)</f>
        <v>0</v>
      </c>
      <c r="G11" s="1598"/>
      <c r="H11" s="2540"/>
      <c r="I11" s="3426"/>
      <c r="J11" s="791"/>
      <c r="K11" s="792"/>
      <c r="L11" s="798" t="s">
        <v>1744</v>
      </c>
      <c r="M11" s="799">
        <f ca="1">INDIRECT("'数据-取费表'!ab"&amp;$G$1)</f>
        <v>0</v>
      </c>
    </row>
    <row r="12" spans="1:25" ht="18" customHeight="1">
      <c r="A12" s="1836" t="s">
        <v>1829</v>
      </c>
      <c r="B12" s="2529" t="s">
        <v>2472</v>
      </c>
      <c r="C12" s="802">
        <f ca="1">ROUND(IF(F12="押一",F8*F10*F9/12*F13,IF(F12="押二",F8*F10*F9/12*2*F13,IF(F12="押三",F8*F10*F9/12*3*F13,C13*F13)))/10000,0)</f>
        <v>0</v>
      </c>
      <c r="D12" s="2536" t="s">
        <v>2479</v>
      </c>
      <c r="E12" s="2533" t="s">
        <v>2477</v>
      </c>
      <c r="F12" s="2656"/>
      <c r="G12" s="1598"/>
      <c r="H12" s="2596" t="s">
        <v>1829</v>
      </c>
      <c r="I12" s="2601" t="s">
        <v>2472</v>
      </c>
      <c r="J12" s="786">
        <f ca="1">ROUND(IF(M12="押一",M8*M10*M9/12*M13,IF(M12="押二",M8*M10*M9/12*2*M13,IF(M12="押三",M8*M10*M9/12*3*M13,J13*M13)))/10000,0)</f>
        <v>0</v>
      </c>
      <c r="K12" s="2536" t="s">
        <v>2479</v>
      </c>
      <c r="L12" s="2533" t="s">
        <v>2477</v>
      </c>
      <c r="M12" s="2656"/>
    </row>
    <row r="13" spans="1:25" ht="18" customHeight="1">
      <c r="A13" s="793"/>
      <c r="B13" s="2530" t="s">
        <v>2587</v>
      </c>
      <c r="C13" s="2534"/>
      <c r="D13" s="792"/>
      <c r="E13" s="2533" t="s">
        <v>2469</v>
      </c>
      <c r="F13" s="799">
        <f ca="1">'数据-取费表'!B39</f>
        <v>1.4999999999999999E-2</v>
      </c>
      <c r="G13" s="1598"/>
      <c r="H13" s="2597"/>
      <c r="I13" s="2530" t="s">
        <v>2587</v>
      </c>
      <c r="J13" s="2534"/>
      <c r="K13" s="2598"/>
      <c r="L13" s="2533" t="s">
        <v>2469</v>
      </c>
      <c r="M13" s="2527">
        <f ca="1">'数据-取费表'!B39</f>
        <v>1.4999999999999999E-2</v>
      </c>
    </row>
    <row r="14" spans="1:25" ht="18" customHeight="1" thickBot="1">
      <c r="A14" s="2572" t="s">
        <v>2481</v>
      </c>
      <c r="B14" s="2573" t="s">
        <v>2473</v>
      </c>
      <c r="C14" s="2574"/>
      <c r="D14" s="2575"/>
      <c r="E14" s="2576"/>
      <c r="F14" s="2577"/>
      <c r="G14" s="1598"/>
      <c r="H14" s="2586" t="s">
        <v>2481</v>
      </c>
      <c r="I14" s="2599" t="s">
        <v>2473</v>
      </c>
      <c r="J14" s="2600"/>
      <c r="K14" s="2575"/>
      <c r="L14" s="2576"/>
      <c r="M14" s="2589"/>
    </row>
    <row r="15" spans="1:25" ht="18" customHeight="1" thickTop="1">
      <c r="A15" s="1835" t="s">
        <v>1878</v>
      </c>
      <c r="B15" s="1833" t="s">
        <v>642</v>
      </c>
      <c r="C15" s="795">
        <f ca="1">ROUND(C31*F15,0)</f>
        <v>0</v>
      </c>
      <c r="D15" s="1840" t="s">
        <v>643</v>
      </c>
      <c r="E15" s="798" t="s">
        <v>644</v>
      </c>
      <c r="F15" s="803">
        <f ca="1">INDIRECT("'数据-取费表'!y"&amp;$G$1)</f>
        <v>0</v>
      </c>
      <c r="G15" s="1598"/>
      <c r="H15" s="1835" t="s">
        <v>1830</v>
      </c>
      <c r="I15" s="1833" t="s">
        <v>645</v>
      </c>
      <c r="J15" s="1825">
        <f ca="1">ROUND(J16*J17,0)</f>
        <v>0</v>
      </c>
      <c r="K15" s="1827" t="s">
        <v>643</v>
      </c>
      <c r="L15" s="804"/>
      <c r="M15" s="805"/>
    </row>
    <row r="16" spans="1:25" ht="18" customHeight="1">
      <c r="A16" s="806" t="s">
        <v>1879</v>
      </c>
      <c r="B16" s="787" t="s">
        <v>646</v>
      </c>
      <c r="C16" s="807">
        <f ca="1">INDIRECT("'数据-取费表'!m"&amp;$G$1)+INDIRECT("'数据-取费表'!t"&amp;$G$1)</f>
        <v>0</v>
      </c>
      <c r="D16" s="1985" t="s">
        <v>647</v>
      </c>
      <c r="E16" s="1986"/>
      <c r="F16" s="808"/>
      <c r="G16" s="1598"/>
      <c r="H16" s="806" t="s">
        <v>2079</v>
      </c>
      <c r="I16" s="2241" t="s">
        <v>2841</v>
      </c>
      <c r="J16" s="53">
        <f ca="1">C31</f>
        <v>0</v>
      </c>
      <c r="K16" s="26"/>
      <c r="L16" s="804"/>
      <c r="M16" s="805"/>
    </row>
    <row r="17" spans="1:25" s="2071" customFormat="1" ht="18" customHeight="1">
      <c r="A17" s="806" t="s">
        <v>1853</v>
      </c>
      <c r="B17" s="787" t="s">
        <v>648</v>
      </c>
      <c r="C17" s="53">
        <f ca="1">ROUND(C16*F17,0)</f>
        <v>0</v>
      </c>
      <c r="D17" s="809" t="s">
        <v>649</v>
      </c>
      <c r="E17" s="809" t="s">
        <v>650</v>
      </c>
      <c r="F17" s="810">
        <f>'数据-取费表'!B33</f>
        <v>0.03</v>
      </c>
      <c r="G17" s="1599"/>
      <c r="H17" s="806" t="s">
        <v>2080</v>
      </c>
      <c r="I17" s="787" t="s">
        <v>644</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1854</v>
      </c>
      <c r="B18" s="787" t="s">
        <v>651</v>
      </c>
      <c r="C18" s="53">
        <f ca="1">ROUND(INDIRECT("'数据-取费表'!m"&amp;$G$1)*F18,0)</f>
        <v>0</v>
      </c>
      <c r="D18" s="787" t="s">
        <v>649</v>
      </c>
      <c r="E18" s="787" t="s">
        <v>650</v>
      </c>
      <c r="F18" s="812">
        <f ca="1">IF(INDIRECT("'数据-取费表'!c"&amp;$G$1)="住宅",'数据-取费表'!B34,0)</f>
        <v>0</v>
      </c>
      <c r="G18" s="1598"/>
      <c r="H18" s="800" t="s">
        <v>1831</v>
      </c>
      <c r="I18" s="801" t="s">
        <v>652</v>
      </c>
      <c r="J18" s="802">
        <f ca="1">ROUND(J19+J24+J25+J26,0)</f>
        <v>0</v>
      </c>
      <c r="K18" s="26" t="s">
        <v>653</v>
      </c>
      <c r="L18" s="1988"/>
      <c r="M18" s="56"/>
    </row>
    <row r="19" spans="1:25" s="2071" customFormat="1" ht="18" customHeight="1">
      <c r="A19" s="806" t="s">
        <v>1855</v>
      </c>
      <c r="B19" s="787" t="s">
        <v>654</v>
      </c>
      <c r="C19" s="53">
        <f ca="1">ROUND(F19*(INDIRECT("'数据-取费表'!k"&amp;$G$1)+INDIRECT("'数据-取费表'!S"&amp;$G$1))/10000,0)</f>
        <v>0</v>
      </c>
      <c r="D19" s="787" t="s">
        <v>655</v>
      </c>
      <c r="E19" s="787" t="s">
        <v>656</v>
      </c>
      <c r="F19" s="56">
        <f>'数据-取费表'!B35</f>
        <v>180</v>
      </c>
      <c r="G19" s="1599"/>
      <c r="H19" s="806" t="s">
        <v>2079</v>
      </c>
      <c r="I19" s="787" t="s">
        <v>657</v>
      </c>
      <c r="J19" s="53">
        <f ca="1">ROUND(IF(项目基本情况!B11="自然人",J7*M19,J20+J21+J22),0)</f>
        <v>0</v>
      </c>
      <c r="K19" s="1985" t="s">
        <v>658</v>
      </c>
      <c r="L19" s="1983" t="s">
        <v>659</v>
      </c>
      <c r="M19" s="813" t="str">
        <f ca="1">IF(项目基本情况!B11="企业","",IF(INDIRECT("'数据-取费表'!c"&amp;$G$1)="住宅",5%,IF(M8*M9*M10/12/(1+'数据-取费表'!C42)&gt;20000,12%,7%)))</f>
        <v/>
      </c>
      <c r="N19" s="2070"/>
      <c r="O19" s="2070"/>
      <c r="P19" s="2070"/>
      <c r="Q19" s="2070"/>
      <c r="R19" s="2070"/>
      <c r="S19" s="2070"/>
      <c r="T19" s="2070"/>
      <c r="U19" s="2070"/>
      <c r="V19" s="2070"/>
      <c r="W19" s="2070"/>
      <c r="X19" s="2070"/>
      <c r="Y19" s="2070"/>
    </row>
    <row r="20" spans="1:25" s="2071" customFormat="1" ht="18" customHeight="1">
      <c r="A20" s="806" t="s">
        <v>1856</v>
      </c>
      <c r="B20" s="787" t="s">
        <v>660</v>
      </c>
      <c r="C20" s="53">
        <f ca="1">ROUND(C16*F20,0)</f>
        <v>0</v>
      </c>
      <c r="D20" s="787" t="s">
        <v>649</v>
      </c>
      <c r="E20" s="787" t="s">
        <v>650</v>
      </c>
      <c r="F20" s="812">
        <f>'数据-取费表'!B36</f>
        <v>1.4999999999999999E-2</v>
      </c>
      <c r="G20" s="1599"/>
      <c r="H20" s="806" t="s">
        <v>1835</v>
      </c>
      <c r="I20" s="787" t="s">
        <v>661</v>
      </c>
      <c r="J20" s="53">
        <f ca="1">ROUND(J7*M20/1.05,1)</f>
        <v>0</v>
      </c>
      <c r="K20" s="1983" t="s">
        <v>662</v>
      </c>
      <c r="L20" s="787" t="s">
        <v>650</v>
      </c>
      <c r="M20" s="812">
        <f>'数据-取费表'!B41</f>
        <v>5.6000000000000001E-2</v>
      </c>
      <c r="N20" s="2070"/>
      <c r="O20" s="2070"/>
      <c r="P20" s="2070"/>
      <c r="Q20" s="2070"/>
      <c r="R20" s="2070"/>
      <c r="S20" s="2070"/>
      <c r="T20" s="2070"/>
      <c r="U20" s="2070"/>
      <c r="V20" s="2070"/>
      <c r="W20" s="2070"/>
      <c r="X20" s="2070"/>
      <c r="Y20" s="2070"/>
    </row>
    <row r="21" spans="1:25" ht="18" customHeight="1">
      <c r="A21" s="806" t="s">
        <v>1880</v>
      </c>
      <c r="B21" s="787" t="s">
        <v>663</v>
      </c>
      <c r="C21" s="53">
        <f ca="1">SUM(C16:C20)</f>
        <v>0</v>
      </c>
      <c r="D21" s="261" t="s">
        <v>664</v>
      </c>
      <c r="E21" s="1988"/>
      <c r="F21" s="56"/>
      <c r="G21" s="1598"/>
      <c r="H21" s="1836" t="s">
        <v>1853</v>
      </c>
      <c r="I21" s="787" t="s">
        <v>665</v>
      </c>
      <c r="J21" s="53">
        <f ca="1">IF(K21="按租金收入计税",ROUND(J7*M21,1),ROUND(C31*F35*0.7,1))</f>
        <v>0</v>
      </c>
      <c r="K21" s="814" t="s">
        <v>666</v>
      </c>
      <c r="L21" s="787" t="s">
        <v>650</v>
      </c>
      <c r="M21" s="812">
        <f>IF(K21="按租金收入计税",'数据-取费表'!B51,'数据-取费表'!B50)</f>
        <v>1.2E-2</v>
      </c>
    </row>
    <row r="22" spans="1:25" s="2071" customFormat="1" ht="18" customHeight="1">
      <c r="A22" s="806" t="s">
        <v>1881</v>
      </c>
      <c r="B22" s="787" t="s">
        <v>667</v>
      </c>
      <c r="C22" s="53">
        <f ca="1">ROUND(C21*F22,0)</f>
        <v>0</v>
      </c>
      <c r="D22" s="815" t="s">
        <v>668</v>
      </c>
      <c r="E22" s="787" t="s">
        <v>650</v>
      </c>
      <c r="F22" s="812">
        <f>'数据-取费表'!B37</f>
        <v>0.02</v>
      </c>
      <c r="G22" s="1599"/>
      <c r="H22" s="1838" t="s">
        <v>1854</v>
      </c>
      <c r="I22" s="1828" t="s">
        <v>669</v>
      </c>
      <c r="J22" s="54">
        <f ca="1">ROUND(M22*M23/10000,0)</f>
        <v>0</v>
      </c>
      <c r="K22" s="817" t="s">
        <v>670</v>
      </c>
      <c r="L22" s="787" t="s">
        <v>671</v>
      </c>
      <c r="M22" s="643">
        <f>'数据-取费表'!B52</f>
        <v>18</v>
      </c>
      <c r="N22" s="2070"/>
      <c r="O22" s="2070"/>
      <c r="P22" s="2070"/>
      <c r="Q22" s="2070"/>
      <c r="R22" s="2070"/>
      <c r="S22" s="2070"/>
      <c r="T22" s="2070"/>
      <c r="U22" s="2070"/>
      <c r="V22" s="2070"/>
      <c r="W22" s="2070"/>
      <c r="X22" s="2070"/>
      <c r="Y22" s="2070"/>
    </row>
    <row r="23" spans="1:25" s="2071" customFormat="1" ht="18" customHeight="1">
      <c r="A23" s="806" t="s">
        <v>1882</v>
      </c>
      <c r="B23" s="787" t="s">
        <v>672</v>
      </c>
      <c r="C23" s="53" t="s">
        <v>1</v>
      </c>
      <c r="D23" s="815" t="s">
        <v>673</v>
      </c>
      <c r="E23" s="787" t="s">
        <v>674</v>
      </c>
      <c r="F23" s="812">
        <f>'数据-取费表'!B38</f>
        <v>0.02</v>
      </c>
      <c r="G23" s="1599"/>
      <c r="H23" s="1839"/>
      <c r="I23" s="1830"/>
      <c r="J23" s="69"/>
      <c r="K23" s="819"/>
      <c r="L23" s="787" t="s">
        <v>675</v>
      </c>
      <c r="M23" s="788">
        <f ca="1">INDIRECT("'数据-取费表'!r"&amp;$G$1)</f>
        <v>0</v>
      </c>
      <c r="N23" s="2070"/>
      <c r="O23" s="2070"/>
      <c r="P23" s="2070"/>
      <c r="Q23" s="2070"/>
      <c r="R23" s="2070"/>
      <c r="S23" s="2070"/>
      <c r="T23" s="2070"/>
      <c r="U23" s="2070"/>
      <c r="V23" s="2070"/>
      <c r="W23" s="2070"/>
      <c r="X23" s="2070"/>
      <c r="Y23" s="2070"/>
    </row>
    <row r="24" spans="1:25" ht="18" customHeight="1">
      <c r="A24" s="806" t="s">
        <v>1883</v>
      </c>
      <c r="B24" s="787" t="s">
        <v>676</v>
      </c>
      <c r="C24" s="53"/>
      <c r="D24" s="2607" t="str">
        <f>IF(F25&lt;=1,"单利计息。","复利计息。")&amp;"建造成本、管理费用、销售费用产生的利息。"</f>
        <v>复利计息。建造成本、管理费用、销售费用产生的利息。</v>
      </c>
      <c r="E24" s="1988"/>
      <c r="F24" s="56"/>
      <c r="G24" s="1598"/>
      <c r="H24" s="1837" t="s">
        <v>2080</v>
      </c>
      <c r="I24" s="787" t="s">
        <v>677</v>
      </c>
      <c r="J24" s="53">
        <f ca="1">ROUND(J16*M24,0)</f>
        <v>0</v>
      </c>
      <c r="K24" s="1983" t="s">
        <v>678</v>
      </c>
      <c r="L24" s="787" t="s">
        <v>650</v>
      </c>
      <c r="M24" s="820">
        <f ca="1">INDIRECT("'数据-取费表'!Ak"&amp;$G$1)</f>
        <v>0</v>
      </c>
    </row>
    <row r="25" spans="1:25" s="2071" customFormat="1" ht="18" customHeight="1">
      <c r="A25" s="806" t="s">
        <v>1879</v>
      </c>
      <c r="B25" s="787" t="s">
        <v>2449</v>
      </c>
      <c r="C25" s="53">
        <f ca="1">ROUND(IF('数据-取费表'!B22&lt;=1,(C21+C22)*F26*F25/2,(C21+C22)*(POWER((1+F26),F25/2)-1)),0)</f>
        <v>0</v>
      </c>
      <c r="D25" s="2606" t="str">
        <f>IF(F25&lt;=1,"(建造成本+管理费用)×利率×(建设周期÷2)","(建造成本+管理费用)×((1+利率)^(建设周期÷2)-1)")</f>
        <v>(建造成本+管理费用)×((1+利率)^(建设周期÷2)-1)</v>
      </c>
      <c r="E25" s="787" t="s">
        <v>679</v>
      </c>
      <c r="F25" s="643">
        <f>'数据-取费表'!B20</f>
        <v>2.5</v>
      </c>
      <c r="G25" s="1599"/>
      <c r="H25" s="806" t="s">
        <v>1882</v>
      </c>
      <c r="I25" s="787" t="s">
        <v>680</v>
      </c>
      <c r="J25" s="53">
        <f ca="1">ROUND(J15*M25,0)</f>
        <v>0</v>
      </c>
      <c r="K25" s="1983" t="s">
        <v>681</v>
      </c>
      <c r="L25" s="787" t="s">
        <v>650</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1853</v>
      </c>
      <c r="B26" s="787" t="s">
        <v>682</v>
      </c>
      <c r="C26" s="53">
        <f ca="1">ROUND(IF('数据-取费表'!B22&lt;=1,F23*F26*F25/2,F23*(POWER((1+F26),F25/2)-1)),4)</f>
        <v>1.1999999999999999E-3</v>
      </c>
      <c r="D26" s="2606" t="str">
        <f>IF(F25&lt;=1,"销售费用×利率×(建设周期÷2)","销售费用×((1+利率)^(建设周期÷2)-1)")</f>
        <v>销售费用×((1+利率)^(建设周期÷2)-1)</v>
      </c>
      <c r="E26" s="787" t="s">
        <v>683</v>
      </c>
      <c r="F26" s="822">
        <f ca="1">'数据-取费表'!B40</f>
        <v>4.7500000000000001E-2</v>
      </c>
      <c r="G26" s="1599"/>
      <c r="H26" s="806" t="s">
        <v>1883</v>
      </c>
      <c r="I26" s="787" t="s">
        <v>667</v>
      </c>
      <c r="J26" s="53">
        <f ca="1">ROUND(J7*M26,0)</f>
        <v>0</v>
      </c>
      <c r="K26" s="1983" t="s">
        <v>684</v>
      </c>
      <c r="L26" s="787" t="s">
        <v>650</v>
      </c>
      <c r="M26" s="797">
        <f ca="1">INDIRECT("'数据-取费表'!Am"&amp;$G$1)</f>
        <v>0</v>
      </c>
      <c r="N26" s="2070"/>
      <c r="O26" s="2070"/>
      <c r="P26" s="2070"/>
      <c r="Q26" s="2070"/>
      <c r="R26" s="2070"/>
      <c r="S26" s="2070"/>
      <c r="T26" s="2070"/>
      <c r="U26" s="2070"/>
      <c r="V26" s="2070"/>
      <c r="W26" s="2070"/>
      <c r="X26" s="2070"/>
      <c r="Y26" s="2070"/>
    </row>
    <row r="27" spans="1:25" ht="18" customHeight="1">
      <c r="A27" s="806" t="s">
        <v>1885</v>
      </c>
      <c r="B27" s="787" t="s">
        <v>685</v>
      </c>
      <c r="C27" s="53"/>
      <c r="D27" s="261" t="s">
        <v>686</v>
      </c>
      <c r="E27" s="1988"/>
      <c r="F27" s="56"/>
      <c r="G27" s="1598"/>
      <c r="H27" s="800" t="s">
        <v>1832</v>
      </c>
      <c r="I27" s="3050" t="s">
        <v>2838</v>
      </c>
      <c r="J27" s="802">
        <f ca="1">J7-J18</f>
        <v>0</v>
      </c>
      <c r="K27" s="1985" t="s">
        <v>702</v>
      </c>
      <c r="L27" s="1987"/>
      <c r="M27" s="823"/>
    </row>
    <row r="28" spans="1:25" ht="18" customHeight="1">
      <c r="A28" s="806" t="s">
        <v>1879</v>
      </c>
      <c r="B28" s="787" t="s">
        <v>2450</v>
      </c>
      <c r="C28" s="53">
        <f ca="1">ROUND((C21+C22)*F28,0)</f>
        <v>0</v>
      </c>
      <c r="D28" s="815" t="s">
        <v>703</v>
      </c>
      <c r="E28" s="798" t="s">
        <v>704</v>
      </c>
      <c r="F28" s="797">
        <f ca="1">INDIRECT("'数据-取费表'!q"&amp;$G$1)</f>
        <v>0</v>
      </c>
      <c r="G28" s="1598"/>
      <c r="H28" s="784" t="s">
        <v>1841</v>
      </c>
      <c r="I28" s="785" t="s">
        <v>705</v>
      </c>
      <c r="J28" s="786">
        <f ca="1">IF(J7&lt;&gt;0,ROUND(J27*(1-((1+M30)/(1+M28))^M29)/(M28-M30),0),0)</f>
        <v>0</v>
      </c>
      <c r="K28" s="817" t="s">
        <v>706</v>
      </c>
      <c r="L28" s="787" t="s">
        <v>707</v>
      </c>
      <c r="M28" s="797">
        <f ca="1">INDIRECT("'数据-取费表'!I"&amp;$G$1)</f>
        <v>0</v>
      </c>
    </row>
    <row r="29" spans="1:25" ht="18" customHeight="1">
      <c r="A29" s="806" t="s">
        <v>1853</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1" customFormat="1" ht="18" customHeight="1">
      <c r="A30" s="806" t="s">
        <v>1886</v>
      </c>
      <c r="B30" s="787" t="s">
        <v>688</v>
      </c>
      <c r="C30" s="53">
        <f>ROUND(F30/(1+'数据-取费表'!C42),4)</f>
        <v>5.33E-2</v>
      </c>
      <c r="D30" s="815" t="s">
        <v>711</v>
      </c>
      <c r="E30" s="787" t="s">
        <v>650</v>
      </c>
      <c r="F30" s="812">
        <f>'数据-取费表'!B41</f>
        <v>5.6000000000000001E-2</v>
      </c>
      <c r="G30" s="1599"/>
      <c r="H30" s="793"/>
      <c r="I30" s="794"/>
      <c r="J30" s="795"/>
      <c r="K30" s="819"/>
      <c r="L30" s="787" t="s">
        <v>712</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1887</v>
      </c>
      <c r="B31" s="2576" t="s">
        <v>2839</v>
      </c>
      <c r="C31" s="2579">
        <f ca="1">ROUND((C21+C22+C25+C28)/(1-F23-C26-C29-C30),0)</f>
        <v>0</v>
      </c>
      <c r="D31" s="2580"/>
      <c r="E31" s="2581"/>
      <c r="F31" s="2582"/>
      <c r="G31" s="1599"/>
      <c r="H31" s="826" t="s">
        <v>1876</v>
      </c>
      <c r="I31" s="3051" t="s">
        <v>2840</v>
      </c>
      <c r="J31" s="828">
        <f ca="1">ROUND(J28/(1+F45)^F46,0)</f>
        <v>0</v>
      </c>
      <c r="K31" s="829" t="s">
        <v>689</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690</v>
      </c>
      <c r="C32" s="795">
        <f ca="1">ROUND(C33+C38+C39+C40,0)</f>
        <v>0</v>
      </c>
      <c r="D32" s="1827" t="s">
        <v>653</v>
      </c>
      <c r="E32" s="2522"/>
      <c r="F32" s="2526"/>
      <c r="G32" s="2069"/>
      <c r="H32" s="2072"/>
      <c r="I32" s="2073"/>
      <c r="J32" s="2074"/>
      <c r="K32" s="2075"/>
      <c r="L32" s="2076"/>
      <c r="M32" s="2077"/>
    </row>
    <row r="33" spans="1:13" ht="18" customHeight="1">
      <c r="A33" s="806" t="s">
        <v>1880</v>
      </c>
      <c r="B33" s="787" t="s">
        <v>657</v>
      </c>
      <c r="C33" s="53">
        <f ca="1">ROUND(IF(项目基本情况!B11="自然人",C7*F33,C34+C35+C36),1)</f>
        <v>0</v>
      </c>
      <c r="D33" s="1985" t="s">
        <v>658</v>
      </c>
      <c r="E33" s="1983" t="s">
        <v>691</v>
      </c>
      <c r="F33" s="813" t="str">
        <f ca="1">IF(项目基本情况!B11="企业","",IF(INDIRECT("'数据-取费表'!c"&amp;$G$1)="住宅",5%,IF(F8*F9*F10/12/(1+'数据-取费表'!C42)&gt;20000,12%,7%)))</f>
        <v/>
      </c>
      <c r="G33" s="2069"/>
      <c r="H33" s="2072"/>
      <c r="I33" s="2073"/>
      <c r="J33" s="2074"/>
      <c r="K33" s="2075"/>
      <c r="L33" s="2076"/>
      <c r="M33" s="2077"/>
    </row>
    <row r="34" spans="1:13" ht="18" customHeight="1">
      <c r="A34" s="806" t="s">
        <v>1879</v>
      </c>
      <c r="B34" s="787" t="s">
        <v>661</v>
      </c>
      <c r="C34" s="53">
        <f ca="1">ROUND(C7*F34/1.05,1)</f>
        <v>0</v>
      </c>
      <c r="D34" s="1983" t="s">
        <v>662</v>
      </c>
      <c r="E34" s="787" t="s">
        <v>650</v>
      </c>
      <c r="F34" s="812">
        <f>'数据-取费表'!B41</f>
        <v>5.6000000000000001E-2</v>
      </c>
      <c r="G34" s="2069"/>
      <c r="H34" s="2078"/>
      <c r="I34" s="2079"/>
      <c r="J34" s="2080"/>
      <c r="K34" s="2081"/>
      <c r="L34" s="2082"/>
      <c r="M34" s="2083"/>
    </row>
    <row r="35" spans="1:13" ht="18" customHeight="1">
      <c r="A35" s="806" t="s">
        <v>1853</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9"/>
      <c r="H35" s="2084"/>
      <c r="I35" s="2084"/>
      <c r="J35" s="2084"/>
      <c r="K35" s="2085"/>
      <c r="L35" s="2084"/>
      <c r="M35" s="2084"/>
    </row>
    <row r="36" spans="1:13" ht="18" customHeight="1">
      <c r="A36" s="816" t="s">
        <v>1884</v>
      </c>
      <c r="B36" s="344" t="s">
        <v>669</v>
      </c>
      <c r="C36" s="54">
        <f ca="1">ROUND(F36*F37/10000,1)</f>
        <v>0</v>
      </c>
      <c r="D36" s="817" t="s">
        <v>670</v>
      </c>
      <c r="E36" s="787" t="s">
        <v>671</v>
      </c>
      <c r="F36" s="643">
        <f>'数据-取费表'!B52</f>
        <v>18</v>
      </c>
      <c r="G36" s="2069"/>
      <c r="H36" s="2072"/>
      <c r="I36" s="3423"/>
      <c r="J36" s="2086"/>
      <c r="K36" s="2087"/>
      <c r="L36" s="2086"/>
      <c r="M36" s="2086"/>
    </row>
    <row r="37" spans="1:13" ht="18" customHeight="1">
      <c r="A37" s="818"/>
      <c r="B37" s="796"/>
      <c r="C37" s="69"/>
      <c r="D37" s="819"/>
      <c r="E37" s="787" t="s">
        <v>675</v>
      </c>
      <c r="F37" s="788">
        <f ca="1">INDIRECT("'数据-取费表'!r"&amp;$G$1)</f>
        <v>0</v>
      </c>
      <c r="G37" s="2069"/>
      <c r="H37" s="2072"/>
      <c r="I37" s="3423"/>
      <c r="J37" s="2084"/>
      <c r="K37" s="2085"/>
      <c r="L37" s="2084"/>
      <c r="M37" s="2084"/>
    </row>
    <row r="38" spans="1:13" ht="18" customHeight="1">
      <c r="A38" s="806" t="s">
        <v>1881</v>
      </c>
      <c r="B38" s="787" t="s">
        <v>677</v>
      </c>
      <c r="C38" s="53">
        <f ca="1">ROUND(C31*F38,1)</f>
        <v>0</v>
      </c>
      <c r="D38" s="1983" t="s">
        <v>693</v>
      </c>
      <c r="E38" s="787" t="s">
        <v>650</v>
      </c>
      <c r="F38" s="820">
        <f ca="1">INDIRECT("'数据-取费表'!Ak"&amp;$G$1)</f>
        <v>0</v>
      </c>
      <c r="G38" s="2069"/>
      <c r="H38" s="2084"/>
      <c r="I38" s="2088"/>
      <c r="J38" s="1994"/>
      <c r="K38" s="2089"/>
      <c r="L38" s="2084"/>
      <c r="M38" s="2084"/>
    </row>
    <row r="39" spans="1:13" ht="18" customHeight="1">
      <c r="A39" s="806" t="s">
        <v>1882</v>
      </c>
      <c r="B39" s="787" t="s">
        <v>680</v>
      </c>
      <c r="C39" s="53">
        <f ca="1">ROUND(C15*F39,1)</f>
        <v>0</v>
      </c>
      <c r="D39" s="1983" t="s">
        <v>681</v>
      </c>
      <c r="E39" s="787" t="s">
        <v>650</v>
      </c>
      <c r="F39" s="821">
        <f ca="1">INDIRECT("'数据-取费表'!Al"&amp;$G$1)</f>
        <v>0</v>
      </c>
      <c r="G39" s="2069"/>
      <c r="H39" s="2084"/>
      <c r="I39" s="2088"/>
      <c r="J39" s="1994"/>
      <c r="K39" s="2089"/>
      <c r="L39" s="2084"/>
      <c r="M39" s="2084"/>
    </row>
    <row r="40" spans="1:13" ht="18" customHeight="1" thickBot="1">
      <c r="A40" s="2595" t="s">
        <v>1883</v>
      </c>
      <c r="B40" s="2581" t="s">
        <v>667</v>
      </c>
      <c r="C40" s="2579">
        <f ca="1">ROUND(C7*F40,1)</f>
        <v>0</v>
      </c>
      <c r="D40" s="2580" t="s">
        <v>684</v>
      </c>
      <c r="E40" s="2581" t="s">
        <v>650</v>
      </c>
      <c r="F40" s="2577">
        <f ca="1">INDIRECT("'数据-取费表'!Am"&amp;$G$1)</f>
        <v>0</v>
      </c>
      <c r="G40" s="2069"/>
      <c r="H40" s="2084"/>
      <c r="I40" s="2088"/>
      <c r="J40" s="1994"/>
      <c r="K40" s="2090"/>
      <c r="L40" s="2084"/>
      <c r="M40" s="2084"/>
    </row>
    <row r="41" spans="1:13" ht="18" customHeight="1" thickTop="1">
      <c r="A41" s="1835">
        <v>4</v>
      </c>
      <c r="B41" s="1833" t="s">
        <v>694</v>
      </c>
      <c r="C41" s="1356"/>
      <c r="D41" s="1357"/>
      <c r="E41" s="1357"/>
      <c r="F41" s="1358"/>
      <c r="G41" s="2069"/>
      <c r="H41" s="2069"/>
      <c r="I41" s="2069"/>
      <c r="J41" s="2069"/>
      <c r="K41" s="2090"/>
      <c r="L41" s="2069"/>
      <c r="M41" s="2069"/>
    </row>
    <row r="42" spans="1:13" ht="18" customHeight="1">
      <c r="A42" s="806" t="s">
        <v>1880</v>
      </c>
      <c r="B42" s="838" t="s">
        <v>695</v>
      </c>
      <c r="C42" s="832">
        <f ca="1">C7-C32</f>
        <v>0</v>
      </c>
      <c r="D42" s="1985" t="s">
        <v>696</v>
      </c>
      <c r="E42" s="1987"/>
      <c r="F42" s="823"/>
      <c r="G42" s="2069"/>
      <c r="H42" s="2069"/>
      <c r="I42" s="2069"/>
      <c r="J42" s="2069"/>
      <c r="K42" s="2090"/>
      <c r="L42" s="2069"/>
      <c r="M42" s="2069"/>
    </row>
    <row r="43" spans="1:13" ht="18" customHeight="1">
      <c r="A43" s="806" t="s">
        <v>1881</v>
      </c>
      <c r="B43" s="838" t="s">
        <v>713</v>
      </c>
      <c r="C43" s="839">
        <f ca="1">ROUND(C15*F43,0)</f>
        <v>0</v>
      </c>
      <c r="D43" s="1359" t="s">
        <v>714</v>
      </c>
      <c r="E43" s="1359" t="s">
        <v>715</v>
      </c>
      <c r="F43" s="1360">
        <f ca="1">INDIRECT("'数据-取费表'!j"&amp;$G$1)</f>
        <v>0</v>
      </c>
      <c r="G43" s="2069"/>
      <c r="H43" s="2069"/>
      <c r="I43" s="2069"/>
      <c r="J43" s="2069"/>
      <c r="K43" s="2090"/>
      <c r="L43" s="2069"/>
      <c r="M43" s="2069"/>
    </row>
    <row r="44" spans="1:13" ht="18" customHeight="1">
      <c r="A44" s="806" t="s">
        <v>1882</v>
      </c>
      <c r="B44" s="838" t="s">
        <v>716</v>
      </c>
      <c r="C44" s="1361">
        <f ca="1">C42-C43</f>
        <v>0</v>
      </c>
      <c r="D44" s="466" t="s">
        <v>717</v>
      </c>
      <c r="E44" s="467"/>
      <c r="F44" s="468"/>
      <c r="G44" s="2069"/>
      <c r="H44" s="2069"/>
      <c r="I44" s="2069"/>
      <c r="J44" s="2069"/>
      <c r="K44" s="2090"/>
      <c r="L44" s="2069"/>
      <c r="M44" s="2069"/>
    </row>
    <row r="45" spans="1:13" ht="18" customHeight="1">
      <c r="A45" s="806" t="s">
        <v>1883</v>
      </c>
      <c r="B45" s="1359" t="s">
        <v>718</v>
      </c>
      <c r="C45" s="3077">
        <f ca="1">ROUND(-PV(F45,F46,C44,0),0)</f>
        <v>0</v>
      </c>
      <c r="D45" s="1362" t="s">
        <v>719</v>
      </c>
      <c r="E45" s="809" t="s">
        <v>720</v>
      </c>
      <c r="F45" s="833">
        <f ca="1">INDIRECT("'数据-取费表'!h"&amp;$G$1)</f>
        <v>0</v>
      </c>
      <c r="G45" s="2069"/>
      <c r="H45" s="2069"/>
      <c r="I45" s="2069"/>
      <c r="J45" s="2069"/>
      <c r="K45" s="2090"/>
      <c r="L45" s="2069"/>
      <c r="M45" s="2069"/>
    </row>
    <row r="46" spans="1:13" ht="18" customHeight="1" thickBot="1">
      <c r="A46" s="834"/>
      <c r="B46" s="1363"/>
      <c r="C46" s="1364"/>
      <c r="D46" s="1365"/>
      <c r="E46" s="830" t="s">
        <v>710</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22" workbookViewId="0">
      <selection activeCell="D50" sqref="D50"/>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1728</v>
      </c>
      <c r="B1" s="741"/>
      <c r="C1" s="776" t="s">
        <v>3062</v>
      </c>
      <c r="D1" s="2056"/>
      <c r="E1" s="2422" t="s">
        <v>2386</v>
      </c>
      <c r="F1" s="2423">
        <f ca="1">J53</f>
        <v>28.4</v>
      </c>
      <c r="G1" s="777">
        <f>MATCH(C1,'数据-取费表'!A6:A16,0)+5</f>
        <v>6</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1729</v>
      </c>
      <c r="B2" s="778">
        <f ca="1">C40+J29+L46</f>
        <v>0</v>
      </c>
      <c r="C2" s="2064"/>
      <c r="D2" s="2062"/>
      <c r="E2" s="2063"/>
      <c r="F2" s="2063"/>
      <c r="G2" s="1596"/>
      <c r="H2" s="2064"/>
      <c r="I2" s="2064"/>
      <c r="J2" s="2064"/>
      <c r="K2" s="2065"/>
      <c r="L2" s="2064"/>
      <c r="M2" s="2064"/>
    </row>
    <row r="3" spans="1:33" ht="18" customHeight="1" thickBot="1">
      <c r="A3" s="836" t="s">
        <v>1730</v>
      </c>
      <c r="B3" s="837">
        <f ca="1">IF(ISERROR(B2*10000/F43),0,ROUND(B2*10000/F43,0))</f>
        <v>0</v>
      </c>
      <c r="C3" s="2064"/>
      <c r="D3" s="2062"/>
      <c r="E3" s="2063"/>
      <c r="F3" s="2063"/>
      <c r="G3" s="1596"/>
      <c r="H3" s="779" t="s">
        <v>697</v>
      </c>
      <c r="I3" s="1367"/>
      <c r="J3" s="1367"/>
      <c r="K3" s="1597"/>
      <c r="L3" s="1367"/>
      <c r="M3" s="1367"/>
    </row>
    <row r="4" spans="1:33" ht="18" customHeight="1">
      <c r="A4" s="780" t="s">
        <v>1731</v>
      </c>
      <c r="B4" s="781" t="s">
        <v>1732</v>
      </c>
      <c r="C4" s="781" t="s">
        <v>1733</v>
      </c>
      <c r="D4" s="781" t="s">
        <v>634</v>
      </c>
      <c r="E4" s="782" t="s">
        <v>1734</v>
      </c>
      <c r="F4" s="783"/>
      <c r="G4" s="1598"/>
      <c r="H4" s="780" t="s">
        <v>1735</v>
      </c>
      <c r="I4" s="781" t="s">
        <v>1736</v>
      </c>
      <c r="J4" s="781" t="s">
        <v>1737</v>
      </c>
      <c r="K4" s="781" t="s">
        <v>1738</v>
      </c>
      <c r="L4" s="782" t="s">
        <v>1739</v>
      </c>
      <c r="M4" s="783"/>
    </row>
    <row r="5" spans="1:33" ht="18" customHeight="1">
      <c r="A5" s="784">
        <v>1</v>
      </c>
      <c r="B5" s="785" t="s">
        <v>2471</v>
      </c>
      <c r="C5" s="55">
        <f ca="1">C6+C10+C12</f>
        <v>0</v>
      </c>
      <c r="D5" s="2531" t="s">
        <v>2474</v>
      </c>
      <c r="E5" s="2525"/>
      <c r="F5" s="2526"/>
      <c r="G5" s="1598"/>
      <c r="H5" s="784">
        <v>1</v>
      </c>
      <c r="I5" s="785" t="s">
        <v>2471</v>
      </c>
      <c r="J5" s="55">
        <f ca="1">J6+J10+J12</f>
        <v>0</v>
      </c>
      <c r="K5" s="2531" t="s">
        <v>2474</v>
      </c>
      <c r="L5" s="2525"/>
      <c r="M5" s="2526"/>
    </row>
    <row r="6" spans="1:33" ht="18" customHeight="1">
      <c r="A6" s="1836" t="s">
        <v>1828</v>
      </c>
      <c r="B6" s="3424" t="s">
        <v>2476</v>
      </c>
      <c r="C6" s="786">
        <f ca="1">ROUND(F6*F8*F7*(1-F9)/10000,0)</f>
        <v>0</v>
      </c>
      <c r="D6" s="2532" t="s">
        <v>2475</v>
      </c>
      <c r="E6" s="787" t="s">
        <v>1741</v>
      </c>
      <c r="F6" s="788">
        <f ca="1">INDIRECT("'数据-取费表'!u"&amp;$G$1)</f>
        <v>0</v>
      </c>
      <c r="G6" s="1598"/>
      <c r="H6" s="2539" t="s">
        <v>2482</v>
      </c>
      <c r="I6" s="3424" t="s">
        <v>2476</v>
      </c>
      <c r="J6" s="786">
        <f ca="1">ROUND(M6*M8*M7*(1-M9)/10000,0)</f>
        <v>0</v>
      </c>
      <c r="K6" s="344" t="s">
        <v>1740</v>
      </c>
      <c r="L6" s="787" t="s">
        <v>1741</v>
      </c>
      <c r="M6" s="788">
        <f ca="1">INDIRECT("'数据-取费表'!z"&amp;$G$1)</f>
        <v>0</v>
      </c>
    </row>
    <row r="7" spans="1:33" ht="18" customHeight="1">
      <c r="A7" s="2535"/>
      <c r="B7" s="3425"/>
      <c r="C7" s="791"/>
      <c r="D7" s="792"/>
      <c r="E7" s="787" t="s">
        <v>1742</v>
      </c>
      <c r="F7" s="788">
        <f ca="1">IF(INDIRECT("'数据-取费表'!ah"&amp;$G$1)="",INDIRECT("'数据-取费表'!k"&amp;$G$1),INDIRECT("'数据-取费表'!ah"&amp;$G$1))</f>
        <v>66791.740000000005</v>
      </c>
      <c r="G7" s="1598"/>
      <c r="H7" s="2524"/>
      <c r="I7" s="3425"/>
      <c r="J7" s="791"/>
      <c r="K7" s="792"/>
      <c r="L7" s="787" t="s">
        <v>1742</v>
      </c>
      <c r="M7" s="788">
        <f ca="1">F7</f>
        <v>66791.740000000005</v>
      </c>
    </row>
    <row r="8" spans="1:33" ht="18" customHeight="1">
      <c r="A8" s="2528"/>
      <c r="B8" s="3426"/>
      <c r="C8" s="791"/>
      <c r="D8" s="792"/>
      <c r="E8" s="787" t="s">
        <v>1743</v>
      </c>
      <c r="F8" s="788">
        <f ca="1">INDIRECT("'数据-取费表'!ai"&amp;$G$1)</f>
        <v>365</v>
      </c>
      <c r="G8" s="1598"/>
      <c r="H8" s="2524"/>
      <c r="I8" s="3426"/>
      <c r="J8" s="791"/>
      <c r="K8" s="792"/>
      <c r="L8" s="787" t="s">
        <v>1743</v>
      </c>
      <c r="M8" s="788">
        <f ca="1">INDIRECT("'数据-取费表'!ai"&amp;$G$1)</f>
        <v>365</v>
      </c>
    </row>
    <row r="9" spans="1:33" ht="18" customHeight="1">
      <c r="A9" s="789"/>
      <c r="B9" s="3427"/>
      <c r="C9" s="791"/>
      <c r="D9" s="792"/>
      <c r="E9" s="787" t="s">
        <v>1744</v>
      </c>
      <c r="F9" s="797">
        <f ca="1">INDIRECT("'数据-取费表'!w"&amp;$G$1)</f>
        <v>0</v>
      </c>
      <c r="G9" s="1598"/>
      <c r="H9" s="2540"/>
      <c r="I9" s="3426"/>
      <c r="J9" s="791"/>
      <c r="K9" s="792"/>
      <c r="L9" s="798" t="s">
        <v>1744</v>
      </c>
      <c r="M9" s="799">
        <f ca="1">INDIRECT("'数据-取费表'!ab"&amp;$G$1)</f>
        <v>0</v>
      </c>
    </row>
    <row r="10" spans="1:33" ht="18" customHeight="1">
      <c r="A10" s="1836" t="s">
        <v>2480</v>
      </c>
      <c r="B10" s="2529" t="s">
        <v>2472</v>
      </c>
      <c r="C10" s="802">
        <f ca="1">ROUND(IF(F10="押一",F6*F8*F7/12*F11,IF(F10="押二",F6*F8*F7/12*2*F11,IF(F10="押三",F6*F8*F7/12*3*F11,C11*F11)))/10000,0)</f>
        <v>0</v>
      </c>
      <c r="D10" s="2536" t="s">
        <v>2479</v>
      </c>
      <c r="E10" s="2533" t="s">
        <v>2477</v>
      </c>
      <c r="F10" s="2656" t="s">
        <v>3155</v>
      </c>
      <c r="G10" s="1598"/>
      <c r="H10" s="2596" t="s">
        <v>2483</v>
      </c>
      <c r="I10" s="2601" t="s">
        <v>2472</v>
      </c>
      <c r="J10" s="786">
        <f ca="1">ROUND(IF(M10="押一",M6*M8*M7/12*M11,IF(M10="押二",M6*M8*M7/12*2*M11,IF(M10="押三",M6*M8*M7/12*3*M11,J11*M11)))/10000,0)</f>
        <v>0</v>
      </c>
      <c r="K10" s="2536" t="s">
        <v>2479</v>
      </c>
      <c r="L10" s="2533" t="s">
        <v>2477</v>
      </c>
      <c r="M10" s="2656"/>
    </row>
    <row r="11" spans="1:33" ht="18" customHeight="1">
      <c r="A11" s="793"/>
      <c r="B11" s="2530" t="s">
        <v>2587</v>
      </c>
      <c r="C11" s="2534"/>
      <c r="D11" s="792"/>
      <c r="E11" s="2533" t="s">
        <v>2478</v>
      </c>
      <c r="F11" s="799">
        <f ca="1">'数据-取费表'!B39</f>
        <v>1.4999999999999999E-2</v>
      </c>
      <c r="G11" s="1598"/>
      <c r="H11" s="2597"/>
      <c r="I11" s="2530" t="s">
        <v>2587</v>
      </c>
      <c r="J11" s="2534"/>
      <c r="K11" s="2598"/>
      <c r="L11" s="2533" t="s">
        <v>2478</v>
      </c>
      <c r="M11" s="2527">
        <f ca="1">'数据-取费表'!B39</f>
        <v>1.4999999999999999E-2</v>
      </c>
    </row>
    <row r="12" spans="1:33" ht="18" customHeight="1" thickBot="1">
      <c r="A12" s="2572" t="s">
        <v>2481</v>
      </c>
      <c r="B12" s="2573" t="s">
        <v>2473</v>
      </c>
      <c r="C12" s="2574"/>
      <c r="D12" s="2575"/>
      <c r="E12" s="2576"/>
      <c r="F12" s="2577"/>
      <c r="G12" s="1598"/>
      <c r="H12" s="2586" t="s">
        <v>2484</v>
      </c>
      <c r="I12" s="2599" t="s">
        <v>2473</v>
      </c>
      <c r="J12" s="2600"/>
      <c r="K12" s="2575"/>
      <c r="L12" s="2576"/>
      <c r="M12" s="2589"/>
    </row>
    <row r="13" spans="1:33" ht="18" customHeight="1" thickTop="1">
      <c r="A13" s="1835">
        <v>2</v>
      </c>
      <c r="B13" s="1833" t="s">
        <v>1745</v>
      </c>
      <c r="C13" s="795">
        <f ca="1">ROUND(C29*F13,0)</f>
        <v>57346</v>
      </c>
      <c r="D13" s="1840" t="s">
        <v>2307</v>
      </c>
      <c r="E13" s="1840" t="s">
        <v>1747</v>
      </c>
      <c r="F13" s="2571">
        <f ca="1">INDIRECT("'数据-取费表'!y"&amp;$G$1)</f>
        <v>1</v>
      </c>
      <c r="G13" s="1598"/>
      <c r="H13" s="1835">
        <v>2</v>
      </c>
      <c r="I13" s="1833" t="s">
        <v>1745</v>
      </c>
      <c r="J13" s="1825">
        <f ca="1">ROUND(J14*J15,0)</f>
        <v>0</v>
      </c>
      <c r="K13" s="1827" t="s">
        <v>1746</v>
      </c>
      <c r="L13" s="2587"/>
      <c r="M13" s="2588"/>
    </row>
    <row r="14" spans="1:33" ht="18" customHeight="1">
      <c r="A14" s="1654" t="s">
        <v>1888</v>
      </c>
      <c r="B14" s="787" t="s">
        <v>646</v>
      </c>
      <c r="C14" s="807">
        <f ca="1">INDIRECT("'数据-取费表'!m"&amp;$G$1)+INDIRECT("'数据-取费表'!t"&amp;$G$1)</f>
        <v>35590</v>
      </c>
      <c r="D14" s="1985" t="s">
        <v>1748</v>
      </c>
      <c r="E14" s="1986"/>
      <c r="F14" s="808"/>
      <c r="G14" s="1598"/>
      <c r="H14" s="1655" t="s">
        <v>1834</v>
      </c>
      <c r="I14" s="2241" t="s">
        <v>2842</v>
      </c>
      <c r="J14" s="53">
        <f ca="1">C29</f>
        <v>57346</v>
      </c>
      <c r="K14" s="26"/>
      <c r="L14" s="804"/>
      <c r="M14" s="805"/>
    </row>
    <row r="15" spans="1:33" s="2071" customFormat="1" ht="18" customHeight="1" thickBot="1">
      <c r="A15" s="1654" t="s">
        <v>1889</v>
      </c>
      <c r="B15" s="787" t="s">
        <v>648</v>
      </c>
      <c r="C15" s="53">
        <f ca="1">ROUND(C14*F15,0)</f>
        <v>1068</v>
      </c>
      <c r="D15" s="809" t="s">
        <v>1749</v>
      </c>
      <c r="E15" s="809" t="s">
        <v>1750</v>
      </c>
      <c r="F15" s="810">
        <f>'数据-取费表'!B33</f>
        <v>0.03</v>
      </c>
      <c r="G15" s="1599"/>
      <c r="H15" s="2586" t="s">
        <v>1893</v>
      </c>
      <c r="I15" s="2581" t="s">
        <v>1747</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4" t="s">
        <v>1890</v>
      </c>
      <c r="B16" s="787" t="s">
        <v>651</v>
      </c>
      <c r="C16" s="53">
        <f ca="1">ROUND(INDIRECT("'数据-取费表'!m"&amp;$G$1)*F16,0)</f>
        <v>0</v>
      </c>
      <c r="D16" s="787" t="s">
        <v>1749</v>
      </c>
      <c r="E16" s="787" t="s">
        <v>1750</v>
      </c>
      <c r="F16" s="812">
        <f ca="1">IF(INDIRECT("'数据-取费表'!c"&amp;$G$1)="住宅",'数据-取费表'!B34,0)</f>
        <v>0</v>
      </c>
      <c r="G16" s="1598"/>
      <c r="H16" s="1835" t="s">
        <v>1751</v>
      </c>
      <c r="I16" s="1833" t="s">
        <v>1752</v>
      </c>
      <c r="J16" s="795">
        <f ca="1">ROUND(J17+J22+J23+J24,0)</f>
        <v>1755</v>
      </c>
      <c r="K16" s="1827" t="s">
        <v>1753</v>
      </c>
      <c r="L16" s="2521"/>
      <c r="M16" s="2526"/>
    </row>
    <row r="17" spans="1:33" s="2071" customFormat="1" ht="18" customHeight="1">
      <c r="A17" s="1654" t="s">
        <v>1891</v>
      </c>
      <c r="B17" s="787" t="s">
        <v>654</v>
      </c>
      <c r="C17" s="53">
        <f ca="1">ROUND(F17*(F43+INDIRECT("'数据-取费表'!S"&amp;$G$1))/10000,0)</f>
        <v>2322</v>
      </c>
      <c r="D17" s="787" t="s">
        <v>1754</v>
      </c>
      <c r="E17" s="787" t="s">
        <v>1755</v>
      </c>
      <c r="F17" s="56">
        <f>'数据-取费表'!B35</f>
        <v>180</v>
      </c>
      <c r="G17" s="1599"/>
      <c r="H17" s="1655" t="s">
        <v>1834</v>
      </c>
      <c r="I17" s="787" t="s">
        <v>657</v>
      </c>
      <c r="J17" s="53">
        <f ca="1">ROUND(IF(项目基本情况!B11="自然人",J5*M17,J18+J19+J20),0)</f>
        <v>608</v>
      </c>
      <c r="K17" s="2520" t="s">
        <v>1756</v>
      </c>
      <c r="L17" s="2519" t="s">
        <v>1757</v>
      </c>
      <c r="M17" s="813" t="str">
        <f ca="1">IF(项目基本情况!B11="企业","",IF(INDIRECT("'数据-取费表'!c"&amp;$G$1)="住宅",5%,IF(M6*M7*M8/12/(1+'数据-取费表'!C42)&gt;20000,12%,7%)))</f>
        <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4" t="s">
        <v>1892</v>
      </c>
      <c r="B18" s="787" t="s">
        <v>660</v>
      </c>
      <c r="C18" s="53">
        <f ca="1">ROUND(C14*F18,0)</f>
        <v>534</v>
      </c>
      <c r="D18" s="787" t="s">
        <v>1749</v>
      </c>
      <c r="E18" s="787" t="s">
        <v>1750</v>
      </c>
      <c r="F18" s="812">
        <f>'数据-取费表'!B36</f>
        <v>1.4999999999999999E-2</v>
      </c>
      <c r="G18" s="1599"/>
      <c r="H18" s="1654" t="s">
        <v>1888</v>
      </c>
      <c r="I18" s="787" t="s">
        <v>1758</v>
      </c>
      <c r="J18" s="53">
        <f ca="1">ROUND(J5*M18/1.05,1)</f>
        <v>0</v>
      </c>
      <c r="K18" s="2519" t="s">
        <v>1759</v>
      </c>
      <c r="L18" s="787" t="s">
        <v>1750</v>
      </c>
      <c r="M18" s="812">
        <f>'数据-取费表'!B41</f>
        <v>5.6000000000000001E-2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5" t="s">
        <v>1834</v>
      </c>
      <c r="B19" s="787" t="s">
        <v>663</v>
      </c>
      <c r="C19" s="53">
        <f ca="1">SUM(C14:C18)</f>
        <v>39514</v>
      </c>
      <c r="D19" s="261" t="s">
        <v>1760</v>
      </c>
      <c r="E19" s="1988"/>
      <c r="F19" s="56"/>
      <c r="G19" s="1598"/>
      <c r="H19" s="1654" t="s">
        <v>1889</v>
      </c>
      <c r="I19" s="787" t="s">
        <v>1761</v>
      </c>
      <c r="J19" s="53">
        <f ca="1">IF(K19="按租金收入计税",ROUND(J5*M19,1),ROUND(C29*F33*0.7,1))</f>
        <v>481.7</v>
      </c>
      <c r="K19" s="814" t="s">
        <v>666</v>
      </c>
      <c r="L19" s="787" t="s">
        <v>1750</v>
      </c>
      <c r="M19" s="812">
        <f>IF(K19="按租金收入计税",'数据-取费表'!B51,'数据-取费表'!B50)</f>
        <v>1.2E-2</v>
      </c>
    </row>
    <row r="20" spans="1:33" s="2071" customFormat="1" ht="18" customHeight="1">
      <c r="A20" s="1655" t="s">
        <v>1893</v>
      </c>
      <c r="B20" s="787" t="s">
        <v>667</v>
      </c>
      <c r="C20" s="53">
        <f ca="1">ROUND(C19*F20,0)</f>
        <v>790</v>
      </c>
      <c r="D20" s="815" t="s">
        <v>1762</v>
      </c>
      <c r="E20" s="787" t="s">
        <v>1750</v>
      </c>
      <c r="F20" s="812">
        <f>'数据-取费表'!B37</f>
        <v>0.02</v>
      </c>
      <c r="G20" s="1599"/>
      <c r="H20" s="1657" t="s">
        <v>1884</v>
      </c>
      <c r="I20" s="344" t="s">
        <v>1763</v>
      </c>
      <c r="J20" s="54">
        <f ca="1">ROUND(M20*M21/10000,0)</f>
        <v>126</v>
      </c>
      <c r="K20" s="817" t="s">
        <v>1764</v>
      </c>
      <c r="L20" s="787" t="s">
        <v>1765</v>
      </c>
      <c r="M20" s="643">
        <f>'数据-取费表'!B52</f>
        <v>18</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5" t="s">
        <v>1894</v>
      </c>
      <c r="B21" s="787" t="s">
        <v>1766</v>
      </c>
      <c r="C21" s="53" t="s">
        <v>1767</v>
      </c>
      <c r="D21" s="815" t="s">
        <v>2308</v>
      </c>
      <c r="E21" s="787" t="s">
        <v>1768</v>
      </c>
      <c r="F21" s="812">
        <f>'数据-取费表'!B38</f>
        <v>0.02</v>
      </c>
      <c r="G21" s="1599"/>
      <c r="H21" s="2541"/>
      <c r="I21" s="796"/>
      <c r="J21" s="69"/>
      <c r="K21" s="819"/>
      <c r="L21" s="787" t="s">
        <v>1769</v>
      </c>
      <c r="M21" s="788">
        <f ca="1">INDIRECT("'数据-取费表'!r"&amp;$G$1)</f>
        <v>70250.03</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5" t="s">
        <v>1895</v>
      </c>
      <c r="B22" s="787" t="s">
        <v>1770</v>
      </c>
      <c r="C22" s="53"/>
      <c r="D22" s="2607" t="str">
        <f>IF(F23&lt;=1,"单利计息。","复利计息。")&amp;"建造成本、管理费用、销售费用产生的利息。"</f>
        <v>复利计息。建造成本、管理费用、销售费用产生的利息。</v>
      </c>
      <c r="E22" s="1988"/>
      <c r="F22" s="56"/>
      <c r="G22" s="1598"/>
      <c r="H22" s="1655" t="s">
        <v>1893</v>
      </c>
      <c r="I22" s="787" t="s">
        <v>1771</v>
      </c>
      <c r="J22" s="53">
        <f ca="1">ROUND(J14*M22,0)</f>
        <v>1147</v>
      </c>
      <c r="K22" s="2519" t="s">
        <v>1772</v>
      </c>
      <c r="L22" s="787" t="s">
        <v>1750</v>
      </c>
      <c r="M22" s="820">
        <f ca="1">INDIRECT("'数据-取费表'!Ak"&amp;$G$1)</f>
        <v>0.02</v>
      </c>
    </row>
    <row r="23" spans="1:33" s="2071" customFormat="1" ht="18" customHeight="1">
      <c r="A23" s="1654" t="s">
        <v>1835</v>
      </c>
      <c r="B23" s="787" t="s">
        <v>2549</v>
      </c>
      <c r="C23" s="53">
        <f ca="1">ROUND(IF('数据-取费表'!B22&lt;=1,(C19+C20)*F24*F23/2,(C19+C20)*(POWER((1+F24),F23/2)-1)),0)</f>
        <v>2407</v>
      </c>
      <c r="D23" s="2606" t="str">
        <f>IF(F23&lt;=1,"(建造成本+管理费用)×利率×(建设周期÷2)","(建造成本+管理费用)×((1+利率)^(建设周期÷2)-1)")</f>
        <v>(建造成本+管理费用)×((1+利率)^(建设周期÷2)-1)</v>
      </c>
      <c r="E23" s="787" t="s">
        <v>1773</v>
      </c>
      <c r="F23" s="643">
        <f>'数据-取费表'!B20</f>
        <v>2.5</v>
      </c>
      <c r="G23" s="1599"/>
      <c r="H23" s="1655" t="s">
        <v>1894</v>
      </c>
      <c r="I23" s="787" t="s">
        <v>680</v>
      </c>
      <c r="J23" s="53">
        <f ca="1">ROUND(J13*M23,0)</f>
        <v>0</v>
      </c>
      <c r="K23" s="2519" t="s">
        <v>1774</v>
      </c>
      <c r="L23" s="787" t="s">
        <v>1750</v>
      </c>
      <c r="M23" s="821">
        <f ca="1">INDIRECT("'数据-取费表'!Al"&amp;$G$1)</f>
        <v>2E-3</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4" t="s">
        <v>1836</v>
      </c>
      <c r="B24" s="787" t="s">
        <v>1775</v>
      </c>
      <c r="C24" s="53">
        <f ca="1">ROUND(IF('数据-取费表'!B22&lt;=1,F21*F24*F23/2,F21*(POWER((1+F24),F23/2)-1)),4)</f>
        <v>1.1999999999999999E-3</v>
      </c>
      <c r="D24" s="2606" t="str">
        <f>IF(F23&lt;=1,"销售费用×利率×(建设周期÷2)","销售费用×((1+利率)^(建设周期÷2)-1)")</f>
        <v>销售费用×((1+利率)^(建设周期÷2)-1)</v>
      </c>
      <c r="E24" s="787" t="s">
        <v>1776</v>
      </c>
      <c r="F24" s="822">
        <f ca="1">'数据-取费表'!B40</f>
        <v>4.7500000000000001E-2</v>
      </c>
      <c r="G24" s="1599"/>
      <c r="H24" s="2586" t="s">
        <v>1895</v>
      </c>
      <c r="I24" s="2581" t="s">
        <v>667</v>
      </c>
      <c r="J24" s="2579">
        <f ca="1">ROUND(J5*M24,0)</f>
        <v>0</v>
      </c>
      <c r="K24" s="2580" t="s">
        <v>1777</v>
      </c>
      <c r="L24" s="2581" t="s">
        <v>1750</v>
      </c>
      <c r="M24" s="2577">
        <f ca="1">INDIRECT("'数据-取费表'!Am"&amp;$G$1)</f>
        <v>0.02</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6" t="s">
        <v>1844</v>
      </c>
      <c r="B25" s="787" t="s">
        <v>685</v>
      </c>
      <c r="C25" s="53"/>
      <c r="D25" s="261" t="s">
        <v>1778</v>
      </c>
      <c r="E25" s="1988"/>
      <c r="F25" s="56"/>
      <c r="G25" s="1598"/>
      <c r="H25" s="1835" t="s">
        <v>1779</v>
      </c>
      <c r="I25" s="3049" t="s">
        <v>2838</v>
      </c>
      <c r="J25" s="795">
        <f ca="1">J5-J16</f>
        <v>-1755</v>
      </c>
      <c r="K25" s="2583" t="s">
        <v>1780</v>
      </c>
      <c r="L25" s="2584"/>
      <c r="M25" s="2585"/>
    </row>
    <row r="26" spans="1:33" ht="18" customHeight="1">
      <c r="A26" s="1654" t="s">
        <v>1835</v>
      </c>
      <c r="B26" s="787" t="s">
        <v>2450</v>
      </c>
      <c r="C26" s="53">
        <f ca="1">ROUND((C19+C20)*F26,0)</f>
        <v>10076</v>
      </c>
      <c r="D26" s="815" t="s">
        <v>1781</v>
      </c>
      <c r="E26" s="798" t="s">
        <v>1782</v>
      </c>
      <c r="F26" s="797">
        <f ca="1">INDIRECT("'数据-取费表'!q"&amp;$G$1)</f>
        <v>0.25</v>
      </c>
      <c r="G26" s="1598"/>
      <c r="H26" s="2537" t="s">
        <v>1783</v>
      </c>
      <c r="I26" s="2242" t="s">
        <v>2843</v>
      </c>
      <c r="J26" s="786">
        <f ca="1">IF(J5&lt;&gt;0,ROUND(J25*(1-((1+M28)/(1+M26))^M27)/(M26-M28),0),0)</f>
        <v>0</v>
      </c>
      <c r="K26" s="817" t="s">
        <v>1784</v>
      </c>
      <c r="L26" s="787" t="s">
        <v>2431</v>
      </c>
      <c r="M26" s="797">
        <f ca="1">INDIRECT("'数据-取费表'!I"&amp;$G$1)</f>
        <v>0.06</v>
      </c>
    </row>
    <row r="27" spans="1:33" ht="18" customHeight="1">
      <c r="A27" s="1654" t="s">
        <v>1836</v>
      </c>
      <c r="B27" s="787" t="s">
        <v>687</v>
      </c>
      <c r="C27" s="53">
        <f ca="1">ROUND(F21*F26,4)</f>
        <v>5.0000000000000001E-3</v>
      </c>
      <c r="D27" s="815" t="s">
        <v>1785</v>
      </c>
      <c r="E27" s="809"/>
      <c r="F27" s="810"/>
      <c r="G27" s="1598"/>
      <c r="H27" s="2538"/>
      <c r="I27" s="790"/>
      <c r="J27" s="791"/>
      <c r="K27" s="824" t="s">
        <v>1786</v>
      </c>
      <c r="L27" s="787" t="s">
        <v>1787</v>
      </c>
      <c r="M27" s="825">
        <f ca="1">INDIRECT("'数据-取费表'!ag"&amp;$G$1)</f>
        <v>0</v>
      </c>
    </row>
    <row r="28" spans="1:33" s="2071" customFormat="1" ht="18" customHeight="1">
      <c r="A28" s="1656" t="s">
        <v>1845</v>
      </c>
      <c r="B28" s="787" t="s">
        <v>688</v>
      </c>
      <c r="C28" s="53">
        <f>ROUND(F28/(1+'数据-取费表'!C42),4)</f>
        <v>5.33E-2</v>
      </c>
      <c r="D28" s="815" t="s">
        <v>2309</v>
      </c>
      <c r="E28" s="787" t="s">
        <v>1788</v>
      </c>
      <c r="F28" s="812">
        <f>'数据-取费表'!B41</f>
        <v>5.6000000000000001E-2</v>
      </c>
      <c r="G28" s="1599"/>
      <c r="H28" s="1835"/>
      <c r="I28" s="794"/>
      <c r="J28" s="795"/>
      <c r="K28" s="819"/>
      <c r="L28" s="787" t="s">
        <v>1789</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1896</v>
      </c>
      <c r="B29" s="2576" t="s">
        <v>2310</v>
      </c>
      <c r="C29" s="2579">
        <f ca="1">ROUND((C19+C20+C23+C26)/(1-F21-C24-C27-C28),0)</f>
        <v>57346</v>
      </c>
      <c r="D29" s="2580"/>
      <c r="E29" s="2581"/>
      <c r="F29" s="2582"/>
      <c r="G29" s="1599"/>
      <c r="H29" s="826" t="s">
        <v>1790</v>
      </c>
      <c r="I29" s="827" t="s">
        <v>1791</v>
      </c>
      <c r="J29" s="828">
        <f ca="1">ROUND(J26/(1+F40)^F41,0)</f>
        <v>0</v>
      </c>
      <c r="K29" s="829" t="s">
        <v>1792</v>
      </c>
      <c r="L29" s="830"/>
      <c r="M29" s="831">
        <f ca="1">INDIRECT("'数据-取费表'!k"&amp;$G$1)</f>
        <v>66791.740000000005</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1897</v>
      </c>
      <c r="B30" s="1833" t="s">
        <v>1793</v>
      </c>
      <c r="C30" s="795">
        <f ca="1">ROUND(C31+C36+C37+C38,0)</f>
        <v>1870</v>
      </c>
      <c r="D30" s="1827" t="s">
        <v>1794</v>
      </c>
      <c r="E30" s="2521"/>
      <c r="F30" s="2526"/>
      <c r="G30" s="2069"/>
      <c r="H30" s="2072"/>
      <c r="I30" s="2073"/>
      <c r="J30" s="2074"/>
      <c r="K30" s="2075"/>
      <c r="L30" s="2076"/>
      <c r="M30" s="2077"/>
    </row>
    <row r="31" spans="1:33" ht="18" customHeight="1">
      <c r="A31" s="1655" t="s">
        <v>1834</v>
      </c>
      <c r="B31" s="787" t="s">
        <v>657</v>
      </c>
      <c r="C31" s="53">
        <f ca="1">ROUND(IF(项目基本情况!B11="自然人",C5*F31,C32+C33+C34),1)</f>
        <v>608.20000000000005</v>
      </c>
      <c r="D31" s="1985" t="s">
        <v>1795</v>
      </c>
      <c r="E31" s="1983" t="s">
        <v>1796</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4" t="s">
        <v>1835</v>
      </c>
      <c r="B32" s="787" t="s">
        <v>1797</v>
      </c>
      <c r="C32" s="53">
        <f ca="1">ROUND(C5*F32/1.05,1)</f>
        <v>0</v>
      </c>
      <c r="D32" s="1983" t="s">
        <v>1798</v>
      </c>
      <c r="E32" s="787" t="s">
        <v>1799</v>
      </c>
      <c r="F32" s="812">
        <f>'数据-取费表'!B41</f>
        <v>5.6000000000000001E-2</v>
      </c>
      <c r="G32" s="2069"/>
      <c r="H32" s="2078"/>
      <c r="I32" s="2079"/>
      <c r="J32" s="2080"/>
      <c r="K32" s="2081"/>
      <c r="L32" s="2082"/>
      <c r="M32" s="2083"/>
    </row>
    <row r="33" spans="1:18" ht="18" customHeight="1">
      <c r="A33" s="1654" t="s">
        <v>1836</v>
      </c>
      <c r="B33" s="787" t="s">
        <v>1800</v>
      </c>
      <c r="C33" s="53">
        <f ca="1">IF(D33="按租金收入计税",ROUND(C5*F33,1),IF(D33="按房产原值计税",ROUND(C29*F33*0.7,1),INDIRECT("'数据-取费表'!Aj"&amp;$G$1)))</f>
        <v>481.7</v>
      </c>
      <c r="D33" s="814" t="s">
        <v>1683</v>
      </c>
      <c r="E33" s="787" t="s">
        <v>1799</v>
      </c>
      <c r="F33" s="812">
        <f>IF(D33="按租金收入计税",'数据-取费表'!B51,'数据-取费表'!B50)</f>
        <v>1.2E-2</v>
      </c>
      <c r="G33" s="2069"/>
      <c r="H33" s="2084"/>
      <c r="I33" s="2084"/>
      <c r="J33" s="2084"/>
      <c r="K33" s="2085"/>
      <c r="L33" s="2084"/>
      <c r="M33" s="2084"/>
    </row>
    <row r="34" spans="1:18" ht="18" customHeight="1">
      <c r="A34" s="1657" t="s">
        <v>1837</v>
      </c>
      <c r="B34" s="344" t="s">
        <v>1801</v>
      </c>
      <c r="C34" s="54">
        <f ca="1">ROUND(F34*F35/10000,1)</f>
        <v>126.5</v>
      </c>
      <c r="D34" s="817" t="s">
        <v>1802</v>
      </c>
      <c r="E34" s="787" t="s">
        <v>1803</v>
      </c>
      <c r="F34" s="643">
        <f>'数据-取费表'!B52</f>
        <v>18</v>
      </c>
      <c r="G34" s="2069"/>
      <c r="H34" s="2072"/>
      <c r="I34" s="838" t="s">
        <v>1817</v>
      </c>
      <c r="J34" s="839"/>
      <c r="K34" s="2087"/>
      <c r="L34" s="2086"/>
      <c r="M34" s="2086"/>
    </row>
    <row r="35" spans="1:18" ht="18" customHeight="1">
      <c r="A35" s="818"/>
      <c r="B35" s="796"/>
      <c r="C35" s="69"/>
      <c r="D35" s="819"/>
      <c r="E35" s="787" t="s">
        <v>1804</v>
      </c>
      <c r="F35" s="788">
        <f ca="1">INDIRECT("'数据-取费表'!r"&amp;$G$1)</f>
        <v>70250.03</v>
      </c>
      <c r="G35" s="2069"/>
      <c r="H35" s="2072"/>
      <c r="I35" s="840" t="s">
        <v>1818</v>
      </c>
      <c r="J35" s="841">
        <f ca="1">ROUND(C13*J36,0)</f>
        <v>4588</v>
      </c>
      <c r="K35" s="2085"/>
      <c r="L35" s="2084"/>
      <c r="M35" s="2084"/>
    </row>
    <row r="36" spans="1:18" ht="18" customHeight="1">
      <c r="A36" s="1655" t="s">
        <v>1893</v>
      </c>
      <c r="B36" s="787" t="s">
        <v>1805</v>
      </c>
      <c r="C36" s="53">
        <f ca="1">ROUND(C29*F36,1)</f>
        <v>1146.9000000000001</v>
      </c>
      <c r="D36" s="1983" t="s">
        <v>1806</v>
      </c>
      <c r="E36" s="787" t="s">
        <v>1799</v>
      </c>
      <c r="F36" s="820">
        <f ca="1">INDIRECT("'数据-取费表'!Ak"&amp;$G$1)</f>
        <v>0.02</v>
      </c>
      <c r="G36" s="2069"/>
      <c r="H36" s="2084"/>
      <c r="I36" s="842" t="s">
        <v>1819</v>
      </c>
      <c r="J36" s="843">
        <f ca="1">INDIRECT("'数据-取费表'!j"&amp;$G$1)</f>
        <v>0.08</v>
      </c>
      <c r="K36" s="2089"/>
      <c r="L36" s="2084"/>
      <c r="M36" s="2084"/>
    </row>
    <row r="37" spans="1:18" ht="18" customHeight="1">
      <c r="A37" s="1655" t="s">
        <v>1894</v>
      </c>
      <c r="B37" s="787" t="s">
        <v>680</v>
      </c>
      <c r="C37" s="53">
        <f ca="1">ROUND(C13*F37,1)</f>
        <v>114.7</v>
      </c>
      <c r="D37" s="1983" t="s">
        <v>1807</v>
      </c>
      <c r="E37" s="787" t="s">
        <v>1799</v>
      </c>
      <c r="F37" s="821">
        <f ca="1">INDIRECT("'数据-取费表'!Al"&amp;$G$1)</f>
        <v>2E-3</v>
      </c>
      <c r="G37" s="2069"/>
      <c r="H37" s="2084"/>
      <c r="I37" s="844" t="s">
        <v>1820</v>
      </c>
      <c r="J37" s="845"/>
      <c r="K37" s="2089"/>
      <c r="L37" s="2084"/>
      <c r="M37" s="2084"/>
    </row>
    <row r="38" spans="1:18" ht="18" customHeight="1" thickBot="1">
      <c r="A38" s="2586" t="s">
        <v>1895</v>
      </c>
      <c r="B38" s="2581" t="s">
        <v>667</v>
      </c>
      <c r="C38" s="2579">
        <f ca="1">ROUND(C5*F38,1)</f>
        <v>0</v>
      </c>
      <c r="D38" s="2580" t="s">
        <v>1808</v>
      </c>
      <c r="E38" s="2581" t="s">
        <v>1799</v>
      </c>
      <c r="F38" s="2577">
        <f ca="1">INDIRECT("'数据-取费表'!Am"&amp;$G$1)</f>
        <v>0.02</v>
      </c>
      <c r="G38" s="2069"/>
      <c r="H38" s="2084"/>
      <c r="I38" s="846" t="s">
        <v>1821</v>
      </c>
      <c r="J38" s="847"/>
      <c r="K38" s="2090"/>
      <c r="L38" s="2084"/>
      <c r="M38" s="2084"/>
    </row>
    <row r="39" spans="1:18" ht="24.6" customHeight="1" thickTop="1">
      <c r="A39" s="1835" t="s">
        <v>1898</v>
      </c>
      <c r="B39" s="3049" t="s">
        <v>2838</v>
      </c>
      <c r="C39" s="795">
        <f ca="1">C5-C30</f>
        <v>-1870</v>
      </c>
      <c r="D39" s="2583" t="s">
        <v>1809</v>
      </c>
      <c r="E39" s="2584"/>
      <c r="F39" s="2585"/>
      <c r="G39" s="2069"/>
      <c r="H39" s="2084"/>
      <c r="I39" s="840" t="s">
        <v>1822</v>
      </c>
      <c r="J39" s="848">
        <f ca="1">ROUND(J35/C39,3)</f>
        <v>-2.4529999999999998</v>
      </c>
      <c r="K39" s="2090"/>
      <c r="L39" s="2084"/>
      <c r="M39" s="2084"/>
    </row>
    <row r="40" spans="1:18" ht="18" customHeight="1">
      <c r="A40" s="784" t="s">
        <v>1899</v>
      </c>
      <c r="B40" s="2242" t="s">
        <v>2311</v>
      </c>
      <c r="C40" s="786">
        <f ca="1">ROUND(C39*(1-((1+F42)/(1+F40))^F41)/(F40-F42),0)</f>
        <v>0</v>
      </c>
      <c r="D40" s="817" t="s">
        <v>1810</v>
      </c>
      <c r="E40" s="787" t="s">
        <v>2431</v>
      </c>
      <c r="F40" s="797">
        <f ca="1">INDIRECT("'数据-取费表'!I"&amp;$G$1)</f>
        <v>0.06</v>
      </c>
      <c r="G40" s="2069"/>
      <c r="H40" s="2069"/>
      <c r="I40" s="840" t="s">
        <v>1823</v>
      </c>
      <c r="J40" s="848">
        <f ca="1">1-J39</f>
        <v>3.4529999999999998</v>
      </c>
      <c r="K40" s="2090"/>
      <c r="L40" s="2069"/>
      <c r="M40" s="2069"/>
    </row>
    <row r="41" spans="1:18" ht="18" customHeight="1">
      <c r="A41" s="789"/>
      <c r="B41" s="790"/>
      <c r="C41" s="791"/>
      <c r="D41" s="824" t="s">
        <v>1811</v>
      </c>
      <c r="E41" s="787" t="s">
        <v>1812</v>
      </c>
      <c r="F41" s="825">
        <f ca="1">IF(INDIRECT("'数据-取费表'!af"&amp;$G$1)=0,INDIRECT("'数据-取费表'!ae"&amp;$G$1),INDIRECT("'数据-取费表'!af"&amp;$G$1))</f>
        <v>0</v>
      </c>
      <c r="G41" s="2069"/>
      <c r="H41" s="1994"/>
      <c r="I41" s="846" t="s">
        <v>1824</v>
      </c>
      <c r="J41" s="849"/>
      <c r="K41" s="2089"/>
      <c r="L41" s="1994"/>
      <c r="M41" s="1994"/>
    </row>
    <row r="42" spans="1:18" ht="18" customHeight="1">
      <c r="A42" s="793"/>
      <c r="B42" s="794"/>
      <c r="C42" s="795"/>
      <c r="D42" s="819"/>
      <c r="E42" s="787" t="s">
        <v>1813</v>
      </c>
      <c r="F42" s="797">
        <f ca="1">INDIRECT("'数据-取费表'!v"&amp;$G$1)</f>
        <v>0</v>
      </c>
      <c r="G42" s="2069"/>
      <c r="H42" s="1994"/>
      <c r="I42" s="850" t="s">
        <v>1825</v>
      </c>
      <c r="J42" s="848" t="e">
        <f ca="1">ROUND(C13/C40,3)</f>
        <v>#DIV/0!</v>
      </c>
      <c r="K42" s="2089"/>
      <c r="L42" s="1994"/>
      <c r="M42" s="1994"/>
    </row>
    <row r="43" spans="1:18" ht="18" customHeight="1" thickBot="1">
      <c r="A43" s="826" t="s">
        <v>1790</v>
      </c>
      <c r="B43" s="827" t="s">
        <v>1814</v>
      </c>
      <c r="C43" s="828">
        <f ca="1">ROUND(C40*10000/F43,0)</f>
        <v>0</v>
      </c>
      <c r="D43" s="829" t="s">
        <v>1815</v>
      </c>
      <c r="E43" s="830" t="s">
        <v>1816</v>
      </c>
      <c r="F43" s="831">
        <f ca="1">INDIRECT("'数据-取费表'!k"&amp;$G$1)</f>
        <v>66791.740000000005</v>
      </c>
      <c r="G43" s="2069"/>
      <c r="H43" s="1994"/>
      <c r="I43" s="850" t="s">
        <v>1826</v>
      </c>
      <c r="J43" s="851" t="e">
        <f ca="1">1-J42</f>
        <v>#DIV/0!</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2305</v>
      </c>
      <c r="B46" s="2092"/>
      <c r="C46" s="2609">
        <f ca="1">C67-C40</f>
        <v>0</v>
      </c>
      <c r="D46" s="2092"/>
      <c r="E46" s="2092"/>
      <c r="F46" s="2092"/>
      <c r="I46" s="2385" t="s">
        <v>2354</v>
      </c>
      <c r="J46" s="2386"/>
      <c r="K46" s="2387"/>
      <c r="L46" s="2388">
        <f ca="1">IF(M47="住宅",0,IF(L48&gt;J51,L60,J60))</f>
        <v>0</v>
      </c>
      <c r="O46" s="2429" t="s">
        <v>2422</v>
      </c>
      <c r="P46" s="1598"/>
      <c r="Q46" s="1610"/>
      <c r="R46" s="1598"/>
    </row>
    <row r="47" spans="1:18" s="2066" customFormat="1" ht="18" customHeight="1" thickBot="1">
      <c r="A47" s="2379">
        <v>1</v>
      </c>
      <c r="B47" s="2380" t="s">
        <v>636</v>
      </c>
      <c r="C47" s="2609">
        <f ca="1">C48+C52+C54</f>
        <v>0</v>
      </c>
      <c r="D47" s="2092"/>
      <c r="E47" s="2092"/>
      <c r="F47" s="2092"/>
      <c r="I47" s="2389" t="s">
        <v>2355</v>
      </c>
      <c r="J47" s="2394" t="s">
        <v>3122</v>
      </c>
      <c r="K47" s="2395" t="s">
        <v>2361</v>
      </c>
      <c r="L47" s="2396">
        <f ca="1">INDIRECT("'数据-取费表'!d"&amp;$G$1)</f>
        <v>40</v>
      </c>
      <c r="M47" s="1610" t="str">
        <f>IF(ISNUMBER(FIND("住宅",C1)),"住宅","非住宅")</f>
        <v>非住宅</v>
      </c>
      <c r="O47" s="2430" t="s">
        <v>2387</v>
      </c>
      <c r="P47" s="2431" t="s">
        <v>2388</v>
      </c>
      <c r="Q47" s="2432" t="s">
        <v>2389</v>
      </c>
      <c r="R47" s="2431" t="s">
        <v>2390</v>
      </c>
    </row>
    <row r="48" spans="1:18" s="2066" customFormat="1" ht="18" customHeight="1" thickBot="1">
      <c r="A48" s="2678" t="s">
        <v>2551</v>
      </c>
      <c r="B48" s="2679" t="s">
        <v>2552</v>
      </c>
      <c r="C48" s="2381">
        <f ca="1">ROUND(F48*F50*F49*(1-F51)/10000,0)</f>
        <v>0</v>
      </c>
      <c r="D48" s="2382" t="s">
        <v>637</v>
      </c>
      <c r="E48" s="2383" t="s">
        <v>2306</v>
      </c>
      <c r="F48" s="2384"/>
      <c r="G48" s="2097"/>
      <c r="I48" s="2390" t="s">
        <v>2356</v>
      </c>
      <c r="J48" s="2397" t="s">
        <v>2362</v>
      </c>
      <c r="K48" s="2398" t="s">
        <v>2363</v>
      </c>
      <c r="L48" s="2399">
        <f ca="1">INDIRECT("'数据-取费表'!f"&amp;$G$1)</f>
        <v>28.4</v>
      </c>
      <c r="O48" s="2433" t="s">
        <v>2391</v>
      </c>
      <c r="P48" s="2434" t="s">
        <v>2417</v>
      </c>
      <c r="Q48" s="2435">
        <f ca="1">C40+J29</f>
        <v>0</v>
      </c>
      <c r="R48" s="2434" t="s">
        <v>2392</v>
      </c>
    </row>
    <row r="49" spans="1:18" s="2066" customFormat="1" ht="18" customHeight="1" thickBot="1">
      <c r="A49" s="789"/>
      <c r="B49" s="790"/>
      <c r="C49" s="791"/>
      <c r="D49" s="792"/>
      <c r="E49" s="787" t="s">
        <v>1742</v>
      </c>
      <c r="F49" s="788">
        <f ca="1">F7</f>
        <v>66791.740000000005</v>
      </c>
      <c r="G49" s="2097"/>
      <c r="H49" s="2100"/>
      <c r="I49" s="2390" t="s">
        <v>2357</v>
      </c>
      <c r="J49" s="2400"/>
      <c r="K49" s="2401" t="s">
        <v>2364</v>
      </c>
      <c r="L49" s="2402"/>
      <c r="O49" s="2433" t="s">
        <v>2393</v>
      </c>
      <c r="P49" s="2434" t="s">
        <v>2418</v>
      </c>
      <c r="Q49" s="2435">
        <f ca="1">J60</f>
        <v>0</v>
      </c>
      <c r="R49" s="2434" t="s">
        <v>2394</v>
      </c>
    </row>
    <row r="50" spans="1:18" s="2066" customFormat="1" ht="18" customHeight="1" thickBot="1">
      <c r="A50" s="789"/>
      <c r="B50" s="790"/>
      <c r="C50" s="791"/>
      <c r="D50" s="792"/>
      <c r="E50" s="787" t="s">
        <v>1743</v>
      </c>
      <c r="F50" s="788">
        <f ca="1">F8</f>
        <v>365</v>
      </c>
      <c r="G50" s="2105"/>
      <c r="H50" s="2100"/>
      <c r="I50" s="2390" t="s">
        <v>2358</v>
      </c>
      <c r="J50" s="2403">
        <f>SUMPRODUCT((I63:I65=J47)*(J62:L62=J48)*(J63:L65))</f>
        <v>60</v>
      </c>
      <c r="K50" s="2401" t="s">
        <v>2365</v>
      </c>
      <c r="L50" s="2402"/>
      <c r="O50" s="2436" t="s">
        <v>2395</v>
      </c>
      <c r="P50" s="2434" t="s">
        <v>2419</v>
      </c>
      <c r="Q50" s="2435">
        <f ca="1">C29</f>
        <v>57346</v>
      </c>
      <c r="R50" s="2434" t="s">
        <v>2392</v>
      </c>
    </row>
    <row r="51" spans="1:18" s="2066" customFormat="1" ht="18" customHeight="1" thickBot="1">
      <c r="A51" s="789"/>
      <c r="B51" s="790"/>
      <c r="C51" s="791"/>
      <c r="D51" s="792"/>
      <c r="E51" s="787" t="s">
        <v>641</v>
      </c>
      <c r="F51" s="2378"/>
      <c r="H51" s="2100"/>
      <c r="I51" s="2391" t="s">
        <v>2359</v>
      </c>
      <c r="J51" s="2404">
        <f>IF(J49="",J50,J49+J50-YEAR('数据-取费表'!B2))</f>
        <v>60</v>
      </c>
      <c r="K51" s="2390" t="s">
        <v>2366</v>
      </c>
      <c r="L51" s="2405">
        <f ca="1">ROUND(-PV(INDIRECT("'数据-取费表'!h"&amp;$G$1),L48,(C39-C13*J35),0),0)</f>
        <v>-3738057192</v>
      </c>
      <c r="O51" s="2436" t="s">
        <v>2396</v>
      </c>
      <c r="P51" s="2434" t="s">
        <v>2397</v>
      </c>
      <c r="Q51" s="2437">
        <f>J58</f>
        <v>0</v>
      </c>
      <c r="R51" s="2438"/>
    </row>
    <row r="52" spans="1:18" s="2066" customFormat="1" ht="18" customHeight="1" thickBot="1">
      <c r="A52" s="784" t="s">
        <v>2550</v>
      </c>
      <c r="B52" s="2529" t="s">
        <v>2472</v>
      </c>
      <c r="C52" s="802">
        <f ca="1">ROUND(IF(F52="押一",F48*F50*F49/12*F11,IF(F52="押二",F48*F50*F49/12*2*F11,IF(F52="押三",F48*F50*F49/12*3*F11,C53*F11)))/10000,0)</f>
        <v>0</v>
      </c>
      <c r="D52" s="2536" t="s">
        <v>2479</v>
      </c>
      <c r="E52" s="2533" t="s">
        <v>2477</v>
      </c>
      <c r="F52" s="2656"/>
      <c r="I52" s="2392" t="s">
        <v>2433</v>
      </c>
      <c r="J52" s="2406"/>
      <c r="K52" s="2392" t="s">
        <v>2432</v>
      </c>
      <c r="L52" s="2406"/>
      <c r="O52" s="2436" t="s">
        <v>2398</v>
      </c>
      <c r="P52" s="2434" t="s">
        <v>2399</v>
      </c>
      <c r="Q52" s="2437">
        <f>J52</f>
        <v>0</v>
      </c>
      <c r="R52" s="2438"/>
    </row>
    <row r="53" spans="1:18" s="2066" customFormat="1" ht="39.75" customHeight="1" thickBot="1">
      <c r="A53" s="789"/>
      <c r="B53" s="2530" t="s">
        <v>2587</v>
      </c>
      <c r="C53" s="2534"/>
      <c r="D53" s="2536"/>
      <c r="E53" s="2533"/>
      <c r="F53" s="803"/>
      <c r="I53" s="2393" t="s">
        <v>2360</v>
      </c>
      <c r="J53" s="2407">
        <f ca="1">IF(M47="住宅",J51,MIN(J51,L48))</f>
        <v>28.4</v>
      </c>
      <c r="K53" s="3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29"/>
      <c r="O53" s="2436" t="s">
        <v>2400</v>
      </c>
      <c r="P53" s="2434" t="s">
        <v>2401</v>
      </c>
      <c r="Q53" s="2435">
        <f ca="1">J53</f>
        <v>28.4</v>
      </c>
      <c r="R53" s="2434" t="s">
        <v>2402</v>
      </c>
    </row>
    <row r="54" spans="1:18" s="2066" customFormat="1" ht="18" customHeight="1" thickBot="1">
      <c r="A54" s="2572" t="s">
        <v>2481</v>
      </c>
      <c r="B54" s="2573" t="s">
        <v>2473</v>
      </c>
      <c r="C54" s="2574"/>
      <c r="D54" s="2536"/>
      <c r="E54" s="2533"/>
      <c r="F54" s="803"/>
      <c r="K54" s="2093"/>
      <c r="O54" s="2433" t="s">
        <v>2403</v>
      </c>
      <c r="P54" s="2434" t="s">
        <v>2420</v>
      </c>
      <c r="Q54" s="2435">
        <f ca="1">Q48+Q49</f>
        <v>0</v>
      </c>
      <c r="R54" s="2438" t="s">
        <v>2404</v>
      </c>
    </row>
    <row r="55" spans="1:18" s="2066" customFormat="1" ht="18" customHeight="1" thickTop="1" thickBot="1">
      <c r="A55" s="800">
        <v>2</v>
      </c>
      <c r="B55" s="801" t="s">
        <v>645</v>
      </c>
      <c r="C55" s="802">
        <f ca="1">C13</f>
        <v>57346</v>
      </c>
      <c r="D55" s="798"/>
      <c r="E55" s="798"/>
      <c r="F55" s="803"/>
      <c r="I55" s="2408" t="s">
        <v>2367</v>
      </c>
      <c r="J55" s="2409"/>
      <c r="K55" s="2410" t="s">
        <v>2368</v>
      </c>
      <c r="L55" s="2411"/>
      <c r="O55" s="2439" t="s">
        <v>2423</v>
      </c>
      <c r="P55" s="1598"/>
      <c r="Q55" s="1610"/>
      <c r="R55" s="1598"/>
    </row>
    <row r="56" spans="1:18" s="2066" customFormat="1" ht="42.75" customHeight="1" thickBot="1">
      <c r="A56" s="1656"/>
      <c r="B56" s="2241" t="s">
        <v>2312</v>
      </c>
      <c r="C56" s="53">
        <f ca="1">C29</f>
        <v>57346</v>
      </c>
      <c r="D56" s="2675"/>
      <c r="E56" s="787"/>
      <c r="F56" s="812"/>
      <c r="I56" s="2412" t="s">
        <v>2369</v>
      </c>
      <c r="J56" s="2421" t="s">
        <v>3064</v>
      </c>
      <c r="K56" s="2390" t="s">
        <v>2374</v>
      </c>
      <c r="L56" s="2399" t="str">
        <f ca="1">IF(L48&lt;J51,"——",L48-J51)</f>
        <v>——</v>
      </c>
      <c r="O56" s="2430" t="s">
        <v>2387</v>
      </c>
      <c r="P56" s="2431" t="s">
        <v>2388</v>
      </c>
      <c r="Q56" s="2432" t="s">
        <v>2389</v>
      </c>
      <c r="R56" s="2431" t="s">
        <v>2390</v>
      </c>
    </row>
    <row r="57" spans="1:18" s="2066" customFormat="1" ht="28.5" customHeight="1" thickBot="1">
      <c r="A57" s="800" t="s">
        <v>1751</v>
      </c>
      <c r="B57" s="801" t="s">
        <v>652</v>
      </c>
      <c r="C57" s="802">
        <f ca="1">ROUND(C58+C63+C64+C65,0)</f>
        <v>1870</v>
      </c>
      <c r="D57" s="26" t="s">
        <v>1753</v>
      </c>
      <c r="E57" s="2676"/>
      <c r="F57" s="56"/>
      <c r="I57" s="2413" t="s">
        <v>2370</v>
      </c>
      <c r="J57" s="2415">
        <f ca="1">IF(OR(M47="住宅",J51&lt;L48,J56="是"),"——",J51-L48)</f>
        <v>31.6</v>
      </c>
      <c r="K57" s="2390" t="s">
        <v>2375</v>
      </c>
      <c r="L57" s="2399" t="str">
        <f ca="1">IF(L48&lt;J51,"——",IF(L55="比较法",L49,IF(L55="基准地价",L50,L51)))</f>
        <v>——</v>
      </c>
      <c r="O57" s="2433" t="s">
        <v>2391</v>
      </c>
      <c r="P57" s="2434" t="s">
        <v>2421</v>
      </c>
      <c r="Q57" s="2435">
        <f ca="1">C40+J29</f>
        <v>0</v>
      </c>
      <c r="R57" s="2434" t="s">
        <v>2392</v>
      </c>
    </row>
    <row r="58" spans="1:18" s="2066" customFormat="1" ht="28.5" customHeight="1" thickBot="1">
      <c r="A58" s="1655" t="s">
        <v>1828</v>
      </c>
      <c r="B58" s="787" t="s">
        <v>657</v>
      </c>
      <c r="C58" s="53">
        <f ca="1">ROUND(IF(项目基本情况!B11="自然人",C47*F58,C59+C60+C61),1)</f>
        <v>608.20000000000005</v>
      </c>
      <c r="D58" s="2674" t="s">
        <v>658</v>
      </c>
      <c r="E58" s="2675" t="s">
        <v>691</v>
      </c>
      <c r="F58" s="813" t="str">
        <f ca="1">IF(项目基本情况!B11="企业","",IF(INDIRECT("'数据-取费表'!c"&amp;$G$1)="住宅",5%,IF(F48*F49*F50/12/(1+'数据-取费表'!C42)&gt;20000,12%,7%)))</f>
        <v/>
      </c>
      <c r="I58" s="2413" t="s">
        <v>2371</v>
      </c>
      <c r="J58" s="2416"/>
      <c r="K58" s="2390" t="s">
        <v>2376</v>
      </c>
      <c r="L58" s="2399">
        <f ca="1">IF(ISERROR(POWER(1+L52,L47-L48)*(POWER(1+L52,L48)-1)/(POWER(1+L52,L47)-1)),0,POWER(1+L52,L47-L48)*(POWER(1+L52,L48)-1)/(POWER(1+L52,L47)-1))</f>
        <v>0</v>
      </c>
      <c r="O58" s="2433" t="s">
        <v>2393</v>
      </c>
      <c r="P58" s="2434" t="s">
        <v>2424</v>
      </c>
      <c r="Q58" s="2435">
        <f ca="1">L60</f>
        <v>0</v>
      </c>
      <c r="R58" s="2438" t="s">
        <v>2426</v>
      </c>
    </row>
    <row r="59" spans="1:18" s="2066" customFormat="1" ht="28.5" customHeight="1" thickBot="1">
      <c r="A59" s="1654" t="s">
        <v>1835</v>
      </c>
      <c r="B59" s="787" t="s">
        <v>661</v>
      </c>
      <c r="C59" s="53">
        <f ca="1">ROUND(C47*F59/1.05,1)</f>
        <v>0</v>
      </c>
      <c r="D59" s="2675" t="s">
        <v>1759</v>
      </c>
      <c r="E59" s="787" t="s">
        <v>1750</v>
      </c>
      <c r="F59" s="812">
        <f t="shared" ref="F59:F65" si="0">F32</f>
        <v>5.6000000000000001E-2</v>
      </c>
      <c r="I59" s="2413" t="s">
        <v>2372</v>
      </c>
      <c r="J59" s="2415">
        <f ca="1">IF(OR(M47="住宅",J51&lt;L48,J56="是"),"——",ROUND(C29*J58,0))</f>
        <v>0</v>
      </c>
      <c r="K59" s="2390" t="s">
        <v>2377</v>
      </c>
      <c r="L59" s="2399">
        <f ca="1">IF(ISERROR(POWER(1+L52,L47-J51)*(POWER(1+L52,J51)-1)/(POWER(1+L52,L47)-1)),0,POWER(1+L52,L47-J51)*(POWER(1+L52,J51)-1)/(POWER(1+L52,L47)-1))</f>
        <v>0</v>
      </c>
      <c r="O59" s="2436" t="s">
        <v>2395</v>
      </c>
      <c r="P59" s="2434" t="s">
        <v>2425</v>
      </c>
      <c r="Q59" s="2435">
        <f>IF(L55="比较法",L49,IF(L55="基准地价",L50,0))</f>
        <v>0</v>
      </c>
      <c r="R59" s="2434" t="s">
        <v>2392</v>
      </c>
    </row>
    <row r="60" spans="1:18" s="2066" customFormat="1" ht="18" customHeight="1" thickBot="1">
      <c r="A60" s="1654" t="s">
        <v>1836</v>
      </c>
      <c r="B60" s="787" t="s">
        <v>1761</v>
      </c>
      <c r="C60" s="53">
        <f ca="1">IF(D60="按租金收入计税",ROUND(C47*F60,1),IF(D60="按房产原值计税",ROUND(C56*F60*0.7,1),INDIRECT("'数据-取费表'!Aj"&amp;$G$1)))</f>
        <v>481.7</v>
      </c>
      <c r="D60" s="2675" t="str">
        <f>D33</f>
        <v>按房产原值计税</v>
      </c>
      <c r="E60" s="787" t="s">
        <v>1750</v>
      </c>
      <c r="F60" s="812">
        <f t="shared" si="0"/>
        <v>1.2E-2</v>
      </c>
      <c r="I60" s="2414" t="s">
        <v>2373</v>
      </c>
      <c r="J60" s="2417">
        <f ca="1">IF(OR(M47="住宅",J51&lt;L48,J56="是"),"0",ROUND(J59/(1+J52)^J53,0))</f>
        <v>0</v>
      </c>
      <c r="K60" s="2418" t="s">
        <v>2378</v>
      </c>
      <c r="L60" s="2417">
        <f ca="1">IF(OR(M47="住宅",L48&lt;J51),0,ROUND(L57*(L58/L59-1),0))</f>
        <v>0</v>
      </c>
      <c r="O60" s="2436" t="s">
        <v>2396</v>
      </c>
      <c r="P60" s="2434" t="s">
        <v>2405</v>
      </c>
      <c r="Q60" s="2437">
        <f>L52</f>
        <v>0</v>
      </c>
      <c r="R60" s="2438"/>
    </row>
    <row r="61" spans="1:18" s="2066" customFormat="1" ht="18" customHeight="1" thickBot="1">
      <c r="A61" s="1657" t="s">
        <v>1837</v>
      </c>
      <c r="B61" s="344" t="s">
        <v>669</v>
      </c>
      <c r="C61" s="54">
        <f ca="1">ROUND(F61*F62/10000,1)</f>
        <v>126.5</v>
      </c>
      <c r="D61" s="817" t="s">
        <v>670</v>
      </c>
      <c r="E61" s="787" t="s">
        <v>671</v>
      </c>
      <c r="F61" s="643">
        <f t="shared" si="0"/>
        <v>18</v>
      </c>
      <c r="K61" s="2093"/>
      <c r="O61" s="2436" t="s">
        <v>2398</v>
      </c>
      <c r="P61" s="2434" t="s">
        <v>2406</v>
      </c>
      <c r="Q61" s="2435">
        <f ca="1">L58</f>
        <v>0</v>
      </c>
      <c r="R61" s="2438" t="s">
        <v>2407</v>
      </c>
    </row>
    <row r="62" spans="1:18" s="2066" customFormat="1" ht="20.25" thickBot="1">
      <c r="A62" s="818"/>
      <c r="B62" s="796"/>
      <c r="C62" s="69"/>
      <c r="D62" s="819"/>
      <c r="E62" s="787" t="s">
        <v>675</v>
      </c>
      <c r="F62" s="788">
        <f t="shared" ca="1" si="0"/>
        <v>70250.03</v>
      </c>
      <c r="I62" s="2419" t="s">
        <v>2379</v>
      </c>
      <c r="J62" s="2420" t="s">
        <v>2380</v>
      </c>
      <c r="K62" s="2420" t="s">
        <v>2381</v>
      </c>
      <c r="L62" s="2420" t="s">
        <v>2362</v>
      </c>
      <c r="O62" s="2436" t="s">
        <v>2400</v>
      </c>
      <c r="P62" s="2434" t="s">
        <v>2408</v>
      </c>
      <c r="Q62" s="2435">
        <f ca="1">L59</f>
        <v>0</v>
      </c>
      <c r="R62" s="2438" t="s">
        <v>2409</v>
      </c>
    </row>
    <row r="63" spans="1:18" s="2066" customFormat="1" ht="15.75" thickBot="1">
      <c r="A63" s="1655" t="s">
        <v>1893</v>
      </c>
      <c r="B63" s="787" t="s">
        <v>677</v>
      </c>
      <c r="C63" s="53">
        <f ca="1">ROUND(C56*F63,1)</f>
        <v>1146.9000000000001</v>
      </c>
      <c r="D63" s="2675" t="s">
        <v>1806</v>
      </c>
      <c r="E63" s="787" t="s">
        <v>1750</v>
      </c>
      <c r="F63" s="820">
        <f t="shared" ca="1" si="0"/>
        <v>0.02</v>
      </c>
      <c r="I63" s="2419" t="s">
        <v>2382</v>
      </c>
      <c r="J63" s="2420">
        <v>70</v>
      </c>
      <c r="K63" s="2420">
        <v>50</v>
      </c>
      <c r="L63" s="2420">
        <v>80</v>
      </c>
      <c r="O63" s="2433" t="s">
        <v>2403</v>
      </c>
      <c r="P63" s="2434" t="s">
        <v>2420</v>
      </c>
      <c r="Q63" s="2435">
        <f ca="1">Q57+Q58</f>
        <v>0</v>
      </c>
      <c r="R63" s="2438" t="s">
        <v>2404</v>
      </c>
    </row>
    <row r="64" spans="1:18" s="2066" customFormat="1" ht="16.5" thickBot="1">
      <c r="A64" s="1655" t="s">
        <v>1894</v>
      </c>
      <c r="B64" s="787" t="s">
        <v>680</v>
      </c>
      <c r="C64" s="53">
        <f ca="1">ROUND(C55*F64,1)</f>
        <v>114.7</v>
      </c>
      <c r="D64" s="2675" t="s">
        <v>681</v>
      </c>
      <c r="E64" s="787" t="s">
        <v>1750</v>
      </c>
      <c r="F64" s="821">
        <f t="shared" ca="1" si="0"/>
        <v>2E-3</v>
      </c>
      <c r="I64" s="2419" t="s">
        <v>2383</v>
      </c>
      <c r="J64" s="2420">
        <v>50</v>
      </c>
      <c r="K64" s="2420">
        <v>35</v>
      </c>
      <c r="L64" s="2420">
        <v>60</v>
      </c>
      <c r="O64" s="2439" t="s">
        <v>2427</v>
      </c>
      <c r="P64" s="1598"/>
      <c r="Q64" s="1610"/>
      <c r="R64" s="1598"/>
    </row>
    <row r="65" spans="1:18" s="2066" customFormat="1" ht="15.75" thickBot="1">
      <c r="A65" s="1655" t="s">
        <v>1895</v>
      </c>
      <c r="B65" s="787" t="s">
        <v>667</v>
      </c>
      <c r="C65" s="53">
        <f ca="1">ROUND(C47*F65,1)</f>
        <v>0</v>
      </c>
      <c r="D65" s="2675" t="s">
        <v>684</v>
      </c>
      <c r="E65" s="787" t="s">
        <v>1750</v>
      </c>
      <c r="F65" s="797">
        <f t="shared" ca="1" si="0"/>
        <v>0.02</v>
      </c>
      <c r="I65" s="2419" t="s">
        <v>2384</v>
      </c>
      <c r="J65" s="2420">
        <v>40</v>
      </c>
      <c r="K65" s="2420">
        <v>30</v>
      </c>
      <c r="L65" s="2420">
        <v>50</v>
      </c>
      <c r="O65" s="2430" t="s">
        <v>2387</v>
      </c>
      <c r="P65" s="2431" t="s">
        <v>2388</v>
      </c>
      <c r="Q65" s="2432" t="s">
        <v>2389</v>
      </c>
      <c r="R65" s="2431" t="s">
        <v>2390</v>
      </c>
    </row>
    <row r="66" spans="1:18" s="2066" customFormat="1" ht="24.75" thickBot="1">
      <c r="A66" s="800" t="s">
        <v>1779</v>
      </c>
      <c r="B66" s="3050" t="s">
        <v>2838</v>
      </c>
      <c r="C66" s="802">
        <f ca="1">C47-C57</f>
        <v>-1870</v>
      </c>
      <c r="D66" s="2674" t="s">
        <v>702</v>
      </c>
      <c r="E66" s="2673"/>
      <c r="F66" s="823"/>
      <c r="K66" s="2093"/>
      <c r="O66" s="2433" t="s">
        <v>2391</v>
      </c>
      <c r="P66" s="2434" t="s">
        <v>2421</v>
      </c>
      <c r="Q66" s="2435">
        <f ca="1">C40+J29</f>
        <v>0</v>
      </c>
      <c r="R66" s="2434" t="s">
        <v>2392</v>
      </c>
    </row>
    <row r="67" spans="1:18" s="2066" customFormat="1" ht="20.25" thickBot="1">
      <c r="A67" s="784" t="s">
        <v>1783</v>
      </c>
      <c r="B67" s="2242" t="s">
        <v>2311</v>
      </c>
      <c r="C67" s="786">
        <f ca="1">ROUND(C66*(1-((1+F69)/(1+F67))^F68)/(F67-F69),0)</f>
        <v>0</v>
      </c>
      <c r="D67" s="817" t="s">
        <v>706</v>
      </c>
      <c r="E67" s="787" t="s">
        <v>707</v>
      </c>
      <c r="F67" s="797">
        <f ca="1">F40</f>
        <v>0.06</v>
      </c>
      <c r="K67" s="2093"/>
      <c r="O67" s="2433" t="s">
        <v>2393</v>
      </c>
      <c r="P67" s="2434" t="s">
        <v>2424</v>
      </c>
      <c r="Q67" s="2435">
        <f ca="1">L60</f>
        <v>0</v>
      </c>
      <c r="R67" s="2438" t="s">
        <v>2426</v>
      </c>
    </row>
    <row r="68" spans="1:18" ht="21.75" thickBot="1">
      <c r="A68" s="789"/>
      <c r="B68" s="790"/>
      <c r="C68" s="791"/>
      <c r="D68" s="824" t="s">
        <v>1811</v>
      </c>
      <c r="E68" s="787" t="s">
        <v>1787</v>
      </c>
      <c r="F68" s="825">
        <f ca="1">F41</f>
        <v>0</v>
      </c>
      <c r="O68" s="2436" t="s">
        <v>2395</v>
      </c>
      <c r="P68" s="2434" t="s">
        <v>2425</v>
      </c>
      <c r="Q68" s="2440">
        <f ca="1">L51</f>
        <v>-3738057192</v>
      </c>
      <c r="R68" s="2441" t="s">
        <v>2428</v>
      </c>
    </row>
    <row r="69" spans="1:18" ht="20.25" thickBot="1">
      <c r="A69" s="793"/>
      <c r="B69" s="794"/>
      <c r="C69" s="795"/>
      <c r="D69" s="819"/>
      <c r="E69" s="787" t="s">
        <v>712</v>
      </c>
      <c r="F69" s="2378"/>
      <c r="O69" s="2436" t="s">
        <v>2396</v>
      </c>
      <c r="P69" s="2442" t="s">
        <v>2410</v>
      </c>
      <c r="Q69" s="2435">
        <f ca="1">ROUND(Q70-Q71*Q72,0)</f>
        <v>-6458</v>
      </c>
      <c r="R69" s="2438"/>
    </row>
    <row r="70" spans="1:18" ht="15.75" thickBot="1">
      <c r="A70" s="826" t="s">
        <v>1790</v>
      </c>
      <c r="B70" s="827" t="s">
        <v>1814</v>
      </c>
      <c r="C70" s="828">
        <f ca="1">ROUND(C67*10000/F70,0)</f>
        <v>0</v>
      </c>
      <c r="D70" s="829" t="s">
        <v>1815</v>
      </c>
      <c r="E70" s="830" t="s">
        <v>1816</v>
      </c>
      <c r="F70" s="831">
        <f ca="1">F43</f>
        <v>66791.740000000005</v>
      </c>
      <c r="O70" s="2436" t="s">
        <v>2411</v>
      </c>
      <c r="P70" s="2442" t="s">
        <v>2412</v>
      </c>
      <c r="Q70" s="2435">
        <f ca="1">C39</f>
        <v>-1870</v>
      </c>
      <c r="R70" s="2434" t="s">
        <v>2392</v>
      </c>
    </row>
    <row r="71" spans="1:18" ht="15.75" thickBot="1">
      <c r="O71" s="2436" t="s">
        <v>2413</v>
      </c>
      <c r="P71" s="2442" t="s">
        <v>2414</v>
      </c>
      <c r="Q71" s="2435">
        <f ca="1">C13</f>
        <v>57346</v>
      </c>
      <c r="R71" s="2434" t="s">
        <v>2392</v>
      </c>
    </row>
    <row r="72" spans="1:18" ht="15.75" thickBot="1">
      <c r="O72" s="2436" t="s">
        <v>2415</v>
      </c>
      <c r="P72" s="2442" t="s">
        <v>2416</v>
      </c>
      <c r="Q72" s="2437">
        <f ca="1">J36</f>
        <v>0.08</v>
      </c>
      <c r="R72" s="2438"/>
    </row>
    <row r="73" spans="1:18" ht="15.75" thickBot="1">
      <c r="O73" s="2436" t="s">
        <v>2398</v>
      </c>
      <c r="P73" s="2434" t="s">
        <v>2405</v>
      </c>
      <c r="Q73" s="2437">
        <f>L52</f>
        <v>0</v>
      </c>
      <c r="R73" s="2438"/>
    </row>
    <row r="74" spans="1:18" ht="20.25" thickBot="1">
      <c r="O74" s="2436" t="s">
        <v>2400</v>
      </c>
      <c r="P74" s="2434" t="s">
        <v>2406</v>
      </c>
      <c r="Q74" s="2435">
        <f ca="1">L58</f>
        <v>0</v>
      </c>
      <c r="R74" s="2438" t="s">
        <v>2407</v>
      </c>
    </row>
    <row r="75" spans="1:18" ht="20.25" thickBot="1">
      <c r="O75" s="2436" t="s">
        <v>2429</v>
      </c>
      <c r="P75" s="2434" t="s">
        <v>2408</v>
      </c>
      <c r="Q75" s="2435">
        <f ca="1">L59</f>
        <v>0</v>
      </c>
      <c r="R75" s="2438" t="s">
        <v>2409</v>
      </c>
    </row>
    <row r="76" spans="1:18" ht="15.75" thickBot="1">
      <c r="O76" s="2433" t="s">
        <v>2403</v>
      </c>
      <c r="P76" s="2434" t="s">
        <v>2420</v>
      </c>
      <c r="Q76" s="2435">
        <f ca="1">Q66+Q67</f>
        <v>0</v>
      </c>
      <c r="R76" s="2438" t="s">
        <v>2404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19" zoomScale="80" zoomScaleSheetLayoutView="100" zoomScalePageLayoutView="80" workbookViewId="0">
      <selection activeCell="A25" sqref="A25"/>
    </sheetView>
  </sheetViews>
  <sheetFormatPr defaultRowHeight="13.5"/>
  <cols>
    <col min="1" max="1" width="84" style="1784" customWidth="1"/>
    <col min="2" max="2" width="9" style="1784"/>
    <col min="3" max="4" width="9.625" style="1784" customWidth="1"/>
    <col min="5" max="16384" width="9" style="1784"/>
  </cols>
  <sheetData>
    <row r="1" spans="1:4" ht="22.5">
      <c r="A1" s="1783" t="s">
        <v>1908</v>
      </c>
    </row>
    <row r="2" spans="1:4">
      <c r="A2" s="1785"/>
    </row>
    <row r="3" spans="1:4" ht="18.75">
      <c r="A3" s="1803" t="str">
        <f>项目基本情况!B5&amp;"："</f>
        <v>新世界中国地产（海口）有限公司：</v>
      </c>
    </row>
    <row r="4" spans="1:4" ht="37.5">
      <c r="A4" s="1797" t="str">
        <f>"受贵公司委托，我公司对"&amp;项目基本情况!K2&amp;项目基本情况!B9&amp;"进行了预评估。"</f>
        <v>受贵公司委托，我公司对海口市海南省海口市海甸岛西北部1902地块1宗批发零售用地出让国有建设用地使用权抵押价格进行了预评估。</v>
      </c>
    </row>
    <row r="5" spans="1:4" ht="18.75">
      <c r="A5" s="1800" t="s">
        <v>1909</v>
      </c>
    </row>
    <row r="6" spans="1:4" ht="93.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新世界中国地产（海口）有限公司使用的、位于海口市海南省海口市海甸岛西北部1902地块1宗批发零售用地出让国有建设用地使用权。根据《国有土地使用证》[]，估价对象（分摊）出让国有建设用地使用权面积为70250.03平方米。根据《建设工程规划许可证》[]、《出让合同》[]，估价对象规划建筑面积为129001.58平方米。</v>
      </c>
    </row>
    <row r="7" spans="1:4" ht="56.25">
      <c r="A7" s="1801" t="s">
        <v>2763</v>
      </c>
    </row>
    <row r="8" spans="1:4" ht="18.75">
      <c r="A8" s="1800" t="s">
        <v>1910</v>
      </c>
    </row>
    <row r="9" spans="1:4" ht="75">
      <c r="A9" s="1802" t="str">
        <f>IF(项目基本情况!B8="抵押",IF(项目基本情况!B5=项目基本情况!B6,定义!C51,定义!B51),定义!D51)</f>
        <v>委托估价方在向金融机构（昌江黎族自治县农村信用合作联社）办理贷款手续过程中，特委托北京康正宏基房地产评估有限公司对估价对象进行评估。本次评估为确定标的物之抵押贷款额度提供参考依据而评估出让国有建设用地使用权抵押价格。</v>
      </c>
    </row>
    <row r="10" spans="1:4" ht="18.75">
      <c r="A10" s="1803" t="s">
        <v>2036</v>
      </c>
    </row>
    <row r="11" spans="1:4" ht="18.75">
      <c r="A11" s="1786" t="str">
        <f>TEXT(项目基本情况!D3,"yyyy年m月d日;;")&amp;IF(项目基本情况!B3=项目基本情况!D3,"（评估专业人员勘察现场之日）","")</f>
        <v>2017年6月26日</v>
      </c>
    </row>
    <row r="12" spans="1:4" ht="18.75">
      <c r="A12" s="1803" t="s">
        <v>2035</v>
      </c>
    </row>
    <row r="13" spans="1:4" ht="18.75">
      <c r="A13" s="1797" t="s">
        <v>2081</v>
      </c>
    </row>
    <row r="14" spans="1:4" ht="37.5">
      <c r="A14" s="1797" t="str">
        <f>"根据"&amp;项目基本情况!F12&amp;"，本次评估估价对象证载（地类）用途为"&amp;项目基本情况!B12&amp;"。"</f>
        <v>根据《国有土地使用证》[]，本次评估估价对象证载（地类）用途为批发零售用地。</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v>
      </c>
      <c r="C15" s="1787"/>
      <c r="D15" s="1788"/>
    </row>
    <row r="16" spans="1:4" ht="18.75">
      <c r="A16" s="1797" t="s">
        <v>2082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2083</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根据《国有土地使用证》[]，估价对象（分摊）出让国有建设用地使用权面积为70250.03平方米。根据《建设工程规划许可证》[]、《出让合同》[]，估价对象规划建筑面积为129001.58平方米。</v>
      </c>
    </row>
    <row r="21" spans="1:1" ht="18.75">
      <c r="A21" s="1797" t="s">
        <v>2084</v>
      </c>
    </row>
    <row r="22" spans="1:1" ht="56.2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本次估价对象为出让国有建设用地使用权，《国有土地使用证》[]证载土地终止日期为商业2045年11月14日。截至估价期日，出让国有建设用地使用权剩余土地使用年限为。</v>
      </c>
    </row>
    <row r="23" spans="1:1" ht="18.75">
      <c r="A23" s="1797" t="str">
        <f>IF(项目基本情况!B16="出让","本次评估设定估价对象剩余土地使用年限为"&amp;项目基本情况!D20&amp;"。","")</f>
        <v>本次评估设定估价对象剩余土地使用年限为。</v>
      </c>
    </row>
    <row r="24" spans="1:1" ht="18.75">
      <c r="A24" s="1797" t="s">
        <v>2085</v>
      </c>
    </row>
    <row r="25" spans="1:1" ht="93.75">
      <c r="A25" s="1797" t="str">
        <f>定义!C53</f>
        <v>本次估价的“出让国有建设用地使用权价格”是指在估价对象土地所有权为国家所有，使用权性质为出让，在公开市场条件下、于估价期日2017年6月26日，在规划利用条件下、设定土地开发程度为红线外“七通”、宗地内场地，设定用途为批发零售用地，剩余土地使用年限为的出让国有建设用地使用权价格。</v>
      </c>
    </row>
    <row r="26" spans="1:1" ht="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7" t="str">
        <f>IF(项目基本情况!E9="——","",定义!C57)</f>
        <v/>
      </c>
    </row>
    <row r="29" spans="1:1" ht="18.75">
      <c r="A29" s="1803" t="s">
        <v>2037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2" zoomScale="90" zoomScaleNormal="90" workbookViewId="0">
      <selection activeCell="C48" sqref="C48"/>
    </sheetView>
  </sheetViews>
  <sheetFormatPr defaultRowHeight="14.25"/>
  <cols>
    <col min="1" max="1" width="10.5" style="1340" customWidth="1"/>
    <col min="2" max="2" width="15.75" style="1340" customWidth="1"/>
    <col min="3" max="3" width="20.8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77" t="s">
        <v>3062</v>
      </c>
      <c r="E1" s="509"/>
      <c r="F1" s="2846" t="s">
        <v>3160</v>
      </c>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f>ROUND(B3*D3/10000,0)</f>
        <v>232716</v>
      </c>
      <c r="C2" s="2137"/>
      <c r="D2" s="2137"/>
      <c r="E2" s="2068"/>
      <c r="F2" s="2139"/>
      <c r="G2" s="2138"/>
      <c r="H2" s="2138"/>
      <c r="I2" s="2138"/>
      <c r="J2" s="2138"/>
      <c r="K2" s="2138"/>
      <c r="L2" s="2141"/>
      <c r="M2" s="2142"/>
      <c r="N2" s="2142"/>
      <c r="O2" s="2142"/>
      <c r="P2" s="1570"/>
      <c r="Q2" s="1570"/>
      <c r="R2" s="1570"/>
      <c r="S2" s="1570"/>
      <c r="T2" s="1570"/>
      <c r="U2" s="1570"/>
      <c r="V2" s="1570"/>
      <c r="W2" s="1570"/>
      <c r="X2" s="1570"/>
      <c r="Y2" s="1570"/>
      <c r="Z2" s="1570"/>
      <c r="AA2" s="1570"/>
      <c r="AB2" s="1570"/>
      <c r="AC2" s="1571"/>
    </row>
    <row r="3" spans="1:29" s="1339" customFormat="1" ht="28.5" customHeight="1" thickBot="1">
      <c r="A3" s="512" t="s">
        <v>520</v>
      </c>
      <c r="B3" s="513">
        <f>C49</f>
        <v>34842</v>
      </c>
      <c r="C3" s="855" t="s">
        <v>725</v>
      </c>
      <c r="D3" s="854">
        <f>SUMIF('数据-汇总表'!$C19:$C33,D1,'数据-汇总表'!$E19:$E33)</f>
        <v>66791.740000000005</v>
      </c>
      <c r="E3" s="2068"/>
      <c r="F3" s="2139"/>
      <c r="G3" s="2138"/>
      <c r="H3" s="2138"/>
      <c r="I3" s="2138"/>
      <c r="J3" s="2138"/>
      <c r="K3" s="2140"/>
      <c r="L3" s="2141"/>
      <c r="M3" s="2142"/>
      <c r="N3" s="2142"/>
      <c r="O3" s="2142"/>
      <c r="P3" s="1570"/>
      <c r="Q3" s="1570"/>
      <c r="R3" s="1570"/>
      <c r="S3" s="1570"/>
      <c r="T3" s="1570"/>
      <c r="U3" s="1570"/>
      <c r="V3" s="1570"/>
      <c r="W3" s="1570"/>
      <c r="X3" s="1570"/>
      <c r="Y3" s="1570"/>
      <c r="Z3" s="1570"/>
      <c r="AA3" s="1570"/>
      <c r="AB3" s="1570"/>
      <c r="AC3" s="431"/>
    </row>
    <row r="4" spans="1:29" ht="15">
      <c r="A4" s="515" t="s">
        <v>522</v>
      </c>
      <c r="B4" s="516"/>
      <c r="C4" s="3363" t="s">
        <v>523</v>
      </c>
      <c r="D4" s="3364"/>
      <c r="E4" s="3387" t="s">
        <v>524</v>
      </c>
      <c r="F4" s="3388"/>
      <c r="G4" s="3363" t="s">
        <v>525</v>
      </c>
      <c r="H4" s="3364"/>
      <c r="I4" s="3363" t="s">
        <v>526</v>
      </c>
      <c r="J4" s="3364"/>
      <c r="K4" s="517" t="s">
        <v>527</v>
      </c>
      <c r="L4" s="2143"/>
      <c r="M4" s="2144"/>
      <c r="N4" s="2144"/>
      <c r="O4" s="2144"/>
      <c r="P4" s="3365" t="s">
        <v>528</v>
      </c>
      <c r="Q4" s="3366"/>
      <c r="R4" s="3351" t="s">
        <v>524</v>
      </c>
      <c r="S4" s="3352"/>
      <c r="T4" s="3351" t="s">
        <v>525</v>
      </c>
      <c r="U4" s="3352"/>
      <c r="V4" s="3371" t="s">
        <v>526</v>
      </c>
      <c r="W4" s="3371"/>
      <c r="X4" s="1573"/>
      <c r="Y4" s="3351" t="s">
        <v>528</v>
      </c>
      <c r="Z4" s="3352"/>
      <c r="AA4" s="3346" t="s">
        <v>524</v>
      </c>
      <c r="AB4" s="3371" t="s">
        <v>525</v>
      </c>
      <c r="AC4" s="3346" t="s">
        <v>526</v>
      </c>
    </row>
    <row r="5" spans="1:29" ht="15">
      <c r="A5" s="518"/>
      <c r="B5" s="519"/>
      <c r="C5" s="3374" t="s">
        <v>2942</v>
      </c>
      <c r="D5" s="3375"/>
      <c r="E5" s="3430" t="s">
        <v>3163</v>
      </c>
      <c r="F5" s="3390"/>
      <c r="G5" s="3431" t="s">
        <v>3161</v>
      </c>
      <c r="H5" s="3375"/>
      <c r="I5" s="3431" t="s">
        <v>3164</v>
      </c>
      <c r="J5" s="3375"/>
      <c r="K5" s="517"/>
      <c r="L5" s="2143"/>
      <c r="M5" s="2144"/>
      <c r="N5" s="2144"/>
      <c r="O5" s="2144"/>
      <c r="P5" s="3367"/>
      <c r="Q5" s="3368"/>
      <c r="R5" s="3353"/>
      <c r="S5" s="3354"/>
      <c r="T5" s="3353"/>
      <c r="U5" s="3354"/>
      <c r="V5" s="3371"/>
      <c r="W5" s="3371"/>
      <c r="X5" s="1573"/>
      <c r="Y5" s="3353"/>
      <c r="Z5" s="3354"/>
      <c r="AA5" s="3347"/>
      <c r="AB5" s="3371"/>
      <c r="AC5" s="3347"/>
    </row>
    <row r="6" spans="1:29" ht="15.75" thickBot="1">
      <c r="A6" s="520"/>
      <c r="B6" s="521"/>
      <c r="C6" s="3372" t="s">
        <v>2946</v>
      </c>
      <c r="D6" s="3373"/>
      <c r="E6" s="3391" t="s">
        <v>2946</v>
      </c>
      <c r="F6" s="3392"/>
      <c r="G6" s="3372" t="s">
        <v>2946</v>
      </c>
      <c r="H6" s="3373"/>
      <c r="I6" s="3372" t="s">
        <v>2946</v>
      </c>
      <c r="J6" s="3373"/>
      <c r="K6" s="517" t="s">
        <v>529</v>
      </c>
      <c r="L6" s="2143"/>
      <c r="M6" s="2144"/>
      <c r="N6" s="2144"/>
      <c r="O6" s="2144"/>
      <c r="P6" s="3369"/>
      <c r="Q6" s="3370"/>
      <c r="R6" s="3353"/>
      <c r="S6" s="3354"/>
      <c r="T6" s="3355"/>
      <c r="U6" s="3356"/>
      <c r="V6" s="3371"/>
      <c r="W6" s="3371"/>
      <c r="X6" s="1573"/>
      <c r="Y6" s="3355"/>
      <c r="Z6" s="3356"/>
      <c r="AA6" s="3348"/>
      <c r="AB6" s="3371"/>
      <c r="AC6" s="3348"/>
    </row>
    <row r="7" spans="1:29" s="1223" customFormat="1" ht="15.75" thickBot="1">
      <c r="A7" s="2951"/>
      <c r="B7" s="2958" t="s">
        <v>530</v>
      </c>
      <c r="C7" s="522">
        <f>'数据-取费表'!B2</f>
        <v>42912</v>
      </c>
      <c r="D7" s="523">
        <v>100</v>
      </c>
      <c r="E7" s="3172">
        <v>42827</v>
      </c>
      <c r="F7" s="525">
        <f>SUMIF(58:58,YEAR(E7)&amp;"-"&amp;MONTH(E7),59:59)</f>
        <v>99</v>
      </c>
      <c r="G7" s="3172">
        <v>42858</v>
      </c>
      <c r="H7" s="523">
        <f>SUMIF(58:58,YEAR(G7)&amp;"-"&amp;MONTH(G7),59:59)</f>
        <v>99.5</v>
      </c>
      <c r="I7" s="3172">
        <v>42781</v>
      </c>
      <c r="J7" s="523">
        <f>SUMIF(58:58,YEAR(I7)&amp;"-"&amp;MONTH(I7),59:59)</f>
        <v>98</v>
      </c>
      <c r="K7" s="527"/>
      <c r="L7" s="2145"/>
      <c r="M7" s="2146"/>
      <c r="N7" s="2146"/>
      <c r="O7" s="2146"/>
      <c r="P7" s="3349" t="s">
        <v>531</v>
      </c>
      <c r="Q7" s="3358"/>
      <c r="R7" s="1574" t="s">
        <v>8</v>
      </c>
      <c r="S7" s="1575">
        <f t="shared" ref="S7:S15" si="0">F7</f>
        <v>99</v>
      </c>
      <c r="T7" s="1574" t="s">
        <v>8</v>
      </c>
      <c r="U7" s="1575">
        <f t="shared" ref="U7:U15" si="1">H7</f>
        <v>99.5</v>
      </c>
      <c r="V7" s="1574" t="s">
        <v>8</v>
      </c>
      <c r="W7" s="1575">
        <f t="shared" ref="W7:W15" si="2">J7</f>
        <v>98</v>
      </c>
      <c r="X7" s="1576"/>
      <c r="Y7" s="3349" t="s">
        <v>531</v>
      </c>
      <c r="Z7" s="3350"/>
      <c r="AA7" s="1577">
        <f>D7/F7</f>
        <v>1.0101010101010102</v>
      </c>
      <c r="AB7" s="1577">
        <f>D7/H7</f>
        <v>1.0050251256281406</v>
      </c>
      <c r="AC7" s="1577">
        <f>D7/J7</f>
        <v>1.0204081632653061</v>
      </c>
    </row>
    <row r="8" spans="1:29" s="1223" customFormat="1" ht="15.75" thickBot="1">
      <c r="A8" s="2952"/>
      <c r="B8" s="2959" t="s">
        <v>532</v>
      </c>
      <c r="C8" s="528" t="s">
        <v>577</v>
      </c>
      <c r="D8" s="523">
        <v>100</v>
      </c>
      <c r="E8" s="528" t="s">
        <v>3061</v>
      </c>
      <c r="F8" s="525">
        <f>SUMIF(61:61,E8,62:62)-SUMIF(61:61,C8,62:62)+100</f>
        <v>100</v>
      </c>
      <c r="G8" s="528" t="s">
        <v>3061</v>
      </c>
      <c r="H8" s="523">
        <f>SUMIF(61:61,G8,62:62)-SUMIF(61:61,C8,62:62)+100</f>
        <v>100</v>
      </c>
      <c r="I8" s="528" t="s">
        <v>3061</v>
      </c>
      <c r="J8" s="523">
        <f>SUMIF(61:61,I8,62:62)-SUMIF(61:61,C8,62:62)+100</f>
        <v>100</v>
      </c>
      <c r="K8" s="527"/>
      <c r="L8" s="2145"/>
      <c r="M8" s="2146"/>
      <c r="N8" s="2146"/>
      <c r="O8" s="2146"/>
      <c r="P8" s="3349" t="s">
        <v>534</v>
      </c>
      <c r="Q8" s="3350"/>
      <c r="R8" s="1574" t="s">
        <v>8</v>
      </c>
      <c r="S8" s="1575">
        <f t="shared" si="0"/>
        <v>100</v>
      </c>
      <c r="T8" s="1574" t="s">
        <v>8</v>
      </c>
      <c r="U8" s="1575">
        <f t="shared" si="1"/>
        <v>100</v>
      </c>
      <c r="V8" s="1574" t="s">
        <v>8</v>
      </c>
      <c r="W8" s="1575">
        <f t="shared" si="2"/>
        <v>100</v>
      </c>
      <c r="X8" s="1576"/>
      <c r="Y8" s="3349" t="s">
        <v>534</v>
      </c>
      <c r="Z8" s="3350"/>
      <c r="AA8" s="1577">
        <f t="shared" ref="AA8:AA46" si="3">D8/F8</f>
        <v>1</v>
      </c>
      <c r="AB8" s="1577">
        <f t="shared" ref="AB8:AB46" si="4">D8/H8</f>
        <v>1</v>
      </c>
      <c r="AC8" s="1577">
        <f t="shared" ref="AC8:AC46" si="5">D8/J8</f>
        <v>1</v>
      </c>
    </row>
    <row r="9" spans="1:29" s="1223" customFormat="1" ht="15">
      <c r="A9" s="2953"/>
      <c r="B9" s="2960" t="s">
        <v>2772</v>
      </c>
      <c r="C9" s="3154" t="s">
        <v>3123</v>
      </c>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57" t="s">
        <v>536</v>
      </c>
      <c r="Q9" s="1154" t="str">
        <f t="shared" ref="Q9:Q15" si="6">B9</f>
        <v>用途</v>
      </c>
      <c r="R9" s="1574" t="s">
        <v>8</v>
      </c>
      <c r="S9" s="1575">
        <f t="shared" si="0"/>
        <v>100</v>
      </c>
      <c r="T9" s="1574" t="s">
        <v>8</v>
      </c>
      <c r="U9" s="1575">
        <f t="shared" si="1"/>
        <v>100</v>
      </c>
      <c r="V9" s="1574" t="s">
        <v>8</v>
      </c>
      <c r="W9" s="1575">
        <f t="shared" si="2"/>
        <v>100</v>
      </c>
      <c r="X9" s="1576"/>
      <c r="Y9" s="3314" t="s">
        <v>537</v>
      </c>
      <c r="Z9" s="1153" t="str">
        <f t="shared" ref="Z9:Z15" si="7">Q9</f>
        <v>用途</v>
      </c>
      <c r="AA9" s="1577">
        <f t="shared" si="3"/>
        <v>1</v>
      </c>
      <c r="AB9" s="1577">
        <f t="shared" si="4"/>
        <v>1</v>
      </c>
      <c r="AC9" s="1577">
        <f t="shared" si="5"/>
        <v>1</v>
      </c>
    </row>
    <row r="10" spans="1:29" s="1341" customFormat="1" ht="27">
      <c r="A10" s="2954"/>
      <c r="B10" s="2959" t="s">
        <v>2773</v>
      </c>
      <c r="C10" s="864" t="s">
        <v>3124</v>
      </c>
      <c r="D10" s="255">
        <v>100</v>
      </c>
      <c r="E10" s="864" t="s">
        <v>3124</v>
      </c>
      <c r="F10" s="255">
        <f>SUMIF(65:65,E10,66:66)-SUMIF(65:65,C10,66:66)+100</f>
        <v>100</v>
      </c>
      <c r="G10" s="865" t="s">
        <v>3124</v>
      </c>
      <c r="H10" s="255">
        <f>SUMIF(65:65,G10,66:66)-SUMIF(65:65,C10,66:66)+100</f>
        <v>100</v>
      </c>
      <c r="I10" s="864" t="s">
        <v>3124</v>
      </c>
      <c r="J10" s="255">
        <f>SUMIF(65:65,I10,66:66)-SUMIF(65:65,C10,66:66)+100</f>
        <v>100</v>
      </c>
      <c r="K10" s="587"/>
      <c r="L10" s="2148"/>
      <c r="M10" s="2188"/>
      <c r="N10" s="2188"/>
      <c r="O10" s="2149"/>
      <c r="P10" s="3357"/>
      <c r="Q10" s="1154" t="str">
        <f t="shared" si="6"/>
        <v>土地使用年限（年）</v>
      </c>
      <c r="R10" s="1574" t="s">
        <v>8</v>
      </c>
      <c r="S10" s="1575">
        <f t="shared" si="0"/>
        <v>100</v>
      </c>
      <c r="T10" s="1574" t="s">
        <v>8</v>
      </c>
      <c r="U10" s="1575">
        <f t="shared" si="1"/>
        <v>100</v>
      </c>
      <c r="V10" s="1574" t="s">
        <v>8</v>
      </c>
      <c r="W10" s="1575">
        <f t="shared" si="2"/>
        <v>100</v>
      </c>
      <c r="X10" s="1576"/>
      <c r="Y10" s="3314"/>
      <c r="Z10" s="1153" t="str">
        <f t="shared" si="7"/>
        <v>土地使用年限（年）</v>
      </c>
      <c r="AA10" s="1577">
        <f t="shared" si="3"/>
        <v>1</v>
      </c>
      <c r="AB10" s="1577">
        <f t="shared" si="4"/>
        <v>1</v>
      </c>
      <c r="AC10" s="1577">
        <f t="shared" si="5"/>
        <v>1</v>
      </c>
    </row>
    <row r="11" spans="1:29" ht="15">
      <c r="A11" s="2955"/>
      <c r="B11" s="2959" t="s">
        <v>2774</v>
      </c>
      <c r="C11" s="536">
        <v>1</v>
      </c>
      <c r="D11" s="255">
        <v>100</v>
      </c>
      <c r="E11" s="536">
        <v>1</v>
      </c>
      <c r="F11" s="255">
        <f>LOOKUP(E11,68:68,69:69)-LOOKUP(C11,68:68,69:69)+100</f>
        <v>100</v>
      </c>
      <c r="G11" s="537">
        <v>1</v>
      </c>
      <c r="H11" s="255">
        <f>LOOKUP(G11,68:68,69:69)-LOOKUP(C11,68:68,69:69)+100</f>
        <v>100</v>
      </c>
      <c r="I11" s="536">
        <v>1</v>
      </c>
      <c r="J11" s="255">
        <f>LOOKUP(I11,68:68,69:69)-LOOKUP(C11,68:68,69:69)+100</f>
        <v>100</v>
      </c>
      <c r="K11" s="587"/>
      <c r="L11" s="2150"/>
      <c r="M11" s="2144"/>
      <c r="N11" s="2144"/>
      <c r="O11" s="2151"/>
      <c r="P11" s="3357"/>
      <c r="Q11" s="1154" t="str">
        <f t="shared" si="6"/>
        <v>容积率</v>
      </c>
      <c r="R11" s="1574" t="s">
        <v>8</v>
      </c>
      <c r="S11" s="1575">
        <f t="shared" si="0"/>
        <v>100</v>
      </c>
      <c r="T11" s="1574" t="s">
        <v>8</v>
      </c>
      <c r="U11" s="1575">
        <f t="shared" si="1"/>
        <v>100</v>
      </c>
      <c r="V11" s="1574" t="s">
        <v>8</v>
      </c>
      <c r="W11" s="1575">
        <f t="shared" si="2"/>
        <v>100</v>
      </c>
      <c r="X11" s="1576"/>
      <c r="Y11" s="3314"/>
      <c r="Z11" s="1153" t="str">
        <f t="shared" si="7"/>
        <v>容积率</v>
      </c>
      <c r="AA11" s="1577">
        <f t="shared" si="3"/>
        <v>1</v>
      </c>
      <c r="AB11" s="1577">
        <f t="shared" si="4"/>
        <v>1</v>
      </c>
      <c r="AC11" s="1577">
        <f t="shared" si="5"/>
        <v>1</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57"/>
      <c r="Q12" s="1154">
        <f t="shared" si="6"/>
        <v>111</v>
      </c>
      <c r="R12" s="1574" t="s">
        <v>8</v>
      </c>
      <c r="S12" s="1575">
        <f t="shared" si="0"/>
        <v>100</v>
      </c>
      <c r="T12" s="1574" t="s">
        <v>8</v>
      </c>
      <c r="U12" s="1575">
        <f t="shared" si="1"/>
        <v>100</v>
      </c>
      <c r="V12" s="1574" t="s">
        <v>8</v>
      </c>
      <c r="W12" s="1575">
        <f t="shared" si="2"/>
        <v>100</v>
      </c>
      <c r="X12" s="1576"/>
      <c r="Y12" s="3314"/>
      <c r="Z12" s="1153">
        <f t="shared" si="7"/>
        <v>111</v>
      </c>
      <c r="AA12" s="1577">
        <f>D12/F12</f>
        <v>1</v>
      </c>
      <c r="AB12" s="1577">
        <f>D12/H12</f>
        <v>1</v>
      </c>
      <c r="AC12" s="1577">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57"/>
      <c r="Q13" s="1154">
        <f t="shared" si="6"/>
        <v>111</v>
      </c>
      <c r="R13" s="1574" t="s">
        <v>8</v>
      </c>
      <c r="S13" s="1575">
        <f t="shared" si="0"/>
        <v>100</v>
      </c>
      <c r="T13" s="1574" t="s">
        <v>8</v>
      </c>
      <c r="U13" s="1575">
        <f t="shared" si="1"/>
        <v>100</v>
      </c>
      <c r="V13" s="1574" t="s">
        <v>8</v>
      </c>
      <c r="W13" s="1575">
        <f t="shared" si="2"/>
        <v>100</v>
      </c>
      <c r="X13" s="1576"/>
      <c r="Y13" s="3314"/>
      <c r="Z13" s="1153">
        <f t="shared" si="7"/>
        <v>111</v>
      </c>
      <c r="AA13" s="1577">
        <f t="shared" si="3"/>
        <v>1</v>
      </c>
      <c r="AB13" s="1577">
        <f t="shared" si="4"/>
        <v>1</v>
      </c>
      <c r="AC13" s="1577">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57"/>
      <c r="Q14" s="1154">
        <f t="shared" si="6"/>
        <v>111</v>
      </c>
      <c r="R14" s="1574" t="s">
        <v>8</v>
      </c>
      <c r="S14" s="1575">
        <f t="shared" si="0"/>
        <v>100</v>
      </c>
      <c r="T14" s="1574" t="s">
        <v>8</v>
      </c>
      <c r="U14" s="1575">
        <f t="shared" si="1"/>
        <v>100</v>
      </c>
      <c r="V14" s="1574" t="s">
        <v>8</v>
      </c>
      <c r="W14" s="1575">
        <f t="shared" si="2"/>
        <v>100</v>
      </c>
      <c r="X14" s="1576"/>
      <c r="Y14" s="3314"/>
      <c r="Z14" s="1153">
        <f t="shared" si="7"/>
        <v>111</v>
      </c>
      <c r="AA14" s="1577">
        <f t="shared" si="3"/>
        <v>1</v>
      </c>
      <c r="AB14" s="1577">
        <f t="shared" si="4"/>
        <v>1</v>
      </c>
      <c r="AC14" s="1577">
        <f t="shared" si="5"/>
        <v>1</v>
      </c>
    </row>
    <row r="15" spans="1:29" ht="142.5">
      <c r="A15" s="2949" t="s">
        <v>2770</v>
      </c>
      <c r="B15" s="166" t="s">
        <v>542</v>
      </c>
      <c r="C15" s="870" t="str">
        <f>估价对象房地状况!C4</f>
        <v>估价对象位于美兰区海甸岛，周边2公里范围内有恒福居商业广场、 美丽沙花园底商等，由于估价对象位于海甸岛北侧，人流量较大，商服繁华度较好。</v>
      </c>
      <c r="D15" s="552">
        <v>100</v>
      </c>
      <c r="E15" s="553" t="str">
        <f>C15</f>
        <v>估价对象位于美兰区海甸岛，周边2公里范围内有恒福居商业广场、 美丽沙花园底商等，由于估价对象位于海甸岛北侧，人流量较大，商服繁华度较好。</v>
      </c>
      <c r="F15" s="554">
        <f>SUMIF(76:76,E16,77:77)-SUMIF(76:76,C16,77:77)+100</f>
        <v>100</v>
      </c>
      <c r="G15" s="555" t="str">
        <f>E15</f>
        <v>估价对象位于美兰区海甸岛，周边2公里范围内有恒福居商业广场、 美丽沙花园底商等，由于估价对象位于海甸岛北侧，人流量较大，商服繁华度较好。</v>
      </c>
      <c r="H15" s="552">
        <f>SUMIF(76:76,G16,77:77)-SUMIF(76:76,C16,77:77)+100</f>
        <v>100</v>
      </c>
      <c r="I15" s="553" t="str">
        <f>'比较法-住宅、综合'!G19</f>
        <v>周边2公里范围内有天利龙腾湾商业中心等，商服繁华度一般。</v>
      </c>
      <c r="J15" s="552">
        <f>SUMIF(76:76,I16,77:77)-SUMIF(76:76,C16,77:77)+100</f>
        <v>100</v>
      </c>
      <c r="K15" s="901">
        <f>'比较法-住宅、综合'!K19</f>
        <v>5</v>
      </c>
      <c r="L15" s="2152"/>
      <c r="M15" s="2144"/>
      <c r="N15" s="2144"/>
      <c r="O15" s="2151"/>
      <c r="P15" s="3359" t="s">
        <v>541</v>
      </c>
      <c r="Q15" s="1578" t="str">
        <f t="shared" si="6"/>
        <v>商业繁华度</v>
      </c>
      <c r="R15" s="1579" t="s">
        <v>8</v>
      </c>
      <c r="S15" s="1580">
        <f t="shared" si="0"/>
        <v>100</v>
      </c>
      <c r="T15" s="1579" t="s">
        <v>8</v>
      </c>
      <c r="U15" s="1580">
        <f t="shared" si="1"/>
        <v>100</v>
      </c>
      <c r="V15" s="1579" t="s">
        <v>8</v>
      </c>
      <c r="W15" s="1580">
        <f t="shared" si="2"/>
        <v>100</v>
      </c>
      <c r="X15" s="1573"/>
      <c r="Y15" s="3359" t="s">
        <v>541</v>
      </c>
      <c r="Z15" s="1581" t="str">
        <f t="shared" si="7"/>
        <v>商业繁华度</v>
      </c>
      <c r="AA15" s="1582">
        <f t="shared" si="3"/>
        <v>1</v>
      </c>
      <c r="AB15" s="1582">
        <f t="shared" si="4"/>
        <v>1</v>
      </c>
      <c r="AC15" s="1582">
        <f t="shared" si="5"/>
        <v>1</v>
      </c>
    </row>
    <row r="16" spans="1:29" ht="15">
      <c r="A16" s="535"/>
      <c r="B16" s="872"/>
      <c r="C16" s="579" t="s">
        <v>3081</v>
      </c>
      <c r="D16" s="558"/>
      <c r="E16" s="579" t="s">
        <v>3081</v>
      </c>
      <c r="F16" s="560"/>
      <c r="G16" s="579" t="s">
        <v>3081</v>
      </c>
      <c r="H16" s="562"/>
      <c r="I16" s="579" t="s">
        <v>3081</v>
      </c>
      <c r="J16" s="558"/>
      <c r="K16" s="902"/>
      <c r="L16" s="2152"/>
      <c r="M16" s="2144"/>
      <c r="N16" s="2144"/>
      <c r="O16" s="2151"/>
      <c r="P16" s="3360"/>
      <c r="Q16" s="1578"/>
      <c r="R16" s="1579"/>
      <c r="S16" s="1580"/>
      <c r="T16" s="1579"/>
      <c r="U16" s="1580"/>
      <c r="V16" s="1579"/>
      <c r="W16" s="1580"/>
      <c r="X16" s="1573"/>
      <c r="Y16" s="3360"/>
      <c r="Z16" s="1581"/>
      <c r="AA16" s="1582">
        <v>1</v>
      </c>
      <c r="AB16" s="1582">
        <v>1</v>
      </c>
      <c r="AC16" s="1582">
        <v>1</v>
      </c>
    </row>
    <row r="17" spans="1:29" ht="142.5">
      <c r="A17" s="535"/>
      <c r="B17" s="874" t="s">
        <v>296</v>
      </c>
      <c r="C17" s="875" t="str">
        <f>估价对象房地状况!C6</f>
        <v>估价对象位于美兰区，东距甸昆路约800米，南面邻近琼州海峡。周边2公里范围内有5、20、26路等公交线路，路网密集度一般，交通便捷度一般。</v>
      </c>
      <c r="D17" s="562">
        <v>100</v>
      </c>
      <c r="E17" s="3160" t="str">
        <f>C17</f>
        <v>估价对象位于美兰区，东距甸昆路约800米，南面邻近琼州海峡。周边2公里范围内有5、20、26路等公交线路，路网密集度一般，交通便捷度一般。</v>
      </c>
      <c r="F17" s="566">
        <f>SUMIF(78:78,E18,79:79)-SUMIF(78:78,C18,79:79)+100</f>
        <v>100</v>
      </c>
      <c r="G17" s="3161" t="str">
        <f>E17</f>
        <v>估价对象位于美兰区，东距甸昆路约800米，南面邻近琼州海峡。周边2公里范围内有5、20、26路等公交线路，路网密集度一般，交通便捷度一般。</v>
      </c>
      <c r="H17" s="568">
        <f>SUMIF(78:78,G18,79:79)-SUMIF(78:78,C18,79:79)+100</f>
        <v>100</v>
      </c>
      <c r="I17" s="565" t="str">
        <f>'比较法-住宅、综合'!I23</f>
        <v>6、37、34</v>
      </c>
      <c r="J17" s="568">
        <f>SUMIF(78:78,I18,79:79)-SUMIF(78:78,C18,79:79)+100</f>
        <v>100</v>
      </c>
      <c r="K17" s="901">
        <f>'比较法-住宅、综合'!K23</f>
        <v>5</v>
      </c>
      <c r="L17" s="2152"/>
      <c r="M17" s="2144"/>
      <c r="N17" s="2144"/>
      <c r="O17" s="2151"/>
      <c r="P17" s="3360"/>
      <c r="Q17" s="1578" t="str">
        <f>B17</f>
        <v>交通便捷度</v>
      </c>
      <c r="R17" s="1579" t="s">
        <v>8</v>
      </c>
      <c r="S17" s="1580">
        <f>F17</f>
        <v>100</v>
      </c>
      <c r="T17" s="1579" t="s">
        <v>8</v>
      </c>
      <c r="U17" s="1580">
        <f>H17</f>
        <v>100</v>
      </c>
      <c r="V17" s="1579" t="s">
        <v>8</v>
      </c>
      <c r="W17" s="1580">
        <f>J17</f>
        <v>100</v>
      </c>
      <c r="X17" s="1573"/>
      <c r="Y17" s="3360"/>
      <c r="Z17" s="1581" t="str">
        <f>Q17</f>
        <v>交通便捷度</v>
      </c>
      <c r="AA17" s="1582">
        <f t="shared" si="3"/>
        <v>1</v>
      </c>
      <c r="AB17" s="1582">
        <f t="shared" si="4"/>
        <v>1</v>
      </c>
      <c r="AC17" s="1582">
        <f t="shared" si="5"/>
        <v>1</v>
      </c>
    </row>
    <row r="18" spans="1:29" ht="15">
      <c r="A18" s="535"/>
      <c r="B18" s="598"/>
      <c r="C18" s="876" t="s">
        <v>3083</v>
      </c>
      <c r="D18" s="562"/>
      <c r="E18" s="571" t="s">
        <v>3083</v>
      </c>
      <c r="F18" s="566"/>
      <c r="G18" s="572" t="s">
        <v>3083</v>
      </c>
      <c r="H18" s="558"/>
      <c r="I18" s="571" t="s">
        <v>3083</v>
      </c>
      <c r="J18" s="558"/>
      <c r="K18" s="902"/>
      <c r="L18" s="2152"/>
      <c r="M18" s="2144"/>
      <c r="N18" s="2144"/>
      <c r="O18" s="2151"/>
      <c r="P18" s="3360"/>
      <c r="Q18" s="1578"/>
      <c r="R18" s="1579"/>
      <c r="S18" s="1580"/>
      <c r="T18" s="1579"/>
      <c r="U18" s="1580"/>
      <c r="V18" s="1579"/>
      <c r="W18" s="1580"/>
      <c r="X18" s="1573"/>
      <c r="Y18" s="3360"/>
      <c r="Z18" s="1581"/>
      <c r="AA18" s="1582">
        <v>1</v>
      </c>
      <c r="AB18" s="1582">
        <v>1</v>
      </c>
      <c r="AC18" s="1582">
        <v>1</v>
      </c>
    </row>
    <row r="19" spans="1:29" ht="75" customHeight="1">
      <c r="A19" s="535"/>
      <c r="B19" s="2635" t="s">
        <v>2560</v>
      </c>
      <c r="C19" s="875" t="str">
        <f>估价对象房地状况!C7</f>
        <v>周边2公里范围内有海口实验幼儿园、海口景山学校海淀分校等学校；有中国建设银行、中国工商银行等金融机构；公共配套设施情况较好。</v>
      </c>
      <c r="D19" s="568">
        <v>100</v>
      </c>
      <c r="E19" s="594" t="str">
        <f>C19</f>
        <v>周边2公里范围内有海口实验幼儿园、海口景山学校海淀分校等学校；有中国建设银行、中国工商银行等金融机构；公共配套设施情况较好。</v>
      </c>
      <c r="F19" s="574">
        <f>SUMIF(80:80,E20,81:81)-SUMIF(80:80,C20,81:81)+100</f>
        <v>100</v>
      </c>
      <c r="G19" s="3162" t="str">
        <f>E19</f>
        <v>周边2公里范围内有海口实验幼儿园、海口景山学校海淀分校等学校；有中国建设银行、中国工商银行等金融机构；公共配套设施情况较好。</v>
      </c>
      <c r="H19" s="562">
        <f>SUMIF(80:80,G20,81:81)-SUMIF(80:80,C20,81:81)+100</f>
        <v>100</v>
      </c>
      <c r="I19" s="573" t="str">
        <f>'比较法-住宅、综合'!I29</f>
        <v>医院：秀英海军医院；学校：滨景幼儿园；银行：工商银行</v>
      </c>
      <c r="J19" s="562">
        <f>SUMIF(80:80,I20,81:81)-SUMIF(80:80,C20,81:81)+100</f>
        <v>100</v>
      </c>
      <c r="K19" s="901">
        <f>'比较法-住宅、综合'!K29</f>
        <v>5</v>
      </c>
      <c r="L19" s="2152"/>
      <c r="M19" s="2144"/>
      <c r="N19" s="2144"/>
      <c r="O19" s="2151"/>
      <c r="P19" s="3360"/>
      <c r="Q19" s="1578" t="str">
        <f>B19</f>
        <v>公共配套设施</v>
      </c>
      <c r="R19" s="1579" t="s">
        <v>8</v>
      </c>
      <c r="S19" s="1580">
        <f>F19</f>
        <v>100</v>
      </c>
      <c r="T19" s="1579" t="s">
        <v>8</v>
      </c>
      <c r="U19" s="1580">
        <f>H19</f>
        <v>100</v>
      </c>
      <c r="V19" s="1579" t="s">
        <v>8</v>
      </c>
      <c r="W19" s="1580">
        <f>J19</f>
        <v>100</v>
      </c>
      <c r="X19" s="1573"/>
      <c r="Y19" s="3360"/>
      <c r="Z19" s="1581" t="str">
        <f>Q19</f>
        <v>公共配套设施</v>
      </c>
      <c r="AA19" s="1582">
        <f t="shared" si="3"/>
        <v>1</v>
      </c>
      <c r="AB19" s="1582">
        <f t="shared" si="4"/>
        <v>1</v>
      </c>
      <c r="AC19" s="1582">
        <f t="shared" si="5"/>
        <v>1</v>
      </c>
    </row>
    <row r="20" spans="1:29" ht="15">
      <c r="A20" s="535"/>
      <c r="B20" s="598"/>
      <c r="C20" s="579" t="s">
        <v>3081</v>
      </c>
      <c r="D20" s="558"/>
      <c r="E20" s="559" t="s">
        <v>3081</v>
      </c>
      <c r="F20" s="560"/>
      <c r="G20" s="561" t="s">
        <v>3081</v>
      </c>
      <c r="H20" s="558"/>
      <c r="I20" s="559" t="s">
        <v>3081</v>
      </c>
      <c r="J20" s="558"/>
      <c r="K20" s="902"/>
      <c r="L20" s="2152"/>
      <c r="M20" s="2144"/>
      <c r="N20" s="2144"/>
      <c r="O20" s="2151"/>
      <c r="P20" s="3360"/>
      <c r="Q20" s="1578"/>
      <c r="R20" s="1579"/>
      <c r="S20" s="1580"/>
      <c r="T20" s="1579"/>
      <c r="U20" s="1580"/>
      <c r="V20" s="1579"/>
      <c r="W20" s="1580"/>
      <c r="X20" s="1573"/>
      <c r="Y20" s="3360"/>
      <c r="Z20" s="1581"/>
      <c r="AA20" s="1582">
        <v>1</v>
      </c>
      <c r="AB20" s="1582">
        <v>1</v>
      </c>
      <c r="AC20" s="1582">
        <v>1</v>
      </c>
    </row>
    <row r="21" spans="1:29" ht="28.5">
      <c r="A21" s="535"/>
      <c r="B21" s="2628" t="s">
        <v>2572</v>
      </c>
      <c r="C21" s="875" t="str">
        <f>估价对象房地状况!C8</f>
        <v>估价对象所在区域基础设施水平：六通</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60"/>
      <c r="Q21" s="2614" t="str">
        <f>B21</f>
        <v>基础设施水平</v>
      </c>
      <c r="R21" s="1579" t="s">
        <v>8</v>
      </c>
      <c r="S21" s="1580">
        <f>F21</f>
        <v>100</v>
      </c>
      <c r="T21" s="1579" t="s">
        <v>8</v>
      </c>
      <c r="U21" s="1580">
        <f>H21</f>
        <v>100</v>
      </c>
      <c r="V21" s="1579" t="s">
        <v>8</v>
      </c>
      <c r="W21" s="1580">
        <f>J21</f>
        <v>100</v>
      </c>
      <c r="X21" s="2616"/>
      <c r="Y21" s="3360"/>
      <c r="Z21" s="2615" t="str">
        <f>Q21</f>
        <v>基础设施水平</v>
      </c>
      <c r="AA21" s="1582">
        <f t="shared" ref="AA21" si="8">D21/F21</f>
        <v>1</v>
      </c>
      <c r="AB21" s="1582">
        <f t="shared" ref="AB21" si="9">D21/H21</f>
        <v>1</v>
      </c>
      <c r="AC21" s="1582">
        <f t="shared" ref="AC21" si="10">D21/J21</f>
        <v>1</v>
      </c>
    </row>
    <row r="22" spans="1:29" ht="15">
      <c r="A22" s="535"/>
      <c r="B22" s="925"/>
      <c r="C22" s="876" t="s">
        <v>3085</v>
      </c>
      <c r="D22" s="558"/>
      <c r="E22" s="579" t="s">
        <v>3085</v>
      </c>
      <c r="F22" s="560"/>
      <c r="G22" s="579" t="s">
        <v>3085</v>
      </c>
      <c r="H22" s="558"/>
      <c r="I22" s="579" t="s">
        <v>3085</v>
      </c>
      <c r="J22" s="558"/>
      <c r="K22" s="2637"/>
      <c r="L22" s="2152"/>
      <c r="M22" s="2144"/>
      <c r="N22" s="2144"/>
      <c r="O22" s="2151"/>
      <c r="P22" s="3360"/>
      <c r="Q22" s="2614"/>
      <c r="R22" s="1579"/>
      <c r="S22" s="1580"/>
      <c r="T22" s="1579"/>
      <c r="U22" s="1580"/>
      <c r="V22" s="1579"/>
      <c r="W22" s="1580"/>
      <c r="X22" s="2616"/>
      <c r="Y22" s="3360"/>
      <c r="Z22" s="2615"/>
      <c r="AA22" s="1582">
        <v>1</v>
      </c>
      <c r="AB22" s="1582">
        <v>1</v>
      </c>
      <c r="AC22" s="1582">
        <v>1</v>
      </c>
    </row>
    <row r="23" spans="1:29" ht="114">
      <c r="A23" s="535"/>
      <c r="B23" s="874" t="s">
        <v>297</v>
      </c>
      <c r="C23" s="903" t="str">
        <f>估价对象房地状况!C9</f>
        <v>估价对象所处区域土地利用类型以住宅用地为主；周边2公里范围内有海南大学、邻近琼州海峡，自然及人文环境好。</v>
      </c>
      <c r="D23" s="562">
        <v>100</v>
      </c>
      <c r="E23" s="565" t="str">
        <f>C23</f>
        <v>估价对象所处区域土地利用类型以住宅用地为主；周边2公里范围内有海南大学、邻近琼州海峡，自然及人文环境好。</v>
      </c>
      <c r="F23" s="566">
        <f>SUMIF(84:84,E24,85:85)-SUMIF(84:84,C24,85:85)+100</f>
        <v>100</v>
      </c>
      <c r="G23" s="567" t="str">
        <f>E23</f>
        <v>估价对象所处区域土地利用类型以住宅用地为主；周边2公里范围内有海南大学、邻近琼州海峡，自然及人文环境好。</v>
      </c>
      <c r="H23" s="562">
        <f>SUMIF(84:84,G24,85:85)-SUMIF(84:84,C24,85:85)+100</f>
        <v>100</v>
      </c>
      <c r="I23" s="565" t="str">
        <f>'比较法-住宅、综合'!I27</f>
        <v>学校：西安财经学院(海南校区)</v>
      </c>
      <c r="J23" s="562">
        <f>SUMIF(84:84,I24,85:85)-SUMIF(84:84,C24,85:85)+100</f>
        <v>90</v>
      </c>
      <c r="K23" s="901">
        <f>'比较法-住宅、综合'!K27</f>
        <v>5</v>
      </c>
      <c r="L23" s="2152"/>
      <c r="M23" s="2144"/>
      <c r="N23" s="2144"/>
      <c r="O23" s="2151"/>
      <c r="P23" s="3360"/>
      <c r="Q23" s="1578" t="str">
        <f>B23</f>
        <v>自然及人文环境</v>
      </c>
      <c r="R23" s="1579" t="s">
        <v>8</v>
      </c>
      <c r="S23" s="1580">
        <f>F23</f>
        <v>100</v>
      </c>
      <c r="T23" s="1579" t="s">
        <v>8</v>
      </c>
      <c r="U23" s="1580">
        <f>H23</f>
        <v>100</v>
      </c>
      <c r="V23" s="1579" t="s">
        <v>8</v>
      </c>
      <c r="W23" s="1580">
        <f>J23</f>
        <v>90</v>
      </c>
      <c r="X23" s="1573"/>
      <c r="Y23" s="3360"/>
      <c r="Z23" s="1581" t="str">
        <f>Q23</f>
        <v>自然及人文环境</v>
      </c>
      <c r="AA23" s="1582">
        <f t="shared" si="3"/>
        <v>1</v>
      </c>
      <c r="AB23" s="1582">
        <f t="shared" si="4"/>
        <v>1</v>
      </c>
      <c r="AC23" s="1582">
        <f t="shared" si="5"/>
        <v>1.1111111111111112</v>
      </c>
    </row>
    <row r="24" spans="1:29" ht="15">
      <c r="A24" s="535"/>
      <c r="B24" s="598"/>
      <c r="C24" s="579" t="s">
        <v>3082</v>
      </c>
      <c r="D24" s="558"/>
      <c r="E24" s="559" t="s">
        <v>3082</v>
      </c>
      <c r="F24" s="560"/>
      <c r="G24" s="561" t="s">
        <v>3082</v>
      </c>
      <c r="H24" s="558"/>
      <c r="I24" s="559" t="s">
        <v>3083</v>
      </c>
      <c r="J24" s="558"/>
      <c r="K24" s="902"/>
      <c r="L24" s="2152"/>
      <c r="M24" s="2144"/>
      <c r="N24" s="2144"/>
      <c r="O24" s="2151"/>
      <c r="P24" s="3360"/>
      <c r="Q24" s="1578"/>
      <c r="R24" s="1579"/>
      <c r="S24" s="1580"/>
      <c r="T24" s="1579"/>
      <c r="U24" s="1580"/>
      <c r="V24" s="1579"/>
      <c r="W24" s="1580"/>
      <c r="X24" s="1573"/>
      <c r="Y24" s="3360"/>
      <c r="Z24" s="1581"/>
      <c r="AA24" s="1582">
        <v>1</v>
      </c>
      <c r="AB24" s="1582">
        <v>1</v>
      </c>
      <c r="AC24" s="1582">
        <v>1</v>
      </c>
    </row>
    <row r="25" spans="1:29" ht="15">
      <c r="A25" s="535"/>
      <c r="B25" s="530" t="s">
        <v>548</v>
      </c>
      <c r="C25" s="586" t="s">
        <v>3125</v>
      </c>
      <c r="D25" s="543">
        <v>100</v>
      </c>
      <c r="E25" s="586" t="s">
        <v>3125</v>
      </c>
      <c r="F25" s="578">
        <f>SUMIF(86:86,E25,87:87)-SUMIF(86:86,C25,87:87)+100</f>
        <v>100</v>
      </c>
      <c r="G25" s="586" t="s">
        <v>3125</v>
      </c>
      <c r="H25" s="543">
        <f>SUMIF(86:86,G25,87:87)-SUMIF(86:86,C25,87:87)+100</f>
        <v>100</v>
      </c>
      <c r="I25" s="586" t="s">
        <v>3125</v>
      </c>
      <c r="J25" s="543">
        <f>SUMIF(86:86,I25,87:87)-SUMIF(86:86,C25,87:87)+100</f>
        <v>100</v>
      </c>
      <c r="K25" s="587">
        <f>'比较法-住宅、综合'!K33</f>
        <v>1</v>
      </c>
      <c r="L25" s="2152"/>
      <c r="M25" s="2144"/>
      <c r="N25" s="2144"/>
      <c r="O25" s="2151"/>
      <c r="P25" s="3360"/>
      <c r="Q25" s="1578" t="str">
        <f t="shared" ref="Q25:Q46" si="11">B25</f>
        <v>临街状况</v>
      </c>
      <c r="R25" s="1579" t="s">
        <v>8</v>
      </c>
      <c r="S25" s="1580">
        <f>F25</f>
        <v>100</v>
      </c>
      <c r="T25" s="1579" t="s">
        <v>8</v>
      </c>
      <c r="U25" s="1580">
        <f>H25</f>
        <v>100</v>
      </c>
      <c r="V25" s="1579" t="s">
        <v>8</v>
      </c>
      <c r="W25" s="1580">
        <f>J25</f>
        <v>100</v>
      </c>
      <c r="X25" s="1573"/>
      <c r="Y25" s="3360"/>
      <c r="Z25" s="1581" t="str">
        <f>Q25</f>
        <v>临街状况</v>
      </c>
      <c r="AA25" s="1582">
        <f t="shared" si="3"/>
        <v>1</v>
      </c>
      <c r="AB25" s="1582">
        <f t="shared" si="4"/>
        <v>1</v>
      </c>
      <c r="AC25" s="1582">
        <f t="shared" si="5"/>
        <v>1</v>
      </c>
    </row>
    <row r="26" spans="1:29" ht="15">
      <c r="A26" s="535"/>
      <c r="B26" s="880" t="s">
        <v>761</v>
      </c>
      <c r="C26" s="3155"/>
      <c r="D26" s="543">
        <v>100</v>
      </c>
      <c r="E26" s="3155"/>
      <c r="F26" s="578">
        <f>SUMIF(88:88,E26,89:89)-SUMIF(88:88,C26,89:89)+100</f>
        <v>100</v>
      </c>
      <c r="G26" s="542"/>
      <c r="H26" s="543">
        <f>SUMIF(88:88,G26,89:89)-SUMIF(88:88,C26,89:89)+100</f>
        <v>100</v>
      </c>
      <c r="I26" s="542"/>
      <c r="J26" s="543">
        <f>SUMIF(88:88,I26,89:89)-SUMIF(88:88,C26,89:89)+100</f>
        <v>100</v>
      </c>
      <c r="K26" s="584"/>
      <c r="L26" s="2152"/>
      <c r="M26" s="2144"/>
      <c r="N26" s="2144"/>
      <c r="O26" s="2151"/>
      <c r="P26" s="3360"/>
      <c r="Q26" s="1578" t="str">
        <f t="shared" si="11"/>
        <v>平面位置/可视性</v>
      </c>
      <c r="R26" s="1579" t="s">
        <v>8</v>
      </c>
      <c r="S26" s="1580">
        <f>F26</f>
        <v>100</v>
      </c>
      <c r="T26" s="1579" t="s">
        <v>8</v>
      </c>
      <c r="U26" s="1580">
        <f>H26</f>
        <v>100</v>
      </c>
      <c r="V26" s="1579" t="s">
        <v>8</v>
      </c>
      <c r="W26" s="1580">
        <f>J26</f>
        <v>100</v>
      </c>
      <c r="X26" s="1573"/>
      <c r="Y26" s="3360"/>
      <c r="Z26" s="1581" t="str">
        <f>Q26</f>
        <v>平面位置/可视性</v>
      </c>
      <c r="AA26" s="1582">
        <f t="shared" si="3"/>
        <v>1</v>
      </c>
      <c r="AB26" s="1582">
        <f t="shared" si="4"/>
        <v>1</v>
      </c>
      <c r="AC26" s="1582">
        <f t="shared" si="5"/>
        <v>1</v>
      </c>
    </row>
    <row r="27" spans="1:29" s="1223" customFormat="1" ht="15">
      <c r="A27" s="539"/>
      <c r="B27" s="874" t="s">
        <v>762</v>
      </c>
      <c r="C27" s="904" t="s">
        <v>3083</v>
      </c>
      <c r="D27" s="878">
        <v>100</v>
      </c>
      <c r="E27" s="904" t="s">
        <v>3081</v>
      </c>
      <c r="F27" s="879">
        <f>SUMIF(90:90,E27,91:91)-SUMIF(90:90,C27,91:91)+100</f>
        <v>103</v>
      </c>
      <c r="G27" s="904" t="s">
        <v>3081</v>
      </c>
      <c r="H27" s="878">
        <f>SUMIF(90:90,G27,91:91)-SUMIF(90:90,C27,91:91)+100</f>
        <v>103</v>
      </c>
      <c r="I27" s="904" t="s">
        <v>3081</v>
      </c>
      <c r="J27" s="878">
        <f>SUMIF(90:90,I27,91:91)-SUMIF(90:90,C27,91:91)+100</f>
        <v>103</v>
      </c>
      <c r="K27" s="587">
        <v>3</v>
      </c>
      <c r="L27" s="2145"/>
      <c r="M27" s="2146"/>
      <c r="N27" s="2146"/>
      <c r="O27" s="2147"/>
      <c r="P27" s="3360"/>
      <c r="Q27" s="1154" t="str">
        <f t="shared" si="11"/>
        <v>人流量</v>
      </c>
      <c r="R27" s="1574" t="s">
        <v>8</v>
      </c>
      <c r="S27" s="1575">
        <f>F27</f>
        <v>103</v>
      </c>
      <c r="T27" s="1574" t="s">
        <v>8</v>
      </c>
      <c r="U27" s="1575">
        <f>H27</f>
        <v>103</v>
      </c>
      <c r="V27" s="1574" t="s">
        <v>8</v>
      </c>
      <c r="W27" s="1575">
        <f>J27</f>
        <v>103</v>
      </c>
      <c r="X27" s="1576"/>
      <c r="Y27" s="3360"/>
      <c r="Z27" s="1153" t="str">
        <f>Q27</f>
        <v>人流量</v>
      </c>
      <c r="AA27" s="1582">
        <f>D27/F27</f>
        <v>0.970873786407767</v>
      </c>
      <c r="AB27" s="1582">
        <f>D27/H27</f>
        <v>0.970873786407767</v>
      </c>
      <c r="AC27" s="1582">
        <f>D27/J27</f>
        <v>0.970873786407767</v>
      </c>
    </row>
    <row r="28" spans="1:29" ht="15">
      <c r="A28" s="535"/>
      <c r="B28" s="530" t="s">
        <v>764</v>
      </c>
      <c r="C28" s="586">
        <v>1</v>
      </c>
      <c r="D28" s="543">
        <v>100</v>
      </c>
      <c r="E28" s="586">
        <v>1</v>
      </c>
      <c r="F28" s="578">
        <f>SUMIF(92:92,E28,93:93)-SUMIF(92:92,C28,93:93)+100</f>
        <v>100</v>
      </c>
      <c r="G28" s="586">
        <v>1</v>
      </c>
      <c r="H28" s="543">
        <f>SUMIF(92:92,G28,93:93)-SUMIF(92:92,C28,93:93)+100</f>
        <v>100</v>
      </c>
      <c r="I28" s="586">
        <v>1</v>
      </c>
      <c r="J28" s="543">
        <f>SUMIF(92:92,I28,93:93)-SUMIF(92:92,C28,93:93)+100</f>
        <v>100</v>
      </c>
      <c r="K28" s="584"/>
      <c r="L28" s="2152"/>
      <c r="M28" s="2144"/>
      <c r="N28" s="2144"/>
      <c r="O28" s="2151"/>
      <c r="P28" s="3360"/>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60"/>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60"/>
      <c r="Q29" s="1578">
        <f t="shared" si="11"/>
        <v>111</v>
      </c>
      <c r="R29" s="1579" t="s">
        <v>8</v>
      </c>
      <c r="S29" s="1580">
        <f t="shared" si="12"/>
        <v>100</v>
      </c>
      <c r="T29" s="1579" t="s">
        <v>8</v>
      </c>
      <c r="U29" s="1580">
        <f t="shared" si="13"/>
        <v>100</v>
      </c>
      <c r="V29" s="1579" t="s">
        <v>8</v>
      </c>
      <c r="W29" s="1580">
        <f t="shared" si="14"/>
        <v>100</v>
      </c>
      <c r="X29" s="1573"/>
      <c r="Y29" s="3360"/>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60"/>
      <c r="Q30" s="1578">
        <f t="shared" si="11"/>
        <v>111</v>
      </c>
      <c r="R30" s="1579" t="s">
        <v>8</v>
      </c>
      <c r="S30" s="1580">
        <f t="shared" si="12"/>
        <v>100</v>
      </c>
      <c r="T30" s="1579" t="s">
        <v>8</v>
      </c>
      <c r="U30" s="1580">
        <f t="shared" si="13"/>
        <v>100</v>
      </c>
      <c r="V30" s="1579" t="s">
        <v>8</v>
      </c>
      <c r="W30" s="1580">
        <f t="shared" si="14"/>
        <v>100</v>
      </c>
      <c r="X30" s="1573"/>
      <c r="Y30" s="3360"/>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60"/>
      <c r="Q31" s="1578">
        <f t="shared" si="11"/>
        <v>111</v>
      </c>
      <c r="R31" s="1579" t="s">
        <v>8</v>
      </c>
      <c r="S31" s="1580">
        <f t="shared" si="12"/>
        <v>100</v>
      </c>
      <c r="T31" s="1579" t="s">
        <v>8</v>
      </c>
      <c r="U31" s="1580">
        <f t="shared" si="13"/>
        <v>100</v>
      </c>
      <c r="V31" s="1579" t="s">
        <v>8</v>
      </c>
      <c r="W31" s="1580">
        <f t="shared" si="14"/>
        <v>100</v>
      </c>
      <c r="X31" s="1573"/>
      <c r="Y31" s="3360"/>
      <c r="Z31" s="1581">
        <f t="shared" si="15"/>
        <v>111</v>
      </c>
      <c r="AA31" s="1582">
        <f t="shared" si="3"/>
        <v>1</v>
      </c>
      <c r="AB31" s="1582">
        <f t="shared" si="4"/>
        <v>1</v>
      </c>
      <c r="AC31" s="1582">
        <f t="shared" si="5"/>
        <v>1</v>
      </c>
    </row>
    <row r="32" spans="1:29" ht="15">
      <c r="A32" s="2946" t="s">
        <v>2771</v>
      </c>
      <c r="B32" s="172" t="s">
        <v>765</v>
      </c>
      <c r="C32" s="881" t="s">
        <v>3127</v>
      </c>
      <c r="D32" s="600">
        <v>100</v>
      </c>
      <c r="E32" s="881" t="s">
        <v>3129</v>
      </c>
      <c r="F32" s="578">
        <f>SUMIF(100:100,E32,101:101)-SUMIF(100:100,C32,101:101)+100</f>
        <v>92</v>
      </c>
      <c r="G32" s="881" t="s">
        <v>3127</v>
      </c>
      <c r="H32" s="543">
        <f>SUMIF(100:100,G32,101:101)-SUMIF(100:100,C32,101:101)+100</f>
        <v>100</v>
      </c>
      <c r="I32" s="881" t="s">
        <v>3127</v>
      </c>
      <c r="J32" s="600">
        <f>SUMIF(100:100,I32,101:101)-SUMIF(100:100,C32,101:101)+100</f>
        <v>100</v>
      </c>
      <c r="K32" s="587">
        <v>4</v>
      </c>
      <c r="L32" s="2152"/>
      <c r="M32" s="2144"/>
      <c r="N32" s="2144"/>
      <c r="O32" s="2151"/>
      <c r="P32" s="3361" t="s">
        <v>551</v>
      </c>
      <c r="Q32" s="1578" t="str">
        <f t="shared" si="11"/>
        <v>商业类型</v>
      </c>
      <c r="R32" s="1579" t="s">
        <v>8</v>
      </c>
      <c r="S32" s="1580">
        <f t="shared" si="12"/>
        <v>92</v>
      </c>
      <c r="T32" s="1579" t="s">
        <v>8</v>
      </c>
      <c r="U32" s="1580">
        <f t="shared" si="13"/>
        <v>100</v>
      </c>
      <c r="V32" s="1579" t="s">
        <v>8</v>
      </c>
      <c r="W32" s="1580">
        <f t="shared" si="14"/>
        <v>100</v>
      </c>
      <c r="X32" s="1573"/>
      <c r="Y32" s="3362" t="s">
        <v>551</v>
      </c>
      <c r="Z32" s="1581" t="str">
        <f t="shared" si="15"/>
        <v>商业类型</v>
      </c>
      <c r="AA32" s="1582">
        <f t="shared" si="3"/>
        <v>1.0869565217391304</v>
      </c>
      <c r="AB32" s="1582">
        <f t="shared" si="4"/>
        <v>1</v>
      </c>
      <c r="AC32" s="1582">
        <f t="shared" si="5"/>
        <v>1</v>
      </c>
    </row>
    <row r="33" spans="1:29" s="1342" customFormat="1" ht="15">
      <c r="A33" s="606"/>
      <c r="B33" s="530" t="s">
        <v>729</v>
      </c>
      <c r="C33" s="883">
        <f>典型户型修正!B24</f>
        <v>16697.935000000001</v>
      </c>
      <c r="D33" s="255">
        <v>100</v>
      </c>
      <c r="E33" s="883">
        <v>100</v>
      </c>
      <c r="F33" s="866">
        <f>LOOKUP(E33,103:103,104:104)-LOOKUP(C33,103:103,104:104)+100</f>
        <v>108</v>
      </c>
      <c r="G33" s="883">
        <v>42</v>
      </c>
      <c r="H33" s="255">
        <f>LOOKUP(G33,103:103,104:104)-LOOKUP(C33,103:103,104:104)+100</f>
        <v>112</v>
      </c>
      <c r="I33" s="883">
        <v>60</v>
      </c>
      <c r="J33" s="255">
        <f>LOOKUP(I33,103:103,104:104)-LOOKUP(C33,103:103,104:104)+100</f>
        <v>110</v>
      </c>
      <c r="K33" s="584"/>
      <c r="L33" s="2150"/>
      <c r="M33" s="2181"/>
      <c r="N33" s="2181"/>
      <c r="O33" s="2153"/>
      <c r="P33" s="3362"/>
      <c r="Q33" s="1611" t="str">
        <f t="shared" si="11"/>
        <v>项目建筑规模</v>
      </c>
      <c r="R33" s="1583" t="s">
        <v>8</v>
      </c>
      <c r="S33" s="1584">
        <f t="shared" si="12"/>
        <v>108</v>
      </c>
      <c r="T33" s="1583" t="s">
        <v>8</v>
      </c>
      <c r="U33" s="1584">
        <f t="shared" si="13"/>
        <v>112</v>
      </c>
      <c r="V33" s="1583" t="s">
        <v>8</v>
      </c>
      <c r="W33" s="1584">
        <f t="shared" si="14"/>
        <v>110</v>
      </c>
      <c r="X33" s="1585"/>
      <c r="Y33" s="3362"/>
      <c r="Z33" s="1586" t="str">
        <f t="shared" si="15"/>
        <v>项目建筑规模</v>
      </c>
      <c r="AA33" s="1582">
        <f t="shared" si="3"/>
        <v>0.92592592592592593</v>
      </c>
      <c r="AB33" s="1582">
        <f t="shared" si="4"/>
        <v>0.8928571428571429</v>
      </c>
      <c r="AC33" s="1582">
        <f t="shared" si="5"/>
        <v>0.90909090909090906</v>
      </c>
    </row>
    <row r="34" spans="1:29" ht="15">
      <c r="A34" s="597"/>
      <c r="B34" s="530" t="s">
        <v>730</v>
      </c>
      <c r="C34" s="884" t="s">
        <v>3122</v>
      </c>
      <c r="D34" s="543">
        <v>100</v>
      </c>
      <c r="E34" s="884" t="s">
        <v>3122</v>
      </c>
      <c r="F34" s="578">
        <f>SUMIF(105:105,E34,106:106)-SUMIF(105:105,C34,106:106)+100</f>
        <v>100</v>
      </c>
      <c r="G34" s="884" t="s">
        <v>3122</v>
      </c>
      <c r="H34" s="543">
        <f>SUMIF(105:105,G34,106:106)-SUMIF(105:105,C34,106:106)+100</f>
        <v>100</v>
      </c>
      <c r="I34" s="884" t="s">
        <v>3122</v>
      </c>
      <c r="J34" s="543">
        <f>SUMIF(105:105,I34,106:106)-SUMIF(105:105,C34,106:106)+100</f>
        <v>100</v>
      </c>
      <c r="K34" s="587"/>
      <c r="L34" s="2152"/>
      <c r="M34" s="2144"/>
      <c r="N34" s="2144"/>
      <c r="O34" s="2151"/>
      <c r="P34" s="3362"/>
      <c r="Q34" s="1578" t="str">
        <f t="shared" si="11"/>
        <v>建筑结构</v>
      </c>
      <c r="R34" s="1579" t="s">
        <v>8</v>
      </c>
      <c r="S34" s="1580">
        <f t="shared" si="12"/>
        <v>100</v>
      </c>
      <c r="T34" s="1579" t="s">
        <v>8</v>
      </c>
      <c r="U34" s="1580">
        <f t="shared" si="13"/>
        <v>100</v>
      </c>
      <c r="V34" s="1579" t="s">
        <v>8</v>
      </c>
      <c r="W34" s="1580">
        <f t="shared" si="14"/>
        <v>100</v>
      </c>
      <c r="X34" s="1573"/>
      <c r="Y34" s="3362"/>
      <c r="Z34" s="1581" t="str">
        <f t="shared" si="15"/>
        <v>建筑结构</v>
      </c>
      <c r="AA34" s="1582">
        <f t="shared" si="3"/>
        <v>1</v>
      </c>
      <c r="AB34" s="1582">
        <f t="shared" si="4"/>
        <v>1</v>
      </c>
      <c r="AC34" s="1582">
        <f t="shared" si="5"/>
        <v>1</v>
      </c>
    </row>
    <row r="35" spans="1:29" ht="15">
      <c r="A35" s="597"/>
      <c r="B35" s="530" t="s">
        <v>766</v>
      </c>
      <c r="C35" s="602" t="s">
        <v>3133</v>
      </c>
      <c r="D35" s="543">
        <v>100</v>
      </c>
      <c r="E35" s="602" t="s">
        <v>3133</v>
      </c>
      <c r="F35" s="578">
        <f>SUMIF(107:107,E35,108:108)-SUMIF(107:107,C35,108:108)+100</f>
        <v>100</v>
      </c>
      <c r="G35" s="602" t="s">
        <v>3133</v>
      </c>
      <c r="H35" s="543">
        <f>SUMIF(107:107,G35,108:108)-SUMIF(107:107,C35,108:108)+100</f>
        <v>100</v>
      </c>
      <c r="I35" s="602" t="s">
        <v>3133</v>
      </c>
      <c r="J35" s="543">
        <f>SUMIF(107:107,I35,108:108)-SUMIF(107:107,C35,108:108)+100</f>
        <v>100</v>
      </c>
      <c r="K35" s="587"/>
      <c r="L35" s="2152"/>
      <c r="M35" s="2144"/>
      <c r="N35" s="2144"/>
      <c r="O35" s="2151"/>
      <c r="P35" s="3362"/>
      <c r="Q35" s="1578" t="str">
        <f t="shared" si="11"/>
        <v>公共部分装修</v>
      </c>
      <c r="R35" s="1579" t="s">
        <v>8</v>
      </c>
      <c r="S35" s="1580">
        <f t="shared" si="12"/>
        <v>100</v>
      </c>
      <c r="T35" s="1579" t="s">
        <v>8</v>
      </c>
      <c r="U35" s="1580">
        <f t="shared" si="13"/>
        <v>100</v>
      </c>
      <c r="V35" s="1579" t="s">
        <v>8</v>
      </c>
      <c r="W35" s="1580">
        <f t="shared" si="14"/>
        <v>100</v>
      </c>
      <c r="X35" s="1573"/>
      <c r="Y35" s="3362"/>
      <c r="Z35" s="1581" t="str">
        <f t="shared" si="15"/>
        <v>公共部分装修</v>
      </c>
      <c r="AA35" s="1582">
        <f t="shared" si="3"/>
        <v>1</v>
      </c>
      <c r="AB35" s="1582">
        <f t="shared" si="4"/>
        <v>1</v>
      </c>
      <c r="AC35" s="1582">
        <f t="shared" si="5"/>
        <v>1</v>
      </c>
    </row>
    <row r="36" spans="1:29" ht="15">
      <c r="A36" s="597"/>
      <c r="B36" s="530" t="s">
        <v>767</v>
      </c>
      <c r="C36" s="886">
        <v>1</v>
      </c>
      <c r="D36" s="543">
        <v>100</v>
      </c>
      <c r="E36" s="886">
        <v>0.98</v>
      </c>
      <c r="F36" s="578">
        <f>LOOKUP(E36,110:110,111:111)-LOOKUP(C36,110:110,111:111)+100</f>
        <v>100</v>
      </c>
      <c r="G36" s="886">
        <v>0.95</v>
      </c>
      <c r="H36" s="578">
        <f>LOOKUP(G36,110:110,111:111)-LOOKUP(C36,110:110,111:111)+100</f>
        <v>100</v>
      </c>
      <c r="I36" s="886">
        <v>0.95</v>
      </c>
      <c r="J36" s="543">
        <f>LOOKUP(I36,110:110,111:111)-LOOKUP(C36,110:110,111:111)+100</f>
        <v>100</v>
      </c>
      <c r="K36" s="587"/>
      <c r="L36" s="2152"/>
      <c r="M36" s="2144"/>
      <c r="N36" s="2144"/>
      <c r="O36" s="2151"/>
      <c r="P36" s="3362"/>
      <c r="Q36" s="1578" t="str">
        <f t="shared" si="11"/>
        <v>成新度</v>
      </c>
      <c r="R36" s="1579" t="s">
        <v>8</v>
      </c>
      <c r="S36" s="1580">
        <f t="shared" si="12"/>
        <v>100</v>
      </c>
      <c r="T36" s="1579" t="s">
        <v>8</v>
      </c>
      <c r="U36" s="1580">
        <f t="shared" si="13"/>
        <v>100</v>
      </c>
      <c r="V36" s="1579" t="s">
        <v>8</v>
      </c>
      <c r="W36" s="1580">
        <f t="shared" si="14"/>
        <v>100</v>
      </c>
      <c r="X36" s="1573"/>
      <c r="Y36" s="3362"/>
      <c r="Z36" s="1581" t="str">
        <f t="shared" si="15"/>
        <v>成新度</v>
      </c>
      <c r="AA36" s="1582">
        <f t="shared" si="3"/>
        <v>1</v>
      </c>
      <c r="AB36" s="1582">
        <f t="shared" si="4"/>
        <v>1</v>
      </c>
      <c r="AC36" s="1582">
        <f t="shared" si="5"/>
        <v>1</v>
      </c>
    </row>
    <row r="37" spans="1:29" s="1223" customFormat="1" ht="15">
      <c r="A37" s="603"/>
      <c r="B37" s="1901" t="s">
        <v>2579</v>
      </c>
      <c r="C37" s="602" t="s">
        <v>3085</v>
      </c>
      <c r="D37" s="255">
        <v>100</v>
      </c>
      <c r="E37" s="602" t="s">
        <v>3085</v>
      </c>
      <c r="F37" s="578">
        <f>SUMIF(112:112,E37,113:113)-SUMIF(112:112,C37,113:113)+100</f>
        <v>100</v>
      </c>
      <c r="G37" s="602" t="s">
        <v>3085</v>
      </c>
      <c r="H37" s="543">
        <f>SUMIF(112:112,G37,113:113)-SUMIF(112:112,C37,113:113)+100</f>
        <v>100</v>
      </c>
      <c r="I37" s="602" t="s">
        <v>3085</v>
      </c>
      <c r="J37" s="543">
        <f>SUMIF(112:112,I37,113:113)-SUMIF(112:112,C37,113:113)+100</f>
        <v>100</v>
      </c>
      <c r="K37" s="587">
        <v>1</v>
      </c>
      <c r="L37" s="2145"/>
      <c r="M37" s="2146"/>
      <c r="N37" s="2146"/>
      <c r="O37" s="2147"/>
      <c r="P37" s="3362"/>
      <c r="Q37" s="1154" t="str">
        <f t="shared" si="11"/>
        <v>市政基础设施</v>
      </c>
      <c r="R37" s="1574" t="s">
        <v>8</v>
      </c>
      <c r="S37" s="1575">
        <f t="shared" si="12"/>
        <v>100</v>
      </c>
      <c r="T37" s="1574" t="s">
        <v>8</v>
      </c>
      <c r="U37" s="1575">
        <f t="shared" si="13"/>
        <v>100</v>
      </c>
      <c r="V37" s="1574" t="s">
        <v>8</v>
      </c>
      <c r="W37" s="1575">
        <f t="shared" si="14"/>
        <v>100</v>
      </c>
      <c r="X37" s="1576"/>
      <c r="Y37" s="3362"/>
      <c r="Z37" s="1153" t="str">
        <f t="shared" si="15"/>
        <v>市政基础设施</v>
      </c>
      <c r="AA37" s="1577">
        <f t="shared" si="3"/>
        <v>1</v>
      </c>
      <c r="AB37" s="1577">
        <f t="shared" si="4"/>
        <v>1</v>
      </c>
      <c r="AC37" s="1577">
        <f t="shared" si="5"/>
        <v>1</v>
      </c>
    </row>
    <row r="38" spans="1:29" ht="15">
      <c r="A38" s="597"/>
      <c r="B38" s="530" t="s">
        <v>768</v>
      </c>
      <c r="C38" s="602" t="s">
        <v>3140</v>
      </c>
      <c r="D38" s="543">
        <v>100</v>
      </c>
      <c r="E38" s="602" t="s">
        <v>3142</v>
      </c>
      <c r="F38" s="578">
        <f>SUMIF(114:114,E38,115:115)-SUMIF(114:114,C38,115:115)+100</f>
        <v>98</v>
      </c>
      <c r="G38" s="602" t="s">
        <v>3140</v>
      </c>
      <c r="H38" s="543">
        <f>SUMIF(114:114,G38,115:115)-SUMIF(114:114,C38,115:115)+100</f>
        <v>100</v>
      </c>
      <c r="I38" s="602" t="s">
        <v>3140</v>
      </c>
      <c r="J38" s="543">
        <f>SUMIF(114:114,I38,115:115)-SUMIF(114:114,C38,115:115)+100</f>
        <v>100</v>
      </c>
      <c r="K38" s="587">
        <v>2</v>
      </c>
      <c r="L38" s="2152"/>
      <c r="M38" s="2144"/>
      <c r="N38" s="2144"/>
      <c r="O38" s="2151"/>
      <c r="P38" s="3362" t="s">
        <v>769</v>
      </c>
      <c r="Q38" s="1578" t="str">
        <f t="shared" si="11"/>
        <v>业态</v>
      </c>
      <c r="R38" s="1579" t="s">
        <v>8</v>
      </c>
      <c r="S38" s="1580">
        <f t="shared" si="12"/>
        <v>98</v>
      </c>
      <c r="T38" s="1579" t="s">
        <v>8</v>
      </c>
      <c r="U38" s="1580">
        <f t="shared" si="13"/>
        <v>100</v>
      </c>
      <c r="V38" s="1579" t="s">
        <v>8</v>
      </c>
      <c r="W38" s="1580">
        <f t="shared" si="14"/>
        <v>100</v>
      </c>
      <c r="X38" s="1573"/>
      <c r="Y38" s="3362" t="s">
        <v>769</v>
      </c>
      <c r="Z38" s="1581" t="str">
        <f t="shared" si="15"/>
        <v>业态</v>
      </c>
      <c r="AA38" s="1582">
        <f t="shared" si="3"/>
        <v>1.0204081632653061</v>
      </c>
      <c r="AB38" s="1582">
        <f t="shared" si="4"/>
        <v>1</v>
      </c>
      <c r="AC38" s="1582">
        <f t="shared" si="5"/>
        <v>1</v>
      </c>
    </row>
    <row r="39" spans="1:29" ht="15">
      <c r="A39" s="597"/>
      <c r="B39" s="530" t="s">
        <v>770</v>
      </c>
      <c r="C39" s="602" t="s">
        <v>3144</v>
      </c>
      <c r="D39" s="543">
        <v>100</v>
      </c>
      <c r="E39" s="602" t="s">
        <v>3144</v>
      </c>
      <c r="F39" s="578">
        <f>SUMIF(116:116,E39,117:117)-SUMIF(116:116,C39,117:117)+100</f>
        <v>100</v>
      </c>
      <c r="G39" s="602" t="s">
        <v>3144</v>
      </c>
      <c r="H39" s="543">
        <f>SUMIF(116:116,G39,117:117)-SUMIF(116:116,C39,117:117)+100</f>
        <v>100</v>
      </c>
      <c r="I39" s="602" t="s">
        <v>3144</v>
      </c>
      <c r="J39" s="543">
        <f>SUMIF(116:116,I39,117:117)-SUMIF(116:116,C39,117:117)+100</f>
        <v>100</v>
      </c>
      <c r="K39" s="587"/>
      <c r="L39" s="2152"/>
      <c r="M39" s="2144"/>
      <c r="N39" s="2144"/>
      <c r="O39" s="2151"/>
      <c r="P39" s="3362"/>
      <c r="Q39" s="1578" t="str">
        <f t="shared" si="11"/>
        <v>层高</v>
      </c>
      <c r="R39" s="1579" t="s">
        <v>8</v>
      </c>
      <c r="S39" s="1580">
        <f t="shared" si="12"/>
        <v>100</v>
      </c>
      <c r="T39" s="1579" t="s">
        <v>8</v>
      </c>
      <c r="U39" s="1580">
        <f t="shared" si="13"/>
        <v>100</v>
      </c>
      <c r="V39" s="1579" t="s">
        <v>8</v>
      </c>
      <c r="W39" s="1580">
        <f t="shared" si="14"/>
        <v>100</v>
      </c>
      <c r="X39" s="1573"/>
      <c r="Y39" s="3362"/>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62"/>
      <c r="Q40" s="1578" t="str">
        <f t="shared" si="11"/>
        <v>单套建筑面积</v>
      </c>
      <c r="R40" s="1579" t="s">
        <v>8</v>
      </c>
      <c r="S40" s="1580">
        <f t="shared" si="12"/>
        <v>100</v>
      </c>
      <c r="T40" s="1579" t="s">
        <v>8</v>
      </c>
      <c r="U40" s="1580">
        <f t="shared" si="13"/>
        <v>100</v>
      </c>
      <c r="V40" s="1579" t="s">
        <v>8</v>
      </c>
      <c r="W40" s="1580">
        <f t="shared" si="14"/>
        <v>100</v>
      </c>
      <c r="X40" s="1573"/>
      <c r="Y40" s="3362"/>
      <c r="Z40" s="1581" t="str">
        <f t="shared" si="15"/>
        <v>单套建筑面积</v>
      </c>
      <c r="AA40" s="1582">
        <f t="shared" si="3"/>
        <v>1</v>
      </c>
      <c r="AB40" s="1582">
        <f t="shared" si="4"/>
        <v>1</v>
      </c>
      <c r="AC40" s="1582">
        <f t="shared" si="5"/>
        <v>1</v>
      </c>
    </row>
    <row r="41" spans="1:29" s="1342" customFormat="1" ht="15">
      <c r="A41" s="606"/>
      <c r="B41" s="907" t="s">
        <v>772</v>
      </c>
      <c r="C41" s="586" t="s">
        <v>3106</v>
      </c>
      <c r="D41" s="543">
        <v>100</v>
      </c>
      <c r="E41" s="586" t="s">
        <v>3106</v>
      </c>
      <c r="F41" s="578">
        <f>SUMIF(120:120,E41,121:121)-SUMIF(120:120,C41,121:121)+100</f>
        <v>100</v>
      </c>
      <c r="G41" s="586" t="s">
        <v>3106</v>
      </c>
      <c r="H41" s="543">
        <f>SUMIF(120:120,G41,121:121)-SUMIF(120:120,C41,121:121)+100</f>
        <v>100</v>
      </c>
      <c r="I41" s="586" t="s">
        <v>3106</v>
      </c>
      <c r="J41" s="543">
        <f>SUMIF(120:120,I41,121:121)-SUMIF(120:120,C41,121:121)+100</f>
        <v>100</v>
      </c>
      <c r="K41" s="587"/>
      <c r="L41" s="2150"/>
      <c r="M41" s="2181"/>
      <c r="N41" s="2181"/>
      <c r="O41" s="2153"/>
      <c r="P41" s="3362"/>
      <c r="Q41" s="1611" t="str">
        <f t="shared" si="11"/>
        <v>进深比</v>
      </c>
      <c r="R41" s="1583" t="s">
        <v>8</v>
      </c>
      <c r="S41" s="1584">
        <f t="shared" si="12"/>
        <v>100</v>
      </c>
      <c r="T41" s="1583" t="s">
        <v>8</v>
      </c>
      <c r="U41" s="1584">
        <f t="shared" si="13"/>
        <v>100</v>
      </c>
      <c r="V41" s="1583" t="s">
        <v>8</v>
      </c>
      <c r="W41" s="1584">
        <f t="shared" si="14"/>
        <v>100</v>
      </c>
      <c r="X41" s="1585"/>
      <c r="Y41" s="3362"/>
      <c r="Z41" s="1586" t="str">
        <f t="shared" si="15"/>
        <v>进深比</v>
      </c>
      <c r="AA41" s="1582">
        <f t="shared" si="3"/>
        <v>1</v>
      </c>
      <c r="AB41" s="1582">
        <f t="shared" si="4"/>
        <v>1</v>
      </c>
      <c r="AC41" s="1582">
        <f t="shared" si="5"/>
        <v>1</v>
      </c>
    </row>
    <row r="42" spans="1:29" ht="15">
      <c r="A42" s="597"/>
      <c r="B42" s="530" t="s">
        <v>773</v>
      </c>
      <c r="C42" s="602" t="s">
        <v>3137</v>
      </c>
      <c r="D42" s="543">
        <v>100</v>
      </c>
      <c r="E42" s="602" t="s">
        <v>3133</v>
      </c>
      <c r="F42" s="578">
        <f>SUMIF(122:122,E42,123:123)-SUMIF(122:122,C42,123:123)+100</f>
        <v>106</v>
      </c>
      <c r="G42" s="602" t="s">
        <v>3133</v>
      </c>
      <c r="H42" s="543">
        <f>SUMIF(122:122,G42,123:123)-SUMIF(122:122,C42,123:123)+100</f>
        <v>106</v>
      </c>
      <c r="I42" s="602" t="s">
        <v>3133</v>
      </c>
      <c r="J42" s="543">
        <f>SUMIF(122:122,I42,123:123)-SUMIF(122:122,C42,123:123)+100</f>
        <v>106</v>
      </c>
      <c r="K42" s="587">
        <v>2</v>
      </c>
      <c r="L42" s="2152"/>
      <c r="M42" s="2144"/>
      <c r="N42" s="2144"/>
      <c r="O42" s="2151"/>
      <c r="P42" s="3362"/>
      <c r="Q42" s="1578" t="str">
        <f t="shared" si="11"/>
        <v>内部装修</v>
      </c>
      <c r="R42" s="1579" t="s">
        <v>8</v>
      </c>
      <c r="S42" s="1580">
        <f t="shared" si="12"/>
        <v>106</v>
      </c>
      <c r="T42" s="1579" t="s">
        <v>8</v>
      </c>
      <c r="U42" s="1580">
        <f t="shared" si="13"/>
        <v>106</v>
      </c>
      <c r="V42" s="1579" t="s">
        <v>8</v>
      </c>
      <c r="W42" s="1580">
        <f t="shared" si="14"/>
        <v>106</v>
      </c>
      <c r="X42" s="1573"/>
      <c r="Y42" s="3362"/>
      <c r="Z42" s="1581" t="str">
        <f t="shared" si="15"/>
        <v>内部装修</v>
      </c>
      <c r="AA42" s="1582">
        <f t="shared" si="3"/>
        <v>0.94339622641509435</v>
      </c>
      <c r="AB42" s="1582">
        <f t="shared" si="4"/>
        <v>0.94339622641509435</v>
      </c>
      <c r="AC42" s="1582">
        <f t="shared" si="5"/>
        <v>0.94339622641509435</v>
      </c>
    </row>
    <row r="43" spans="1:29" ht="27">
      <c r="A43" s="597"/>
      <c r="B43" s="530" t="s">
        <v>738</v>
      </c>
      <c r="C43" s="602" t="s">
        <v>3081</v>
      </c>
      <c r="D43" s="543">
        <v>100</v>
      </c>
      <c r="E43" s="602" t="s">
        <v>3081</v>
      </c>
      <c r="F43" s="578">
        <f>SUMIF(124:124,E43,125:125)-SUMIF(124:124,C43,125:125)+100</f>
        <v>100</v>
      </c>
      <c r="G43" s="602" t="s">
        <v>3081</v>
      </c>
      <c r="H43" s="543">
        <f>SUMIF(124:124,G43,125:125)-SUMIF(124:124,C43,125:125)+100</f>
        <v>100</v>
      </c>
      <c r="I43" s="602" t="s">
        <v>3081</v>
      </c>
      <c r="J43" s="543">
        <f>SUMIF(124:124,I43,125:125)-SUMIF(124:124,C43,125:125)+100</f>
        <v>100</v>
      </c>
      <c r="K43" s="587"/>
      <c r="L43" s="2152"/>
      <c r="M43" s="2144"/>
      <c r="N43" s="2144"/>
      <c r="O43" s="2151"/>
      <c r="P43" s="3362"/>
      <c r="Q43" s="1578" t="str">
        <f t="shared" si="11"/>
        <v>内部装修维护情况</v>
      </c>
      <c r="R43" s="1579" t="s">
        <v>8</v>
      </c>
      <c r="S43" s="1580">
        <f t="shared" si="12"/>
        <v>100</v>
      </c>
      <c r="T43" s="1579" t="s">
        <v>8</v>
      </c>
      <c r="U43" s="1580">
        <f t="shared" si="13"/>
        <v>100</v>
      </c>
      <c r="V43" s="1579" t="s">
        <v>8</v>
      </c>
      <c r="W43" s="1580">
        <f t="shared" si="14"/>
        <v>100</v>
      </c>
      <c r="X43" s="1573"/>
      <c r="Y43" s="3362"/>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62"/>
      <c r="Q44" s="1154">
        <f t="shared" si="11"/>
        <v>111</v>
      </c>
      <c r="R44" s="1574" t="s">
        <v>8</v>
      </c>
      <c r="S44" s="1575">
        <f t="shared" si="12"/>
        <v>100</v>
      </c>
      <c r="T44" s="1574" t="s">
        <v>8</v>
      </c>
      <c r="U44" s="1575">
        <f t="shared" si="13"/>
        <v>100</v>
      </c>
      <c r="V44" s="1574" t="s">
        <v>8</v>
      </c>
      <c r="W44" s="1575">
        <f t="shared" si="14"/>
        <v>100</v>
      </c>
      <c r="X44" s="1576"/>
      <c r="Y44" s="3362"/>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62"/>
      <c r="Q45" s="1578">
        <f t="shared" si="11"/>
        <v>111</v>
      </c>
      <c r="R45" s="1579" t="s">
        <v>8</v>
      </c>
      <c r="S45" s="1580">
        <f t="shared" si="12"/>
        <v>100</v>
      </c>
      <c r="T45" s="1579" t="s">
        <v>8</v>
      </c>
      <c r="U45" s="1580">
        <f t="shared" si="13"/>
        <v>100</v>
      </c>
      <c r="V45" s="1579" t="s">
        <v>8</v>
      </c>
      <c r="W45" s="1580">
        <f t="shared" si="14"/>
        <v>100</v>
      </c>
      <c r="X45" s="1573"/>
      <c r="Y45" s="3362"/>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32"/>
      <c r="Q46" s="1578">
        <f t="shared" si="11"/>
        <v>111</v>
      </c>
      <c r="R46" s="1579" t="s">
        <v>8</v>
      </c>
      <c r="S46" s="1580">
        <f t="shared" si="12"/>
        <v>100</v>
      </c>
      <c r="T46" s="1579" t="s">
        <v>8</v>
      </c>
      <c r="U46" s="1580">
        <f t="shared" si="13"/>
        <v>100</v>
      </c>
      <c r="V46" s="1579" t="s">
        <v>8</v>
      </c>
      <c r="W46" s="1580">
        <f t="shared" si="14"/>
        <v>100</v>
      </c>
      <c r="X46" s="1573"/>
      <c r="Y46" s="3432"/>
      <c r="Z46" s="1581">
        <f t="shared" si="15"/>
        <v>111</v>
      </c>
      <c r="AA46" s="1582">
        <f t="shared" si="3"/>
        <v>1</v>
      </c>
      <c r="AB46" s="1582">
        <f t="shared" si="4"/>
        <v>1</v>
      </c>
      <c r="AC46" s="1582">
        <f t="shared" si="5"/>
        <v>1</v>
      </c>
    </row>
    <row r="47" spans="1:29" ht="15">
      <c r="A47" s="610" t="s">
        <v>739</v>
      </c>
      <c r="B47" s="890"/>
      <c r="C47" s="2662" t="s">
        <v>1</v>
      </c>
      <c r="D47" s="2663"/>
      <c r="E47" s="2664">
        <f>ROUND(39000*C50,0)</f>
        <v>39000</v>
      </c>
      <c r="F47" s="2665"/>
      <c r="G47" s="2666">
        <f>ROUND(38333*C50,0)</f>
        <v>38333</v>
      </c>
      <c r="H47" s="2667"/>
      <c r="I47" s="2664">
        <f>ROUND(38095*C50,0)</f>
        <v>38095</v>
      </c>
      <c r="J47" s="2667"/>
      <c r="K47" s="1617"/>
      <c r="L47" s="2154"/>
      <c r="M47" s="2155"/>
      <c r="N47" s="2144"/>
      <c r="O47" s="2155"/>
      <c r="P47" s="3357" t="str">
        <f>A47</f>
        <v>成交单价（元/平方米）</v>
      </c>
      <c r="Q47" s="3357"/>
      <c r="R47" s="3433">
        <f>E47</f>
        <v>39000</v>
      </c>
      <c r="S47" s="3433"/>
      <c r="T47" s="3433">
        <f>G47</f>
        <v>38333</v>
      </c>
      <c r="U47" s="3433"/>
      <c r="V47" s="3433">
        <f>I47</f>
        <v>38095</v>
      </c>
      <c r="W47" s="3433"/>
      <c r="X47" s="1565"/>
      <c r="Y47" s="1587"/>
      <c r="Z47" s="1565"/>
      <c r="AA47" s="1565"/>
      <c r="AB47" s="1565"/>
      <c r="AC47" s="1565"/>
    </row>
    <row r="48" spans="1:29" ht="15.75" thickBot="1">
      <c r="A48" s="618" t="s">
        <v>2776</v>
      </c>
      <c r="B48" s="891"/>
      <c r="C48" s="2668">
        <f>R49</f>
        <v>34842</v>
      </c>
      <c r="D48" s="2669"/>
      <c r="E48" s="2670">
        <f>R48</f>
        <v>37055</v>
      </c>
      <c r="F48" s="2670"/>
      <c r="G48" s="2668">
        <f>T48</f>
        <v>31506</v>
      </c>
      <c r="H48" s="2669"/>
      <c r="I48" s="2670">
        <f>V48</f>
        <v>35964</v>
      </c>
      <c r="J48" s="2669"/>
      <c r="K48" s="1618"/>
      <c r="L48" s="2154"/>
      <c r="M48" s="2155"/>
      <c r="N48" s="2144"/>
      <c r="O48" s="2155"/>
      <c r="P48" s="3357" t="str">
        <f>A48</f>
        <v>比较价格（元/平方米）</v>
      </c>
      <c r="Q48" s="3357"/>
      <c r="R48" s="3433">
        <f>IF(F1="售价",ROUND(PRODUCT(R47,AA7:AA46),0),ROUND(PRODUCT(R47,AA7:AA46),1))</f>
        <v>37055</v>
      </c>
      <c r="S48" s="3433"/>
      <c r="T48" s="3433">
        <f>IF(F1="售价",ROUND(PRODUCT(T47,AB7:AB46),0),ROUND(PRODUCT(T47,AB7:AB46),1))</f>
        <v>31506</v>
      </c>
      <c r="U48" s="3433"/>
      <c r="V48" s="3433">
        <f>IF(F1="售价",ROUND(PRODUCT(V47,AC7:AC46),0),ROUND(PRODUCT(V47,AC7:AC46),1))</f>
        <v>35964</v>
      </c>
      <c r="W48" s="3433"/>
      <c r="X48" s="1565"/>
      <c r="Y48" s="1565"/>
      <c r="Z48" s="1565"/>
      <c r="AA48" s="1565"/>
      <c r="AB48" s="1565"/>
      <c r="AC48" s="1565"/>
    </row>
    <row r="49" spans="1:29" ht="15.75" thickBot="1">
      <c r="A49" s="624" t="s">
        <v>2948</v>
      </c>
      <c r="B49" s="625"/>
      <c r="C49" s="2671">
        <f>R49</f>
        <v>34842</v>
      </c>
      <c r="D49" s="2671"/>
      <c r="E49" s="2671"/>
      <c r="F49" s="2671"/>
      <c r="G49" s="2671"/>
      <c r="H49" s="2671"/>
      <c r="I49" s="2671"/>
      <c r="J49" s="2671"/>
      <c r="K49" s="1619"/>
      <c r="L49" s="2154"/>
      <c r="M49" s="2155"/>
      <c r="N49" s="2144"/>
      <c r="O49" s="2155"/>
      <c r="P49" s="3378" t="str">
        <f>A49</f>
        <v>估价对象XX用房的比较价格（楼面单价，元/平方米）</v>
      </c>
      <c r="Q49" s="3379"/>
      <c r="R49" s="3434">
        <f>IF(F1="售价",ROUND(AVERAGE(R48:V48),0),ROUND(AVERAGE(R48:V48),1))</f>
        <v>34842</v>
      </c>
      <c r="S49" s="3434"/>
      <c r="T49" s="3434"/>
      <c r="U49" s="3434"/>
      <c r="V49" s="3434"/>
      <c r="W49" s="3434"/>
      <c r="X49" s="1565"/>
      <c r="Y49" s="1565"/>
      <c r="Z49" s="1565"/>
      <c r="AA49" s="1565"/>
      <c r="AB49" s="1565"/>
      <c r="AC49" s="1565"/>
    </row>
    <row r="50" spans="1:29">
      <c r="A50" s="2155"/>
      <c r="B50" s="2155"/>
      <c r="C50" s="2158">
        <v>1</v>
      </c>
      <c r="D50" s="2155"/>
      <c r="E50" s="2155"/>
      <c r="F50" s="2155"/>
      <c r="G50" s="2158"/>
      <c r="H50" s="2155"/>
      <c r="I50" s="2155"/>
      <c r="J50" s="2155"/>
      <c r="K50" s="3157" t="s">
        <v>3150</v>
      </c>
      <c r="L50" s="3158" t="s">
        <v>3151</v>
      </c>
      <c r="M50" s="3158" t="s">
        <v>3152</v>
      </c>
      <c r="N50" s="3158" t="s">
        <v>3153</v>
      </c>
      <c r="O50" s="3158" t="s">
        <v>3154</v>
      </c>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3156">
        <v>1</v>
      </c>
      <c r="L51" s="3156">
        <v>1</v>
      </c>
      <c r="M51" s="3156">
        <f>'数据-汇总表'!F19/4</f>
        <v>16697.935000000001</v>
      </c>
      <c r="N51" s="2155">
        <f>C49</f>
        <v>34842</v>
      </c>
      <c r="O51" s="3158">
        <f>ROUND(M51*N51*365/10000,0)</f>
        <v>21235315</v>
      </c>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5.2489542571852565E-2</v>
      </c>
      <c r="F52" s="630" t="str">
        <f>IF(OR(E52&gt;=0.3,E52&lt;=-0.3),"超过30%","")</f>
        <v/>
      </c>
      <c r="G52" s="629">
        <f>IF(G47&lt;G48,G48/G47-1,G47/G48-1)</f>
        <v>0.21668888465689085</v>
      </c>
      <c r="H52" s="630" t="str">
        <f>IF(OR(G52&gt;=0.3,G52&lt;=-0.3),"超过30%","")</f>
        <v/>
      </c>
      <c r="I52" s="629">
        <f>IF(I47&lt;I48,I48/I47-1,I47/I48-1)</f>
        <v>5.9253698142587075E-2</v>
      </c>
      <c r="J52" s="630" t="str">
        <f>IF(OR(I52&gt;=0.3,I52&lt;=-0.3),"超过30%","")</f>
        <v/>
      </c>
      <c r="K52" s="3156">
        <v>2</v>
      </c>
      <c r="L52" s="3156">
        <v>0.6</v>
      </c>
      <c r="M52" s="3156">
        <f>M51</f>
        <v>16697.935000000001</v>
      </c>
      <c r="N52" s="2155">
        <f>$N$51*L52</f>
        <v>20905.2</v>
      </c>
      <c r="O52" s="3158">
        <f t="shared" ref="O52:O55" si="16">ROUND(M52*N52*365/10000,0)</f>
        <v>12741189</v>
      </c>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0.17612518250491971</v>
      </c>
      <c r="F53" s="630" t="str">
        <f>IF(OR(E53&gt;=0.2,E53&lt;=-0.2),"超过20%","")</f>
        <v/>
      </c>
      <c r="G53" s="629">
        <f>IF(G48&lt;I48,I48/G48-1,G48/I48-1)</f>
        <v>0.14149685774138265</v>
      </c>
      <c r="H53" s="630" t="str">
        <f>IF(OR(G53&gt;=0.2,G53&lt;=-0.2),"超过20%","")</f>
        <v/>
      </c>
      <c r="I53" s="629">
        <f>IF(I48&lt;E48,E48/I48-1,I48/E48-1)</f>
        <v>3.0335891447002661E-2</v>
      </c>
      <c r="J53" s="630" t="str">
        <f>IF(OR(I53&gt;=0.2,I53&lt;=-0.2),"超过20%","")</f>
        <v/>
      </c>
      <c r="K53" s="3156">
        <v>3</v>
      </c>
      <c r="L53" s="3156">
        <v>0.5</v>
      </c>
      <c r="M53" s="3156">
        <f>M51</f>
        <v>16697.935000000001</v>
      </c>
      <c r="N53" s="2155">
        <f>$N$51*L53</f>
        <v>17421</v>
      </c>
      <c r="O53" s="3158">
        <f t="shared" si="16"/>
        <v>10617657</v>
      </c>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1.7400151305663636E-2</v>
      </c>
      <c r="F54" s="630" t="str">
        <f>IF(OR(E54&gt;=0.3,E54&lt;=-0.3),"超过30%","")</f>
        <v/>
      </c>
      <c r="G54" s="629">
        <f>IF(G47&lt;I47,I47/G47-1,G47/I47-1)</f>
        <v>6.2475390471190551E-3</v>
      </c>
      <c r="H54" s="630" t="str">
        <f>IF(OR(G54&gt;=0.3,G54&lt;=-0.3),"超过30%","")</f>
        <v/>
      </c>
      <c r="I54" s="629">
        <f>IF(I47&lt;E47,E47/I47-1,I47/E47-1)</f>
        <v>2.3756398477490448E-2</v>
      </c>
      <c r="J54" s="630" t="str">
        <f>IF(OR(I54&gt;=0.3,I54&lt;=-0.3),"超过30%","")</f>
        <v/>
      </c>
      <c r="K54" s="3156">
        <v>4</v>
      </c>
      <c r="L54" s="3156">
        <v>0.4</v>
      </c>
      <c r="M54" s="3156">
        <f>M51</f>
        <v>16697.935000000001</v>
      </c>
      <c r="N54" s="2155">
        <f>$N$51*L54</f>
        <v>13936.800000000001</v>
      </c>
      <c r="O54" s="3158">
        <f t="shared" si="16"/>
        <v>8494126</v>
      </c>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3156">
        <v>-1</v>
      </c>
      <c r="L55" s="3156">
        <v>0.6</v>
      </c>
      <c r="M55" s="3156">
        <f>'数据-汇总表'!G19</f>
        <v>0</v>
      </c>
      <c r="N55" s="2155">
        <f>$N$51*L55</f>
        <v>20905.2</v>
      </c>
      <c r="O55" s="3158">
        <f t="shared" si="16"/>
        <v>0</v>
      </c>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3156"/>
      <c r="M56" s="2155">
        <f t="shared" ref="M56" si="17">SUM(M51:M55)</f>
        <v>66791.740000000005</v>
      </c>
      <c r="N56" s="2155">
        <f>ROUND(O56*10000/M56/365,2)</f>
        <v>21776.25</v>
      </c>
      <c r="O56" s="2155">
        <f>SUM(O51:O55)</f>
        <v>53088287</v>
      </c>
      <c r="P56" s="2155"/>
      <c r="Q56" s="2155"/>
      <c r="R56" s="2155"/>
      <c r="S56" s="2155"/>
      <c r="T56" s="2155"/>
      <c r="U56" s="2155"/>
      <c r="V56" s="2155"/>
      <c r="W56" s="2155"/>
      <c r="X56" s="2155"/>
      <c r="Y56" s="2155"/>
      <c r="Z56" s="2155"/>
      <c r="AA56" s="2155"/>
      <c r="AB56" s="2155"/>
      <c r="AC56" s="2155"/>
    </row>
    <row r="57" spans="1:29" ht="21.75" thickBot="1">
      <c r="A57" s="1590" t="s">
        <v>575</v>
      </c>
      <c r="B57" s="1565"/>
      <c r="C57" s="1589"/>
      <c r="D57" s="1589"/>
      <c r="E57" s="1589"/>
      <c r="F57" s="1591"/>
      <c r="G57" s="1591"/>
      <c r="H57" s="1589"/>
      <c r="I57" s="1589"/>
      <c r="J57" s="1589"/>
      <c r="K57" s="1592"/>
      <c r="L57" s="1588"/>
      <c r="M57" s="1589"/>
      <c r="N57" s="1589"/>
      <c r="O57" s="1589"/>
      <c r="P57" s="2167"/>
      <c r="Q57" s="2168"/>
      <c r="R57" s="2155"/>
      <c r="S57" s="2155"/>
      <c r="T57" s="2155"/>
      <c r="U57" s="2155"/>
      <c r="V57" s="2155"/>
      <c r="W57" s="2155"/>
      <c r="X57" s="2155"/>
      <c r="Y57" s="2155"/>
      <c r="Z57" s="2155"/>
      <c r="AA57" s="2155"/>
      <c r="AB57" s="2155"/>
      <c r="AC57" s="2155"/>
    </row>
    <row r="58" spans="1:29" s="1350" customFormat="1" ht="15">
      <c r="A58" s="648" t="s">
        <v>530</v>
      </c>
      <c r="B58" s="649"/>
      <c r="C58" s="2841" t="str">
        <f>YEAR(C7)&amp;"-"&amp;MONTH(C7)</f>
        <v>2017-6</v>
      </c>
      <c r="D58" s="2843">
        <f>EDATE(C58,-1)</f>
        <v>42856</v>
      </c>
      <c r="E58" s="2843">
        <f t="shared" ref="E58:O58" si="18">EDATE(D58,-1)</f>
        <v>42826</v>
      </c>
      <c r="F58" s="2843">
        <f t="shared" si="18"/>
        <v>42795</v>
      </c>
      <c r="G58" s="2843">
        <f t="shared" si="18"/>
        <v>42767</v>
      </c>
      <c r="H58" s="2843">
        <f t="shared" si="18"/>
        <v>42736</v>
      </c>
      <c r="I58" s="2843">
        <f t="shared" si="18"/>
        <v>42705</v>
      </c>
      <c r="J58" s="2843">
        <f t="shared" si="18"/>
        <v>42675</v>
      </c>
      <c r="K58" s="2843">
        <f t="shared" si="18"/>
        <v>42644</v>
      </c>
      <c r="L58" s="2843">
        <f t="shared" si="18"/>
        <v>42614</v>
      </c>
      <c r="M58" s="2843">
        <f t="shared" si="18"/>
        <v>42583</v>
      </c>
      <c r="N58" s="2843">
        <f t="shared" si="18"/>
        <v>42552</v>
      </c>
      <c r="O58" s="2843">
        <f t="shared" si="18"/>
        <v>42522</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v>99.5</v>
      </c>
      <c r="E59" s="653">
        <v>99</v>
      </c>
      <c r="F59" s="653">
        <v>98.5</v>
      </c>
      <c r="G59" s="653">
        <v>98</v>
      </c>
      <c r="H59" s="653">
        <v>97.5</v>
      </c>
      <c r="I59" s="653">
        <v>97</v>
      </c>
      <c r="J59" s="653">
        <v>96.5</v>
      </c>
      <c r="K59" s="653">
        <v>96</v>
      </c>
      <c r="L59" s="653">
        <v>95.5</v>
      </c>
      <c r="M59" s="653">
        <v>95</v>
      </c>
      <c r="N59" s="653">
        <v>94.5</v>
      </c>
      <c r="O59" s="653">
        <v>94</v>
      </c>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578</v>
      </c>
      <c r="B63" s="668" t="s">
        <v>535</v>
      </c>
      <c r="C63" s="707" t="str">
        <f>C9</f>
        <v>商业</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0（含）-1</v>
      </c>
      <c r="D67" s="685" t="str">
        <f t="shared" ref="D67:L67" si="19">D68&amp;"（含）"&amp;"-"&amp;E68</f>
        <v>1（含）-2</v>
      </c>
      <c r="E67" s="685" t="str">
        <f t="shared" si="19"/>
        <v>2（含）-3</v>
      </c>
      <c r="F67" s="685" t="str">
        <f t="shared" si="19"/>
        <v>3（含）-4</v>
      </c>
      <c r="G67" s="685" t="str">
        <f t="shared" si="19"/>
        <v>4（含）-</v>
      </c>
      <c r="H67" s="685" t="str">
        <f t="shared" si="19"/>
        <v>（含）-</v>
      </c>
      <c r="I67" s="685" t="str">
        <f t="shared" si="19"/>
        <v>（含）-</v>
      </c>
      <c r="J67" s="685" t="str">
        <f t="shared" si="19"/>
        <v>（含）-</v>
      </c>
      <c r="K67" s="685" t="str">
        <f t="shared" si="19"/>
        <v>（含）-</v>
      </c>
      <c r="L67" s="685" t="str">
        <f t="shared" si="19"/>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1</v>
      </c>
      <c r="E68" s="544">
        <v>2</v>
      </c>
      <c r="F68" s="544">
        <v>3</v>
      </c>
      <c r="G68" s="544">
        <v>4</v>
      </c>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20">C69-$K11</f>
        <v>100</v>
      </c>
      <c r="E69" s="682">
        <f t="shared" si="20"/>
        <v>100</v>
      </c>
      <c r="F69" s="682">
        <f t="shared" si="20"/>
        <v>100</v>
      </c>
      <c r="G69" s="682">
        <f t="shared" si="20"/>
        <v>100</v>
      </c>
      <c r="H69" s="682">
        <f t="shared" si="20"/>
        <v>100</v>
      </c>
      <c r="I69" s="682">
        <f t="shared" si="20"/>
        <v>100</v>
      </c>
      <c r="J69" s="682">
        <f t="shared" si="20"/>
        <v>100</v>
      </c>
      <c r="K69" s="682">
        <f t="shared" si="20"/>
        <v>100</v>
      </c>
      <c r="L69" s="682">
        <f t="shared" si="20"/>
        <v>100</v>
      </c>
      <c r="M69" s="683">
        <f t="shared" si="20"/>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95</v>
      </c>
      <c r="E77" s="682">
        <f>D77-$K15</f>
        <v>90</v>
      </c>
      <c r="F77" s="682">
        <f>E77-$K15</f>
        <v>85</v>
      </c>
      <c r="G77" s="682">
        <f>F77-$K15</f>
        <v>80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95</v>
      </c>
      <c r="E79" s="682">
        <f>D79-$K17</f>
        <v>90</v>
      </c>
      <c r="F79" s="682">
        <f>E79-$K17</f>
        <v>85</v>
      </c>
      <c r="G79" s="682">
        <f>F79-$K17</f>
        <v>80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2571</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95</v>
      </c>
      <c r="E81" s="682">
        <f>D81-$K19</f>
        <v>90</v>
      </c>
      <c r="F81" s="682">
        <f>E81-$K19</f>
        <v>85</v>
      </c>
      <c r="G81" s="682">
        <f>F81-$K19</f>
        <v>80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2572</v>
      </c>
      <c r="C82" s="2633" t="s">
        <v>2573</v>
      </c>
      <c r="D82" s="2633" t="s">
        <v>2574</v>
      </c>
      <c r="E82" s="2633" t="s">
        <v>2575</v>
      </c>
      <c r="F82" s="2633" t="s">
        <v>2576</v>
      </c>
      <c r="G82" s="2633" t="s">
        <v>2577</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95</v>
      </c>
      <c r="E85" s="682">
        <f>D85-$K23</f>
        <v>90</v>
      </c>
      <c r="F85" s="682">
        <f>E85-$K23</f>
        <v>85</v>
      </c>
      <c r="G85" s="682">
        <f>F85-$K23</f>
        <v>80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774</v>
      </c>
      <c r="C86" s="691" t="s">
        <v>3087</v>
      </c>
      <c r="D86" s="691" t="s">
        <v>3086</v>
      </c>
      <c r="E86" s="691" t="s">
        <v>3125</v>
      </c>
      <c r="F86" s="691" t="s">
        <v>3126</v>
      </c>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21">C87-$K25</f>
        <v>99</v>
      </c>
      <c r="E87" s="682">
        <f t="shared" si="21"/>
        <v>98</v>
      </c>
      <c r="F87" s="682">
        <f t="shared" si="21"/>
        <v>97</v>
      </c>
      <c r="G87" s="682">
        <f t="shared" si="21"/>
        <v>96</v>
      </c>
      <c r="H87" s="682">
        <f t="shared" si="21"/>
        <v>95</v>
      </c>
      <c r="I87" s="682">
        <f t="shared" si="21"/>
        <v>94</v>
      </c>
      <c r="J87" s="682">
        <f t="shared" si="21"/>
        <v>93</v>
      </c>
      <c r="K87" s="682">
        <f t="shared" si="21"/>
        <v>92</v>
      </c>
      <c r="L87" s="682">
        <f t="shared" si="21"/>
        <v>91</v>
      </c>
      <c r="M87" s="682">
        <f t="shared" si="21"/>
        <v>90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3150" t="s">
        <v>3082</v>
      </c>
      <c r="D88" s="691" t="s">
        <v>3081</v>
      </c>
      <c r="E88" s="691" t="s">
        <v>3083</v>
      </c>
      <c r="F88" s="895" t="s">
        <v>3110</v>
      </c>
      <c r="G88" s="691" t="s">
        <v>3111</v>
      </c>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v>100</v>
      </c>
      <c r="D89" s="674">
        <v>98</v>
      </c>
      <c r="E89" s="674">
        <v>96</v>
      </c>
      <c r="F89" s="674">
        <v>94</v>
      </c>
      <c r="G89" s="674">
        <v>92</v>
      </c>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t="s">
        <v>3082</v>
      </c>
      <c r="D90" s="691" t="s">
        <v>3081</v>
      </c>
      <c r="E90" s="691" t="s">
        <v>3083</v>
      </c>
      <c r="F90" s="691" t="s">
        <v>3110</v>
      </c>
      <c r="G90" s="691" t="s">
        <v>3111</v>
      </c>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97</v>
      </c>
      <c r="E91" s="682">
        <f t="shared" ref="E91:M91" si="22">D91-$K27</f>
        <v>94</v>
      </c>
      <c r="F91" s="682">
        <f t="shared" si="22"/>
        <v>91</v>
      </c>
      <c r="G91" s="682">
        <f t="shared" si="22"/>
        <v>88</v>
      </c>
      <c r="H91" s="682">
        <f t="shared" si="22"/>
        <v>85</v>
      </c>
      <c r="I91" s="682">
        <f t="shared" si="22"/>
        <v>82</v>
      </c>
      <c r="J91" s="682">
        <f t="shared" si="22"/>
        <v>79</v>
      </c>
      <c r="K91" s="682">
        <f t="shared" si="22"/>
        <v>76</v>
      </c>
      <c r="L91" s="682">
        <f t="shared" si="22"/>
        <v>73</v>
      </c>
      <c r="M91" s="682">
        <f t="shared" si="22"/>
        <v>70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v>1</v>
      </c>
      <c r="D92" s="691">
        <v>2</v>
      </c>
      <c r="E92" s="691">
        <v>3</v>
      </c>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775</v>
      </c>
      <c r="C100" s="3149" t="s">
        <v>3128</v>
      </c>
      <c r="D100" s="3149" t="s">
        <v>3131</v>
      </c>
      <c r="E100" s="3149" t="s">
        <v>3130</v>
      </c>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3">C101-$K32</f>
        <v>96</v>
      </c>
      <c r="E101" s="682">
        <f t="shared" si="23"/>
        <v>92</v>
      </c>
      <c r="F101" s="682">
        <f t="shared" si="23"/>
        <v>88</v>
      </c>
      <c r="G101" s="682">
        <f t="shared" si="23"/>
        <v>84</v>
      </c>
      <c r="H101" s="682">
        <f t="shared" si="23"/>
        <v>80</v>
      </c>
      <c r="I101" s="682">
        <f t="shared" si="23"/>
        <v>76</v>
      </c>
      <c r="J101" s="682">
        <f t="shared" si="23"/>
        <v>72</v>
      </c>
      <c r="K101" s="682">
        <f t="shared" si="23"/>
        <v>68</v>
      </c>
      <c r="L101" s="682">
        <f t="shared" si="23"/>
        <v>64</v>
      </c>
      <c r="M101" s="683">
        <f t="shared" si="23"/>
        <v>60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751</v>
      </c>
      <c r="C102" s="711" t="str">
        <f>C103&amp;"(含)"&amp;"-"&amp;D103</f>
        <v>0(含)-50</v>
      </c>
      <c r="D102" s="711" t="str">
        <f t="shared" ref="D102:L102" si="24">D103&amp;"(含)"&amp;"-"&amp;E103</f>
        <v>50(含)-100</v>
      </c>
      <c r="E102" s="711" t="str">
        <f t="shared" si="24"/>
        <v>100(含)-500</v>
      </c>
      <c r="F102" s="711" t="str">
        <f t="shared" si="24"/>
        <v>500(含)-1000</v>
      </c>
      <c r="G102" s="711" t="str">
        <f t="shared" si="24"/>
        <v>1000(含)-5000</v>
      </c>
      <c r="H102" s="711" t="str">
        <f t="shared" si="24"/>
        <v>5000(含)-10000</v>
      </c>
      <c r="I102" s="711" t="str">
        <f t="shared" si="24"/>
        <v>10000(含)-20000</v>
      </c>
      <c r="J102" s="711" t="str">
        <f t="shared" si="24"/>
        <v>20000(含)-</v>
      </c>
      <c r="K102" s="711" t="str">
        <f t="shared" si="24"/>
        <v>(含)-</v>
      </c>
      <c r="L102" s="711" t="str">
        <f t="shared" si="24"/>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50</v>
      </c>
      <c r="E103" s="733">
        <v>100</v>
      </c>
      <c r="F103" s="733">
        <v>500</v>
      </c>
      <c r="G103" s="733">
        <v>1000</v>
      </c>
      <c r="H103" s="733">
        <v>5000</v>
      </c>
      <c r="I103" s="733">
        <v>10000</v>
      </c>
      <c r="J103" s="734">
        <v>20000</v>
      </c>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112</v>
      </c>
      <c r="D104" s="674">
        <v>110</v>
      </c>
      <c r="E104" s="674">
        <v>108</v>
      </c>
      <c r="F104" s="674">
        <v>106</v>
      </c>
      <c r="G104" s="674">
        <v>104</v>
      </c>
      <c r="H104" s="674">
        <v>102</v>
      </c>
      <c r="I104" s="674">
        <v>100</v>
      </c>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3150" t="s">
        <v>3132</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5">C106-$K34</f>
        <v>100</v>
      </c>
      <c r="E106" s="682">
        <f t="shared" si="25"/>
        <v>100</v>
      </c>
      <c r="F106" s="682">
        <f t="shared" si="25"/>
        <v>100</v>
      </c>
      <c r="G106" s="682">
        <f t="shared" si="25"/>
        <v>100</v>
      </c>
      <c r="H106" s="682">
        <f t="shared" si="25"/>
        <v>100</v>
      </c>
      <c r="I106" s="682">
        <f t="shared" si="25"/>
        <v>100</v>
      </c>
      <c r="J106" s="682">
        <f t="shared" si="25"/>
        <v>100</v>
      </c>
      <c r="K106" s="682">
        <f t="shared" si="25"/>
        <v>100</v>
      </c>
      <c r="L106" s="682">
        <f t="shared" si="25"/>
        <v>100</v>
      </c>
      <c r="M106" s="683">
        <f t="shared" si="25"/>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754</v>
      </c>
      <c r="C107" s="3150" t="s">
        <v>3134</v>
      </c>
      <c r="D107" s="3150" t="s">
        <v>3135</v>
      </c>
      <c r="E107" s="3150" t="s">
        <v>3136</v>
      </c>
      <c r="F107" s="3152" t="s">
        <v>3138</v>
      </c>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6">C108-$K35</f>
        <v>100</v>
      </c>
      <c r="E108" s="682">
        <f t="shared" si="26"/>
        <v>100</v>
      </c>
      <c r="F108" s="682">
        <f t="shared" si="26"/>
        <v>100</v>
      </c>
      <c r="G108" s="682">
        <f t="shared" si="26"/>
        <v>100</v>
      </c>
      <c r="H108" s="682">
        <f t="shared" si="26"/>
        <v>100</v>
      </c>
      <c r="I108" s="682">
        <f t="shared" si="26"/>
        <v>100</v>
      </c>
      <c r="J108" s="682">
        <f t="shared" si="26"/>
        <v>100</v>
      </c>
      <c r="K108" s="682">
        <f t="shared" si="26"/>
        <v>100</v>
      </c>
      <c r="L108" s="682">
        <f t="shared" si="26"/>
        <v>100</v>
      </c>
      <c r="M108" s="683">
        <f t="shared" si="26"/>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7">D111+$K36</f>
        <v>100</v>
      </c>
      <c r="F111" s="682">
        <f t="shared" si="27"/>
        <v>100</v>
      </c>
      <c r="G111" s="682">
        <f t="shared" si="27"/>
        <v>100</v>
      </c>
      <c r="H111" s="682">
        <f t="shared" si="27"/>
        <v>100</v>
      </c>
      <c r="I111" s="682">
        <f t="shared" si="27"/>
        <v>100</v>
      </c>
      <c r="J111" s="682">
        <f t="shared" si="27"/>
        <v>100</v>
      </c>
      <c r="K111" s="682">
        <f t="shared" si="27"/>
        <v>100</v>
      </c>
      <c r="L111" s="682">
        <f t="shared" si="27"/>
        <v>100</v>
      </c>
      <c r="M111" s="682">
        <f t="shared" si="27"/>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2570</v>
      </c>
      <c r="C112" s="3150" t="s">
        <v>3139</v>
      </c>
      <c r="D112" s="3150" t="s">
        <v>3149</v>
      </c>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99</v>
      </c>
      <c r="E113" s="682">
        <f t="shared" ref="E113:M113" si="28">D113-$K37</f>
        <v>98</v>
      </c>
      <c r="F113" s="682">
        <f t="shared" si="28"/>
        <v>97</v>
      </c>
      <c r="G113" s="682">
        <f t="shared" si="28"/>
        <v>96</v>
      </c>
      <c r="H113" s="682">
        <f t="shared" si="28"/>
        <v>95</v>
      </c>
      <c r="I113" s="682">
        <f t="shared" si="28"/>
        <v>94</v>
      </c>
      <c r="J113" s="682">
        <f t="shared" si="28"/>
        <v>93</v>
      </c>
      <c r="K113" s="682">
        <f t="shared" si="28"/>
        <v>92</v>
      </c>
      <c r="L113" s="682">
        <f t="shared" si="28"/>
        <v>91</v>
      </c>
      <c r="M113" s="682">
        <f t="shared" si="28"/>
        <v>90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776</v>
      </c>
      <c r="C114" s="3150" t="s">
        <v>3141</v>
      </c>
      <c r="D114" s="3150" t="s">
        <v>3143</v>
      </c>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9">C115-$K38</f>
        <v>98</v>
      </c>
      <c r="E115" s="682">
        <f t="shared" si="29"/>
        <v>96</v>
      </c>
      <c r="F115" s="682">
        <f t="shared" si="29"/>
        <v>94</v>
      </c>
      <c r="G115" s="682">
        <f t="shared" si="29"/>
        <v>92</v>
      </c>
      <c r="H115" s="682">
        <f t="shared" si="29"/>
        <v>90</v>
      </c>
      <c r="I115" s="682">
        <f t="shared" si="29"/>
        <v>88</v>
      </c>
      <c r="J115" s="682">
        <f t="shared" si="29"/>
        <v>86</v>
      </c>
      <c r="K115" s="682">
        <f t="shared" si="29"/>
        <v>84</v>
      </c>
      <c r="L115" s="682">
        <f t="shared" si="29"/>
        <v>82</v>
      </c>
      <c r="M115" s="683">
        <f t="shared" si="29"/>
        <v>80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777</v>
      </c>
      <c r="C116" s="3150" t="s">
        <v>3146</v>
      </c>
      <c r="D116" s="3150" t="s">
        <v>3145</v>
      </c>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778</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779</v>
      </c>
      <c r="C120" s="3152" t="s">
        <v>3105</v>
      </c>
      <c r="D120" s="3152" t="s">
        <v>3107</v>
      </c>
      <c r="E120" s="3152" t="s">
        <v>3147</v>
      </c>
      <c r="F120" s="3152" t="s">
        <v>3148</v>
      </c>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30">D121-$K41</f>
        <v>100</v>
      </c>
      <c r="F121" s="682">
        <f t="shared" si="30"/>
        <v>100</v>
      </c>
      <c r="G121" s="682">
        <f t="shared" si="30"/>
        <v>100</v>
      </c>
      <c r="H121" s="682">
        <f t="shared" si="30"/>
        <v>100</v>
      </c>
      <c r="I121" s="682">
        <f t="shared" si="30"/>
        <v>100</v>
      </c>
      <c r="J121" s="682">
        <f t="shared" si="30"/>
        <v>100</v>
      </c>
      <c r="K121" s="682">
        <f t="shared" si="30"/>
        <v>100</v>
      </c>
      <c r="L121" s="682">
        <f t="shared" si="30"/>
        <v>100</v>
      </c>
      <c r="M121" s="683">
        <f t="shared" si="30"/>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3150" t="s">
        <v>3134</v>
      </c>
      <c r="D122" s="3150" t="s">
        <v>3135</v>
      </c>
      <c r="E122" s="3150" t="s">
        <v>3136</v>
      </c>
      <c r="F122" s="3152" t="s">
        <v>3138</v>
      </c>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1">C123-$K42</f>
        <v>98</v>
      </c>
      <c r="E123" s="682">
        <f t="shared" si="31"/>
        <v>96</v>
      </c>
      <c r="F123" s="682">
        <f t="shared" si="31"/>
        <v>94</v>
      </c>
      <c r="G123" s="682">
        <f t="shared" si="31"/>
        <v>92</v>
      </c>
      <c r="H123" s="682">
        <f t="shared" si="31"/>
        <v>90</v>
      </c>
      <c r="I123" s="682">
        <f t="shared" si="31"/>
        <v>88</v>
      </c>
      <c r="J123" s="682">
        <f t="shared" si="31"/>
        <v>86</v>
      </c>
      <c r="K123" s="682">
        <f t="shared" si="31"/>
        <v>84</v>
      </c>
      <c r="L123" s="682">
        <f t="shared" si="31"/>
        <v>82</v>
      </c>
      <c r="M123" s="683">
        <f t="shared" si="31"/>
        <v>80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1" t="s">
        <v>2485</v>
      </c>
      <c r="B1" s="3452"/>
      <c r="C1" s="3453"/>
      <c r="D1" s="3454">
        <f>SUM(I10,I15,I20,I21,I23)</f>
        <v>0</v>
      </c>
      <c r="E1" s="3454"/>
      <c r="F1" s="3454"/>
      <c r="G1" s="3454"/>
      <c r="H1" s="3454"/>
      <c r="I1" s="3455"/>
    </row>
    <row r="2" spans="1:9">
      <c r="A2" s="3441" t="s">
        <v>2486</v>
      </c>
      <c r="B2" s="3442" t="s">
        <v>2487</v>
      </c>
      <c r="C2" s="3442"/>
      <c r="D2" s="2542" t="s">
        <v>2488</v>
      </c>
      <c r="E2" s="2542" t="s">
        <v>2489</v>
      </c>
      <c r="F2" s="2542" t="s">
        <v>2490</v>
      </c>
      <c r="G2" s="2542" t="s">
        <v>2491</v>
      </c>
      <c r="H2" s="2542" t="s">
        <v>2492</v>
      </c>
      <c r="I2" s="2543" t="s">
        <v>2493</v>
      </c>
    </row>
    <row r="3" spans="1:9">
      <c r="A3" s="3441"/>
      <c r="B3" s="3442" t="s">
        <v>2494</v>
      </c>
      <c r="C3" s="3442"/>
      <c r="D3" s="2544"/>
      <c r="E3" s="2542"/>
      <c r="F3" s="2545"/>
      <c r="G3" s="2545"/>
      <c r="H3" s="2546"/>
      <c r="I3" s="2547">
        <f>ROUND(D3*E3*F3*G3*H3/10000,0)</f>
        <v>0</v>
      </c>
    </row>
    <row r="4" spans="1:9">
      <c r="A4" s="3441"/>
      <c r="B4" s="3442" t="s">
        <v>2495</v>
      </c>
      <c r="C4" s="3442"/>
      <c r="D4" s="2544"/>
      <c r="E4" s="2542"/>
      <c r="F4" s="2545"/>
      <c r="G4" s="2545"/>
      <c r="H4" s="2546"/>
      <c r="I4" s="2547">
        <f t="shared" ref="I4:I9" si="0">ROUND(D4*E4*F4*G4*H4/10000,0)</f>
        <v>0</v>
      </c>
    </row>
    <row r="5" spans="1:9">
      <c r="A5" s="3441"/>
      <c r="B5" s="3442" t="s">
        <v>2496</v>
      </c>
      <c r="C5" s="3442"/>
      <c r="D5" s="2544"/>
      <c r="E5" s="2542"/>
      <c r="F5" s="2545"/>
      <c r="G5" s="2545"/>
      <c r="H5" s="2546"/>
      <c r="I5" s="2547">
        <f t="shared" si="0"/>
        <v>0</v>
      </c>
    </row>
    <row r="6" spans="1:9">
      <c r="A6" s="3441"/>
      <c r="B6" s="3442" t="s">
        <v>2497</v>
      </c>
      <c r="C6" s="3442"/>
      <c r="D6" s="2544"/>
      <c r="E6" s="2542"/>
      <c r="F6" s="2545"/>
      <c r="G6" s="2545"/>
      <c r="H6" s="2546"/>
      <c r="I6" s="2547">
        <f t="shared" si="0"/>
        <v>0</v>
      </c>
    </row>
    <row r="7" spans="1:9">
      <c r="A7" s="3441"/>
      <c r="B7" s="3442" t="s">
        <v>2498</v>
      </c>
      <c r="C7" s="3442"/>
      <c r="D7" s="2544"/>
      <c r="E7" s="2542"/>
      <c r="F7" s="2545"/>
      <c r="G7" s="2545"/>
      <c r="H7" s="2546"/>
      <c r="I7" s="2547">
        <f t="shared" si="0"/>
        <v>0</v>
      </c>
    </row>
    <row r="8" spans="1:9">
      <c r="A8" s="3441"/>
      <c r="B8" s="3442" t="s">
        <v>2499</v>
      </c>
      <c r="C8" s="3442"/>
      <c r="D8" s="2544"/>
      <c r="E8" s="2542"/>
      <c r="F8" s="2545"/>
      <c r="G8" s="2545"/>
      <c r="H8" s="2546"/>
      <c r="I8" s="2547">
        <f t="shared" si="0"/>
        <v>0</v>
      </c>
    </row>
    <row r="9" spans="1:9">
      <c r="A9" s="3441"/>
      <c r="B9" s="3442" t="s">
        <v>2500</v>
      </c>
      <c r="C9" s="3442"/>
      <c r="D9" s="2544"/>
      <c r="E9" s="2542"/>
      <c r="F9" s="2545"/>
      <c r="G9" s="2545"/>
      <c r="H9" s="2546"/>
      <c r="I9" s="2547">
        <f t="shared" si="0"/>
        <v>0</v>
      </c>
    </row>
    <row r="10" spans="1:9">
      <c r="A10" s="3441"/>
      <c r="B10" s="3443" t="s">
        <v>2501</v>
      </c>
      <c r="C10" s="3443"/>
      <c r="D10" s="2548">
        <v>527</v>
      </c>
      <c r="E10" s="2548" t="e">
        <f>ROUND(D1*10000/D10/H9,0)</f>
        <v>#DIV/0!</v>
      </c>
      <c r="F10" s="2549"/>
      <c r="G10" s="2549"/>
      <c r="H10" s="2550"/>
      <c r="I10" s="2551">
        <f>SUM(I3:I9)</f>
        <v>0</v>
      </c>
    </row>
    <row r="11" spans="1:9" ht="14.25">
      <c r="A11" s="3441" t="s">
        <v>2502</v>
      </c>
      <c r="B11" s="3442" t="s">
        <v>2503</v>
      </c>
      <c r="C11" s="3442"/>
      <c r="D11" s="2544" t="s">
        <v>2504</v>
      </c>
      <c r="E11" s="2544" t="s">
        <v>2505</v>
      </c>
      <c r="F11" s="2545" t="s">
        <v>2506</v>
      </c>
      <c r="G11" s="2545" t="s">
        <v>2507</v>
      </c>
      <c r="H11" s="2552" t="s">
        <v>2508</v>
      </c>
      <c r="I11" s="2543" t="s">
        <v>2509</v>
      </c>
    </row>
    <row r="12" spans="1:9">
      <c r="A12" s="3441"/>
      <c r="B12" s="3442" t="s">
        <v>2510</v>
      </c>
      <c r="C12" s="3442"/>
      <c r="D12" s="2544"/>
      <c r="E12" s="2544"/>
      <c r="F12" s="2545"/>
      <c r="G12" s="2546"/>
      <c r="H12" s="2553"/>
      <c r="I12" s="2543">
        <f>ROUND(D12*E12*F12*G12/10000,0)</f>
        <v>0</v>
      </c>
    </row>
    <row r="13" spans="1:9">
      <c r="A13" s="3441"/>
      <c r="B13" s="3442" t="s">
        <v>2511</v>
      </c>
      <c r="C13" s="3442"/>
      <c r="D13" s="2544"/>
      <c r="E13" s="2544"/>
      <c r="F13" s="2545"/>
      <c r="G13" s="2546"/>
      <c r="H13" s="2553"/>
      <c r="I13" s="2543">
        <f>ROUND(D13*E13*F13*G13/10000,0)</f>
        <v>0</v>
      </c>
    </row>
    <row r="14" spans="1:9">
      <c r="A14" s="3441"/>
      <c r="B14" s="3442" t="s">
        <v>2512</v>
      </c>
      <c r="C14" s="3442"/>
      <c r="D14" s="2544"/>
      <c r="E14" s="2544"/>
      <c r="F14" s="2545"/>
      <c r="G14" s="2546"/>
      <c r="H14" s="2553"/>
      <c r="I14" s="2543">
        <f>ROUND(D14*E14*F14*G14/10000,0)</f>
        <v>0</v>
      </c>
    </row>
    <row r="15" spans="1:9">
      <c r="A15" s="3441"/>
      <c r="B15" s="3443" t="s">
        <v>2501</v>
      </c>
      <c r="C15" s="3443"/>
      <c r="D15" s="2548"/>
      <c r="E15" s="2548">
        <f>SUM(E12:E14)</f>
        <v>0</v>
      </c>
      <c r="F15" s="2549"/>
      <c r="G15" s="2546"/>
      <c r="H15" s="2553"/>
      <c r="I15" s="2554">
        <f>SUM(I12:I14)</f>
        <v>0</v>
      </c>
    </row>
    <row r="16" spans="1:9" ht="24">
      <c r="A16" s="3441" t="s">
        <v>2513</v>
      </c>
      <c r="B16" s="3442" t="s">
        <v>2514</v>
      </c>
      <c r="C16" s="3442"/>
      <c r="D16" s="2544" t="s">
        <v>2515</v>
      </c>
      <c r="E16" s="2555" t="s">
        <v>2516</v>
      </c>
      <c r="F16" s="2545" t="s">
        <v>2517</v>
      </c>
      <c r="G16" s="2546" t="s">
        <v>2507</v>
      </c>
      <c r="H16" s="2552" t="s">
        <v>2508</v>
      </c>
      <c r="I16" s="2543" t="s">
        <v>2509</v>
      </c>
    </row>
    <row r="17" spans="1:9" ht="14.25">
      <c r="A17" s="3441"/>
      <c r="B17" s="3442" t="s">
        <v>2518</v>
      </c>
      <c r="C17" s="3442"/>
      <c r="D17" s="2544"/>
      <c r="E17" s="2544"/>
      <c r="F17" s="2545"/>
      <c r="G17" s="2546"/>
      <c r="H17" s="2556"/>
      <c r="I17" s="2557">
        <f>ROUND(D17*E17*F17*G17/10000,0)</f>
        <v>0</v>
      </c>
    </row>
    <row r="18" spans="1:9" ht="14.25">
      <c r="A18" s="3441"/>
      <c r="B18" s="3442" t="s">
        <v>2519</v>
      </c>
      <c r="C18" s="3442"/>
      <c r="D18" s="2544"/>
      <c r="E18" s="2544"/>
      <c r="F18" s="2545"/>
      <c r="G18" s="2546"/>
      <c r="H18" s="2556"/>
      <c r="I18" s="2557">
        <f>ROUND(D18*E18*F18*G18/10000,0)</f>
        <v>0</v>
      </c>
    </row>
    <row r="19" spans="1:9" ht="14.25">
      <c r="A19" s="3441"/>
      <c r="B19" s="3442" t="s">
        <v>2520</v>
      </c>
      <c r="C19" s="3442"/>
      <c r="D19" s="2544"/>
      <c r="E19" s="2544"/>
      <c r="F19" s="2545"/>
      <c r="G19" s="2546"/>
      <c r="H19" s="2556"/>
      <c r="I19" s="2557">
        <f>ROUND(D19*E19*F19*G19/10000,0)</f>
        <v>0</v>
      </c>
    </row>
    <row r="20" spans="1:9">
      <c r="A20" s="3441"/>
      <c r="B20" s="3443" t="s">
        <v>2501</v>
      </c>
      <c r="C20" s="3443"/>
      <c r="D20" s="2548">
        <f>SUM(D17:D19)</f>
        <v>0</v>
      </c>
      <c r="E20" s="2548"/>
      <c r="F20" s="2549"/>
      <c r="G20" s="2546"/>
      <c r="H20" s="2553"/>
      <c r="I20" s="2554">
        <f>SUM(I17:I19)</f>
        <v>0</v>
      </c>
    </row>
    <row r="21" spans="1:9">
      <c r="A21" s="3441" t="s">
        <v>2521</v>
      </c>
      <c r="B21" s="3444"/>
      <c r="C21" s="3444"/>
      <c r="D21" s="3444"/>
      <c r="E21" s="3444"/>
      <c r="F21" s="3444"/>
      <c r="G21" s="3444"/>
      <c r="H21" s="2558">
        <v>0.1</v>
      </c>
      <c r="I21" s="2551">
        <f>ROUND(I10*H21,0)</f>
        <v>0</v>
      </c>
    </row>
    <row r="22" spans="1:9" ht="14.25">
      <c r="A22" s="3445" t="s">
        <v>2522</v>
      </c>
      <c r="B22" s="3446"/>
      <c r="C22" s="3447"/>
      <c r="D22" s="2559" t="s">
        <v>2523</v>
      </c>
      <c r="E22" s="2559" t="s">
        <v>2524</v>
      </c>
      <c r="F22" s="2560" t="s">
        <v>2525</v>
      </c>
      <c r="G22" s="2560" t="s">
        <v>2526</v>
      </c>
      <c r="H22" s="2552" t="s">
        <v>2527</v>
      </c>
      <c r="I22" s="2543" t="s">
        <v>2528</v>
      </c>
    </row>
    <row r="23" spans="1:9" ht="14.25" thickBot="1">
      <c r="A23" s="3448"/>
      <c r="B23" s="3449"/>
      <c r="C23" s="3450"/>
      <c r="D23" s="2561"/>
      <c r="E23" s="2561"/>
      <c r="F23" s="2561"/>
      <c r="G23" s="2562"/>
      <c r="H23" s="2563"/>
      <c r="I23" s="2564">
        <f>ROUND(E23*D23*F23*(1-G23)/10000,0)</f>
        <v>0</v>
      </c>
    </row>
    <row r="26" spans="1:9">
      <c r="A26" s="2565" t="s">
        <v>2529</v>
      </c>
      <c r="B26" s="2565"/>
      <c r="C26" s="2565"/>
      <c r="D26" s="2565"/>
      <c r="E26" s="3438">
        <f>C27-C30-C31-C32</f>
        <v>0</v>
      </c>
      <c r="F26" s="3438"/>
      <c r="G26" s="3438"/>
      <c r="H26" s="3083" t="s">
        <v>2859</v>
      </c>
    </row>
    <row r="27" spans="1:9">
      <c r="A27" s="2566">
        <v>1</v>
      </c>
      <c r="B27" s="2567" t="s">
        <v>2530</v>
      </c>
      <c r="C27" s="2567"/>
      <c r="D27" s="2567"/>
      <c r="E27" s="3439"/>
      <c r="F27" s="3439"/>
      <c r="G27" s="3439"/>
    </row>
    <row r="28" spans="1:9">
      <c r="A28" s="2568" t="s">
        <v>2531</v>
      </c>
      <c r="B28" s="2567" t="s">
        <v>2532</v>
      </c>
      <c r="C28" s="2567"/>
      <c r="D28" s="2567"/>
      <c r="E28" s="3439"/>
      <c r="F28" s="3439"/>
      <c r="G28" s="3439"/>
    </row>
    <row r="29" spans="1:9">
      <c r="A29" s="2568" t="s">
        <v>2533</v>
      </c>
      <c r="B29" s="2567" t="s">
        <v>2473</v>
      </c>
      <c r="C29" s="2567"/>
      <c r="D29" s="2567"/>
      <c r="E29" s="2567" t="s">
        <v>2534</v>
      </c>
      <c r="F29" s="2567"/>
      <c r="G29" s="2567"/>
    </row>
    <row r="30" spans="1:9">
      <c r="A30" s="2566">
        <v>2</v>
      </c>
      <c r="B30" s="2567" t="s">
        <v>2535</v>
      </c>
      <c r="C30" s="2567">
        <f>C27*D30</f>
        <v>0</v>
      </c>
      <c r="D30" s="2569">
        <v>0.2</v>
      </c>
      <c r="E30" s="2567" t="s">
        <v>2536</v>
      </c>
      <c r="F30" s="2567"/>
      <c r="G30" s="2567"/>
    </row>
    <row r="31" spans="1:9">
      <c r="A31" s="2566">
        <v>3</v>
      </c>
      <c r="B31" s="2567" t="s">
        <v>2537</v>
      </c>
      <c r="C31" s="2567">
        <f>C25*D31</f>
        <v>0</v>
      </c>
      <c r="D31" s="2569">
        <v>0.15</v>
      </c>
      <c r="E31" s="2567" t="s">
        <v>2538</v>
      </c>
      <c r="F31" s="2567"/>
      <c r="G31" s="2567"/>
    </row>
    <row r="32" spans="1:9">
      <c r="A32" s="2566">
        <v>4</v>
      </c>
      <c r="B32" s="2567" t="s">
        <v>2539</v>
      </c>
      <c r="C32" s="2567">
        <f>C27*D32</f>
        <v>0</v>
      </c>
      <c r="D32" s="2569">
        <v>0.05</v>
      </c>
      <c r="E32" s="3440"/>
      <c r="F32" s="3440"/>
      <c r="G32" s="3440"/>
    </row>
    <row r="33" spans="1:7" hidden="1">
      <c r="A33" s="3435" t="s">
        <v>2540</v>
      </c>
      <c r="B33" s="3436"/>
      <c r="C33" s="3436"/>
      <c r="D33" s="3437"/>
      <c r="E33" s="3438"/>
      <c r="F33" s="3438"/>
      <c r="G33" s="3438"/>
    </row>
    <row r="34" spans="1:7" hidden="1">
      <c r="A34" s="2570">
        <v>1</v>
      </c>
      <c r="B34" s="2567" t="s">
        <v>2541</v>
      </c>
      <c r="C34" s="2567"/>
      <c r="D34" s="2567"/>
      <c r="E34" s="3439"/>
      <c r="F34" s="3439"/>
      <c r="G34" s="3439"/>
    </row>
    <row r="35" spans="1:7" hidden="1">
      <c r="A35" s="2570">
        <v>2</v>
      </c>
      <c r="B35" s="2567" t="s">
        <v>2542</v>
      </c>
      <c r="C35" s="2567"/>
      <c r="D35" s="2567"/>
      <c r="E35" s="3439"/>
      <c r="F35" s="3439"/>
      <c r="G35" s="3439"/>
    </row>
    <row r="36" spans="1:7" hidden="1">
      <c r="A36" s="2570">
        <v>3</v>
      </c>
      <c r="B36" s="2567" t="s">
        <v>2543</v>
      </c>
      <c r="C36" s="2567"/>
      <c r="D36" s="2567"/>
      <c r="E36" s="3439"/>
      <c r="F36" s="3439"/>
      <c r="G36" s="3439"/>
    </row>
    <row r="37" spans="1:7" hidden="1">
      <c r="A37" s="2570">
        <v>4</v>
      </c>
      <c r="B37" s="2567" t="s">
        <v>2544</v>
      </c>
      <c r="C37" s="2567"/>
      <c r="D37" s="2567"/>
      <c r="E37" s="3439"/>
      <c r="F37" s="3439"/>
      <c r="G37" s="3439"/>
    </row>
    <row r="38" spans="1:7" hidden="1">
      <c r="A38" s="3435" t="s">
        <v>2545</v>
      </c>
      <c r="B38" s="3436"/>
      <c r="C38" s="3436"/>
      <c r="D38" s="3437"/>
      <c r="E38" s="3438"/>
      <c r="F38" s="3438"/>
      <c r="G38" s="34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F20" sqref="F20"/>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604</v>
      </c>
      <c r="B1" s="745"/>
      <c r="C1" s="2192"/>
      <c r="D1" s="2192"/>
      <c r="E1" s="2192"/>
      <c r="F1" s="2192"/>
      <c r="G1" s="2118"/>
    </row>
    <row r="2" spans="1:25" s="2066" customFormat="1" ht="18" customHeight="1">
      <c r="A2" s="426" t="s">
        <v>467</v>
      </c>
      <c r="B2" s="428">
        <f ca="1">C23</f>
        <v>0</v>
      </c>
      <c r="C2" s="2118"/>
      <c r="D2" s="2118"/>
      <c r="E2" s="2118"/>
      <c r="F2" s="2118"/>
      <c r="G2" s="2118"/>
    </row>
    <row r="3" spans="1:25" s="2066" customFormat="1" ht="18" customHeight="1">
      <c r="A3" s="1384" t="s">
        <v>1688</v>
      </c>
      <c r="B3" s="428">
        <f ca="1">ROUND(B2*10000/'数据-汇总表'!E3,0)</f>
        <v>0</v>
      </c>
      <c r="C3" s="2118"/>
      <c r="D3" s="2118"/>
      <c r="E3" s="2118"/>
      <c r="F3" s="2118"/>
      <c r="G3" s="2118"/>
    </row>
    <row r="4" spans="1:25" s="2066" customFormat="1" ht="18" customHeight="1">
      <c r="A4" s="429" t="s">
        <v>468</v>
      </c>
      <c r="B4" s="430">
        <f ca="1">ROUND(B2*10000/'数据-汇总表'!D3,0)</f>
        <v>0</v>
      </c>
      <c r="C4" s="2068"/>
      <c r="D4" s="2118"/>
      <c r="E4" s="2118"/>
      <c r="F4" s="2118"/>
      <c r="G4" s="2118"/>
    </row>
    <row r="5" spans="1:25" s="2066" customFormat="1" ht="18" customHeight="1" thickBot="1">
      <c r="A5" s="432"/>
      <c r="B5" s="433">
        <f ca="1">ROUND(B2/('数据-汇总表'!D3/666.67),0)</f>
        <v>0</v>
      </c>
      <c r="C5" s="434" t="s">
        <v>469</v>
      </c>
      <c r="D5" s="2118"/>
      <c r="E5" s="2118"/>
      <c r="F5" s="2118"/>
      <c r="G5" s="2118"/>
    </row>
    <row r="6" spans="1:25" s="2193" customFormat="1" ht="13.5" customHeight="1">
      <c r="A6" s="746"/>
      <c r="B6" s="747" t="s">
        <v>605</v>
      </c>
      <c r="C6" s="748" t="s">
        <v>606</v>
      </c>
      <c r="D6" s="748" t="s">
        <v>607</v>
      </c>
      <c r="E6" s="749" t="s">
        <v>608</v>
      </c>
      <c r="F6" s="749" t="s">
        <v>609</v>
      </c>
      <c r="G6" s="750"/>
    </row>
    <row r="7" spans="1:25" s="2193" customFormat="1" ht="13.5" customHeight="1">
      <c r="A7" s="2504">
        <v>1</v>
      </c>
      <c r="B7" s="751" t="s">
        <v>610</v>
      </c>
      <c r="C7" s="752">
        <f>C8+C9</f>
        <v>0</v>
      </c>
      <c r="D7" s="752"/>
      <c r="E7" s="753"/>
      <c r="F7" s="753"/>
      <c r="G7" s="2514"/>
    </row>
    <row r="8" spans="1:25" s="2193" customFormat="1" ht="13.5" customHeight="1">
      <c r="A8" s="2504" t="s">
        <v>2452</v>
      </c>
      <c r="B8" s="2507" t="s">
        <v>2454</v>
      </c>
      <c r="C8" s="2508"/>
      <c r="D8" s="752"/>
      <c r="E8" s="753"/>
      <c r="F8" s="753"/>
      <c r="G8" s="754"/>
    </row>
    <row r="9" spans="1:25" s="2193" customFormat="1" ht="13.5" customHeight="1">
      <c r="A9" s="2504" t="s">
        <v>2453</v>
      </c>
      <c r="B9" s="2507" t="s">
        <v>2455</v>
      </c>
      <c r="C9" s="2508"/>
      <c r="D9" s="752"/>
      <c r="E9" s="753"/>
      <c r="F9" s="753"/>
      <c r="G9" s="754"/>
    </row>
    <row r="10" spans="1:25" s="2193" customFormat="1" ht="36">
      <c r="A10" s="2504">
        <v>2</v>
      </c>
      <c r="B10" s="751" t="s">
        <v>614</v>
      </c>
      <c r="C10" s="752">
        <f>C11+C14+C15</f>
        <v>0</v>
      </c>
      <c r="D10" s="763">
        <f>'数据-汇总表'!E3</f>
        <v>129001.58</v>
      </c>
      <c r="E10" s="752">
        <f>'数据-取费表'!B31</f>
        <v>180</v>
      </c>
      <c r="F10" s="764"/>
      <c r="G10" s="762" t="s">
        <v>615</v>
      </c>
    </row>
    <row r="11" spans="1:25" s="2193" customFormat="1" ht="13.5" customHeight="1">
      <c r="A11" s="2504" t="s">
        <v>2452</v>
      </c>
      <c r="B11" s="755" t="s">
        <v>611</v>
      </c>
      <c r="C11" s="756">
        <f>'数据-取费表'!B29</f>
        <v>0</v>
      </c>
      <c r="D11" s="757"/>
      <c r="E11" s="756"/>
      <c r="F11" s="758"/>
      <c r="G11" s="2513" t="s">
        <v>2463</v>
      </c>
    </row>
    <row r="12" spans="1:25" s="2193" customFormat="1" ht="13.5" customHeight="1">
      <c r="A12" s="2511" t="s">
        <v>2460</v>
      </c>
      <c r="B12" s="759" t="s">
        <v>612</v>
      </c>
      <c r="C12" s="760">
        <f>ROUND(D12*E12/10000,0)</f>
        <v>0</v>
      </c>
      <c r="D12" s="761">
        <f>'数据-汇总表'!E5</f>
        <v>0</v>
      </c>
      <c r="E12" s="760">
        <f>'数据-取费表'!B27</f>
        <v>0</v>
      </c>
      <c r="F12" s="758"/>
      <c r="G12" s="762"/>
    </row>
    <row r="13" spans="1:25" s="2193" customFormat="1" ht="13.5" customHeight="1">
      <c r="A13" s="2511" t="s">
        <v>2459</v>
      </c>
      <c r="B13" s="759" t="s">
        <v>613</v>
      </c>
      <c r="C13" s="760">
        <f>ROUND(D13*E13/10000,0)</f>
        <v>2838</v>
      </c>
      <c r="D13" s="761">
        <f>'数据-汇总表'!E6</f>
        <v>129001.58</v>
      </c>
      <c r="E13" s="760">
        <f>'数据-取费表'!B28</f>
        <v>220</v>
      </c>
      <c r="F13" s="758"/>
      <c r="G13" s="762"/>
    </row>
    <row r="14" spans="1:25" s="2193" customFormat="1" ht="13.5" customHeight="1">
      <c r="A14" s="2504" t="s">
        <v>2453</v>
      </c>
      <c r="B14" s="2510" t="s">
        <v>2456</v>
      </c>
      <c r="C14" s="2508"/>
      <c r="D14" s="761"/>
      <c r="E14" s="760"/>
      <c r="F14" s="2509"/>
      <c r="G14" s="2512" t="s">
        <v>2461</v>
      </c>
    </row>
    <row r="15" spans="1:25" s="2193" customFormat="1" ht="13.5" customHeight="1">
      <c r="A15" s="2504" t="s">
        <v>2458</v>
      </c>
      <c r="B15" s="2510" t="s">
        <v>2457</v>
      </c>
      <c r="C15" s="2508"/>
      <c r="D15" s="761"/>
      <c r="E15" s="760"/>
      <c r="F15" s="2509"/>
      <c r="G15" s="2512" t="s">
        <v>2462</v>
      </c>
    </row>
    <row r="16" spans="1:25" s="2194" customFormat="1" ht="48">
      <c r="A16" s="2504">
        <v>3</v>
      </c>
      <c r="B16" s="751" t="s">
        <v>616</v>
      </c>
      <c r="C16" s="2508"/>
      <c r="D16" s="763"/>
      <c r="E16" s="752"/>
      <c r="F16" s="764"/>
      <c r="G16" s="762" t="s">
        <v>2464</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617</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618</v>
      </c>
      <c r="C18" s="752">
        <f>ROUND((C7+C10+C16)*F18,0)</f>
        <v>0</v>
      </c>
      <c r="D18" s="765"/>
      <c r="E18" s="766"/>
      <c r="F18" s="764">
        <f>'数据-取费表'!Q16</f>
        <v>0.25</v>
      </c>
      <c r="G18" s="768" t="s">
        <v>619</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620</v>
      </c>
      <c r="C19" s="752">
        <f ca="1">C7+C10+C16+C17+C18</f>
        <v>0</v>
      </c>
      <c r="D19" s="763"/>
      <c r="E19" s="752"/>
      <c r="F19" s="764"/>
      <c r="G19" s="768" t="s">
        <v>621</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622</v>
      </c>
      <c r="C20" s="752">
        <f ca="1">ROUND(C19*F20,0)</f>
        <v>0</v>
      </c>
      <c r="D20" s="763"/>
      <c r="E20" s="752"/>
      <c r="F20" s="1352"/>
      <c r="G20" s="768" t="s">
        <v>623</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624</v>
      </c>
      <c r="C21" s="752">
        <f ca="1">C19+C20</f>
        <v>0</v>
      </c>
      <c r="D21" s="763"/>
      <c r="E21" s="752"/>
      <c r="F21" s="764"/>
      <c r="G21" s="768" t="s">
        <v>625</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626</v>
      </c>
      <c r="C22" s="752">
        <f ca="1">ROUND(C21*F22,0)</f>
        <v>0</v>
      </c>
      <c r="D22" s="763"/>
      <c r="E22" s="752"/>
      <c r="F22" s="769">
        <f>'数据-取费表'!AP16</f>
        <v>0.78100000000000003</v>
      </c>
      <c r="G22" s="768" t="s">
        <v>627</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628</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c r="E1" s="2661"/>
      <c r="F1" s="2846"/>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7" t="e">
        <f>ROUND(B3*D3/10000,0)</f>
        <v>#DIV/0!</v>
      </c>
      <c r="C2" s="2137"/>
      <c r="D2" s="2137"/>
      <c r="E2" s="2137"/>
      <c r="F2" s="2211"/>
      <c r="G2" s="2137"/>
      <c r="H2" s="2137"/>
      <c r="I2" s="2137"/>
      <c r="J2" s="2137"/>
      <c r="K2" s="2212"/>
      <c r="L2" s="2213"/>
      <c r="M2" s="2214"/>
      <c r="N2" s="2214"/>
      <c r="O2" s="2214"/>
      <c r="P2" s="1608"/>
      <c r="Q2" s="1608"/>
      <c r="R2" s="1608"/>
      <c r="S2" s="1608"/>
      <c r="T2" s="1608"/>
      <c r="U2" s="1608"/>
      <c r="V2" s="1608"/>
      <c r="W2" s="1608"/>
      <c r="X2" s="1608"/>
      <c r="Y2" s="1608"/>
      <c r="Z2" s="1608"/>
      <c r="AA2" s="1608"/>
      <c r="AB2" s="1608"/>
      <c r="AC2" s="1609"/>
    </row>
    <row r="3" spans="1:29" s="1366" customFormat="1" ht="28.5" customHeight="1" thickBot="1">
      <c r="A3" s="512" t="s">
        <v>520</v>
      </c>
      <c r="B3" s="854" t="e">
        <f>C49</f>
        <v>#DIV/0!</v>
      </c>
      <c r="C3" s="855" t="s">
        <v>725</v>
      </c>
      <c r="D3" s="854">
        <f>SUMIF('数据-汇总表'!$C19:$C33,D1,'数据-汇总表'!$E19:$E33)</f>
        <v>0</v>
      </c>
      <c r="E3" s="2137"/>
      <c r="F3" s="2211"/>
      <c r="G3" s="2137"/>
      <c r="H3" s="2137"/>
      <c r="I3" s="2137"/>
      <c r="J3" s="2137"/>
      <c r="K3" s="2212"/>
      <c r="L3" s="2213"/>
      <c r="M3" s="2214"/>
      <c r="N3" s="2214"/>
      <c r="O3" s="2214"/>
      <c r="P3" s="1608"/>
      <c r="Q3" s="1608"/>
      <c r="R3" s="1608"/>
      <c r="S3" s="1608"/>
      <c r="T3" s="1608"/>
      <c r="U3" s="1608"/>
      <c r="V3" s="1608"/>
      <c r="W3" s="1608"/>
      <c r="X3" s="1608"/>
      <c r="Y3" s="1608"/>
      <c r="Z3" s="1608"/>
      <c r="AA3" s="1608"/>
      <c r="AB3" s="1608"/>
      <c r="AC3" s="1610"/>
    </row>
    <row r="4" spans="1:29" ht="15">
      <c r="A4" s="515" t="s">
        <v>522</v>
      </c>
      <c r="B4" s="516"/>
      <c r="C4" s="3363" t="s">
        <v>523</v>
      </c>
      <c r="D4" s="3364"/>
      <c r="E4" s="3387" t="s">
        <v>524</v>
      </c>
      <c r="F4" s="3388"/>
      <c r="G4" s="3363" t="s">
        <v>525</v>
      </c>
      <c r="H4" s="3364"/>
      <c r="I4" s="3363" t="s">
        <v>526</v>
      </c>
      <c r="J4" s="3364"/>
      <c r="K4" s="856" t="s">
        <v>527</v>
      </c>
      <c r="L4" s="2143"/>
      <c r="M4" s="2144"/>
      <c r="N4" s="2144"/>
      <c r="O4" s="2144"/>
      <c r="P4" s="3365" t="s">
        <v>528</v>
      </c>
      <c r="Q4" s="3366"/>
      <c r="R4" s="3351" t="s">
        <v>524</v>
      </c>
      <c r="S4" s="3352"/>
      <c r="T4" s="3351" t="s">
        <v>525</v>
      </c>
      <c r="U4" s="3352"/>
      <c r="V4" s="3371" t="s">
        <v>526</v>
      </c>
      <c r="W4" s="3371"/>
      <c r="X4" s="1573"/>
      <c r="Y4" s="3351" t="s">
        <v>528</v>
      </c>
      <c r="Z4" s="3352"/>
      <c r="AA4" s="3346" t="s">
        <v>524</v>
      </c>
      <c r="AB4" s="3346" t="s">
        <v>525</v>
      </c>
      <c r="AC4" s="3346" t="s">
        <v>526</v>
      </c>
    </row>
    <row r="5" spans="1:29" ht="15">
      <c r="A5" s="518"/>
      <c r="B5" s="519"/>
      <c r="C5" s="3374" t="s">
        <v>2942</v>
      </c>
      <c r="D5" s="3375"/>
      <c r="E5" s="3389" t="s">
        <v>2943</v>
      </c>
      <c r="F5" s="3390"/>
      <c r="G5" s="3374" t="s">
        <v>2944</v>
      </c>
      <c r="H5" s="3375"/>
      <c r="I5" s="3374" t="s">
        <v>2945</v>
      </c>
      <c r="J5" s="3375"/>
      <c r="K5" s="857"/>
      <c r="L5" s="2143"/>
      <c r="M5" s="2144"/>
      <c r="N5" s="2144"/>
      <c r="O5" s="2144"/>
      <c r="P5" s="3367"/>
      <c r="Q5" s="3368"/>
      <c r="R5" s="3353"/>
      <c r="S5" s="3354"/>
      <c r="T5" s="3353"/>
      <c r="U5" s="3354"/>
      <c r="V5" s="3371"/>
      <c r="W5" s="3371"/>
      <c r="X5" s="1573"/>
      <c r="Y5" s="3353"/>
      <c r="Z5" s="3354"/>
      <c r="AA5" s="3347"/>
      <c r="AB5" s="3347"/>
      <c r="AC5" s="3347"/>
    </row>
    <row r="6" spans="1:29" ht="15.75" thickBot="1">
      <c r="A6" s="520"/>
      <c r="B6" s="521"/>
      <c r="C6" s="3372" t="s">
        <v>2946</v>
      </c>
      <c r="D6" s="3373"/>
      <c r="E6" s="3391" t="s">
        <v>2946</v>
      </c>
      <c r="F6" s="3392"/>
      <c r="G6" s="3372" t="s">
        <v>2946</v>
      </c>
      <c r="H6" s="3373"/>
      <c r="I6" s="3372" t="s">
        <v>2946</v>
      </c>
      <c r="J6" s="3373"/>
      <c r="K6" s="857" t="s">
        <v>529</v>
      </c>
      <c r="L6" s="2143"/>
      <c r="M6" s="2144"/>
      <c r="N6" s="2144"/>
      <c r="O6" s="2144"/>
      <c r="P6" s="3369"/>
      <c r="Q6" s="3370"/>
      <c r="R6" s="3353"/>
      <c r="S6" s="3354"/>
      <c r="T6" s="3355"/>
      <c r="U6" s="3356"/>
      <c r="V6" s="3371"/>
      <c r="W6" s="3371"/>
      <c r="X6" s="1573"/>
      <c r="Y6" s="3355"/>
      <c r="Z6" s="3356"/>
      <c r="AA6" s="3348"/>
      <c r="AB6" s="3348"/>
      <c r="AC6" s="3348"/>
    </row>
    <row r="7" spans="1:29" s="1223" customFormat="1" ht="15.75" thickBot="1">
      <c r="A7" s="2951"/>
      <c r="B7" s="2958" t="s">
        <v>530</v>
      </c>
      <c r="C7" s="522">
        <f>'数据-取费表'!B2</f>
        <v>42912</v>
      </c>
      <c r="D7" s="523">
        <v>100</v>
      </c>
      <c r="E7" s="524"/>
      <c r="F7" s="525">
        <f>SUMIF(58:58,YEAR(E7)&amp;"-"&amp;MONTH(E7),59:59)</f>
        <v>0</v>
      </c>
      <c r="G7" s="526"/>
      <c r="H7" s="523">
        <f>SUMIF(58:58,YEAR(G7)&amp;"-"&amp;MONTH(G7),59:59)</f>
        <v>0</v>
      </c>
      <c r="I7" s="526"/>
      <c r="J7" s="523">
        <f>SUMIF(58:58,YEAR(I7)&amp;"-"&amp;MONTH(I7),59:59)</f>
        <v>0</v>
      </c>
      <c r="K7" s="858"/>
      <c r="L7" s="2145"/>
      <c r="M7" s="2146"/>
      <c r="N7" s="2146"/>
      <c r="O7" s="2146"/>
      <c r="P7" s="3349" t="s">
        <v>531</v>
      </c>
      <c r="Q7" s="3358"/>
      <c r="R7" s="1574" t="s">
        <v>13</v>
      </c>
      <c r="S7" s="1575">
        <f t="shared" ref="S7:S15" si="0">F7</f>
        <v>0</v>
      </c>
      <c r="T7" s="1574" t="s">
        <v>13</v>
      </c>
      <c r="U7" s="1575">
        <f t="shared" ref="U7:U15" si="1">H7</f>
        <v>0</v>
      </c>
      <c r="V7" s="1574" t="s">
        <v>13</v>
      </c>
      <c r="W7" s="1575">
        <f t="shared" ref="W7:W15" si="2">J7</f>
        <v>0</v>
      </c>
      <c r="X7" s="1576"/>
      <c r="Y7" s="3349" t="s">
        <v>531</v>
      </c>
      <c r="Z7" s="3350"/>
      <c r="AA7" s="1577" t="e">
        <f>D7/F7</f>
        <v>#DIV/0!</v>
      </c>
      <c r="AB7" s="1577" t="e">
        <f>D7/H7</f>
        <v>#DIV/0!</v>
      </c>
      <c r="AC7" s="1577" t="e">
        <f>D7/J7</f>
        <v>#DIV/0!</v>
      </c>
    </row>
    <row r="8" spans="1:29" s="1223" customFormat="1" ht="15.75" thickBot="1">
      <c r="A8" s="2952"/>
      <c r="B8" s="2959" t="s">
        <v>532</v>
      </c>
      <c r="C8" s="528" t="s">
        <v>577</v>
      </c>
      <c r="D8" s="523">
        <v>100</v>
      </c>
      <c r="E8" s="859"/>
      <c r="F8" s="525">
        <f>SUMIF(61:61,E8,62:62)-SUMIF(61:61,C8,62:62)+100</f>
        <v>0</v>
      </c>
      <c r="G8" s="528"/>
      <c r="H8" s="523">
        <f>SUMIF(61:61,G8,62:62)-SUMIF(61:61,C8,62:62)+100</f>
        <v>0</v>
      </c>
      <c r="I8" s="859"/>
      <c r="J8" s="523">
        <f>SUMIF(61:61,I8,62:62)-SUMIF(61:61,C8,62:62)+100</f>
        <v>0</v>
      </c>
      <c r="K8" s="858"/>
      <c r="L8" s="2145"/>
      <c r="M8" s="2146"/>
      <c r="N8" s="2146"/>
      <c r="O8" s="2146"/>
      <c r="P8" s="3349" t="s">
        <v>534</v>
      </c>
      <c r="Q8" s="3350"/>
      <c r="R8" s="1574" t="s">
        <v>13</v>
      </c>
      <c r="S8" s="1575">
        <f t="shared" si="0"/>
        <v>0</v>
      </c>
      <c r="T8" s="1574" t="s">
        <v>13</v>
      </c>
      <c r="U8" s="1575">
        <f t="shared" si="1"/>
        <v>0</v>
      </c>
      <c r="V8" s="1574" t="s">
        <v>13</v>
      </c>
      <c r="W8" s="1575">
        <f t="shared" si="2"/>
        <v>0</v>
      </c>
      <c r="X8" s="1576"/>
      <c r="Y8" s="3349" t="s">
        <v>534</v>
      </c>
      <c r="Z8" s="3350"/>
      <c r="AA8" s="1577" t="e">
        <f t="shared" ref="AA8:AA46" si="3">D8/F8</f>
        <v>#DIV/0!</v>
      </c>
      <c r="AB8" s="1577" t="e">
        <f t="shared" ref="AB8:AB46" si="4">D8/H8</f>
        <v>#DIV/0!</v>
      </c>
      <c r="AC8" s="1577" t="e">
        <f t="shared" ref="AC8:AC46" si="5">D8/J8</f>
        <v>#DIV/0!</v>
      </c>
    </row>
    <row r="9" spans="1:29" s="1223" customFormat="1" ht="15">
      <c r="A9" s="2953"/>
      <c r="B9" s="2960" t="s">
        <v>2772</v>
      </c>
      <c r="C9" s="860"/>
      <c r="D9" s="254">
        <v>100</v>
      </c>
      <c r="E9" s="861"/>
      <c r="F9" s="862">
        <f>SUMIF(63:63,E9,64:64)-SUMIF(63:63,C9,64:64)+100</f>
        <v>100</v>
      </c>
      <c r="G9" s="863"/>
      <c r="H9" s="254">
        <f>SUMIF(63:63,G9,64:64)-SUMIF(63:63,C9,64:64)+100</f>
        <v>100</v>
      </c>
      <c r="I9" s="863"/>
      <c r="J9" s="254">
        <f>SUMIF(63:63,I9,64:64)-SUMIF(63:63,C9,64:64)+100</f>
        <v>100</v>
      </c>
      <c r="K9" s="858"/>
      <c r="L9" s="2145"/>
      <c r="M9" s="2146"/>
      <c r="N9" s="2146"/>
      <c r="O9" s="2147"/>
      <c r="P9" s="3357" t="s">
        <v>536</v>
      </c>
      <c r="Q9" s="1154" t="str">
        <f t="shared" ref="Q9:Q15" si="6">B9</f>
        <v>用途</v>
      </c>
      <c r="R9" s="1574" t="s">
        <v>8</v>
      </c>
      <c r="S9" s="1575">
        <f t="shared" si="0"/>
        <v>100</v>
      </c>
      <c r="T9" s="1574" t="s">
        <v>8</v>
      </c>
      <c r="U9" s="1575">
        <f t="shared" si="1"/>
        <v>100</v>
      </c>
      <c r="V9" s="1574" t="s">
        <v>8</v>
      </c>
      <c r="W9" s="1575">
        <f t="shared" si="2"/>
        <v>100</v>
      </c>
      <c r="X9" s="1576"/>
      <c r="Y9" s="3314" t="s">
        <v>537</v>
      </c>
      <c r="Z9" s="1153" t="str">
        <f t="shared" ref="Z9:Z15" si="7">Q9</f>
        <v>用途</v>
      </c>
      <c r="AA9" s="1577">
        <f t="shared" si="3"/>
        <v>1</v>
      </c>
      <c r="AB9" s="1577">
        <f t="shared" si="4"/>
        <v>1</v>
      </c>
      <c r="AC9" s="1577">
        <f t="shared" si="5"/>
        <v>1</v>
      </c>
    </row>
    <row r="10" spans="1:29" s="1341" customFormat="1" ht="27">
      <c r="A10" s="2954"/>
      <c r="B10" s="2959" t="s">
        <v>2773</v>
      </c>
      <c r="C10" s="864"/>
      <c r="D10" s="255">
        <v>100</v>
      </c>
      <c r="E10" s="865"/>
      <c r="F10" s="866">
        <f>SUMIF(65:65,E10,66:66)-SUMIF(65:65,C10,66:66)+100</f>
        <v>100</v>
      </c>
      <c r="G10" s="864"/>
      <c r="H10" s="255">
        <f>SUMIF(65:65,G10,66:66)-SUMIF(65:65,C10,66:66)+100</f>
        <v>100</v>
      </c>
      <c r="I10" s="864"/>
      <c r="J10" s="255">
        <f>SUMIF(65:65,I10,66:66)-SUMIF(65:65,C10,66:66)+100</f>
        <v>100</v>
      </c>
      <c r="K10" s="867"/>
      <c r="L10" s="2148"/>
      <c r="M10" s="2188"/>
      <c r="N10" s="2188"/>
      <c r="O10" s="2149"/>
      <c r="P10" s="3357"/>
      <c r="Q10" s="1154" t="str">
        <f t="shared" si="6"/>
        <v>土地使用年限（年）</v>
      </c>
      <c r="R10" s="1574" t="s">
        <v>8</v>
      </c>
      <c r="S10" s="1575">
        <f t="shared" si="0"/>
        <v>100</v>
      </c>
      <c r="T10" s="1574" t="s">
        <v>8</v>
      </c>
      <c r="U10" s="1575">
        <f t="shared" si="1"/>
        <v>100</v>
      </c>
      <c r="V10" s="1574" t="s">
        <v>8</v>
      </c>
      <c r="W10" s="1575">
        <f t="shared" si="2"/>
        <v>100</v>
      </c>
      <c r="X10" s="1576"/>
      <c r="Y10" s="3314"/>
      <c r="Z10" s="1153" t="str">
        <f t="shared" si="7"/>
        <v>土地使用年限（年）</v>
      </c>
      <c r="AA10" s="1577">
        <f t="shared" si="3"/>
        <v>1</v>
      </c>
      <c r="AB10" s="1577">
        <f t="shared" si="4"/>
        <v>1</v>
      </c>
      <c r="AC10" s="1577">
        <f t="shared" si="5"/>
        <v>1</v>
      </c>
    </row>
    <row r="11" spans="1:29" ht="15">
      <c r="A11" s="2955"/>
      <c r="B11" s="2959" t="s">
        <v>2774</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0"/>
      <c r="M11" s="2144"/>
      <c r="N11" s="2144"/>
      <c r="O11" s="2151"/>
      <c r="P11" s="3357"/>
      <c r="Q11" s="1154" t="str">
        <f t="shared" si="6"/>
        <v>容积率</v>
      </c>
      <c r="R11" s="1574" t="s">
        <v>11</v>
      </c>
      <c r="S11" s="1575" t="e">
        <f t="shared" si="0"/>
        <v>#N/A</v>
      </c>
      <c r="T11" s="1574" t="s">
        <v>11</v>
      </c>
      <c r="U11" s="1575" t="e">
        <f t="shared" si="1"/>
        <v>#N/A</v>
      </c>
      <c r="V11" s="1574" t="s">
        <v>11</v>
      </c>
      <c r="W11" s="1575" t="e">
        <f t="shared" si="2"/>
        <v>#N/A</v>
      </c>
      <c r="X11" s="1576"/>
      <c r="Y11" s="3314"/>
      <c r="Z11" s="1153" t="str">
        <f t="shared" si="7"/>
        <v>容积率</v>
      </c>
      <c r="AA11" s="1577" t="e">
        <f t="shared" si="3"/>
        <v>#N/A</v>
      </c>
      <c r="AB11" s="1577" t="e">
        <f t="shared" si="4"/>
        <v>#N/A</v>
      </c>
      <c r="AC11" s="1577" t="e">
        <f t="shared" si="5"/>
        <v>#N/A</v>
      </c>
    </row>
    <row r="12" spans="1:29" s="1223" customFormat="1" ht="15">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57"/>
      <c r="Q12" s="1154">
        <f t="shared" si="6"/>
        <v>111</v>
      </c>
      <c r="R12" s="1574" t="s">
        <v>11</v>
      </c>
      <c r="S12" s="1575">
        <f t="shared" si="0"/>
        <v>100</v>
      </c>
      <c r="T12" s="1574" t="s">
        <v>11</v>
      </c>
      <c r="U12" s="1575">
        <f t="shared" si="1"/>
        <v>100</v>
      </c>
      <c r="V12" s="1574" t="s">
        <v>11</v>
      </c>
      <c r="W12" s="1575">
        <f t="shared" si="2"/>
        <v>100</v>
      </c>
      <c r="X12" s="1576"/>
      <c r="Y12" s="3314"/>
      <c r="Z12" s="1153">
        <f t="shared" si="7"/>
        <v>111</v>
      </c>
      <c r="AA12" s="1577">
        <f>D12/F12</f>
        <v>1</v>
      </c>
      <c r="AB12" s="1577">
        <f>D12/H12</f>
        <v>1</v>
      </c>
      <c r="AC12" s="1577">
        <f>D12/J12</f>
        <v>1</v>
      </c>
    </row>
    <row r="13" spans="1:29" ht="15">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57"/>
      <c r="Q13" s="1154">
        <f t="shared" si="6"/>
        <v>111</v>
      </c>
      <c r="R13" s="1574" t="s">
        <v>11</v>
      </c>
      <c r="S13" s="1575">
        <f t="shared" si="0"/>
        <v>100</v>
      </c>
      <c r="T13" s="1574" t="s">
        <v>11</v>
      </c>
      <c r="U13" s="1575">
        <f t="shared" si="1"/>
        <v>100</v>
      </c>
      <c r="V13" s="1574" t="s">
        <v>11</v>
      </c>
      <c r="W13" s="1575">
        <f t="shared" si="2"/>
        <v>100</v>
      </c>
      <c r="X13" s="1576"/>
      <c r="Y13" s="3314"/>
      <c r="Z13" s="1153">
        <f t="shared" si="7"/>
        <v>111</v>
      </c>
      <c r="AA13" s="1577">
        <f t="shared" si="3"/>
        <v>1</v>
      </c>
      <c r="AB13" s="1577">
        <f t="shared" si="4"/>
        <v>1</v>
      </c>
      <c r="AC13" s="1577">
        <f t="shared" si="5"/>
        <v>1</v>
      </c>
    </row>
    <row r="14" spans="1:29" ht="15.75"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57"/>
      <c r="Q14" s="1154">
        <f t="shared" si="6"/>
        <v>111</v>
      </c>
      <c r="R14" s="1574" t="s">
        <v>11</v>
      </c>
      <c r="S14" s="1575">
        <f t="shared" si="0"/>
        <v>100</v>
      </c>
      <c r="T14" s="1574" t="s">
        <v>11</v>
      </c>
      <c r="U14" s="1575">
        <f t="shared" si="1"/>
        <v>100</v>
      </c>
      <c r="V14" s="1574" t="s">
        <v>11</v>
      </c>
      <c r="W14" s="1575">
        <f t="shared" si="2"/>
        <v>100</v>
      </c>
      <c r="X14" s="1576"/>
      <c r="Y14" s="3314"/>
      <c r="Z14" s="1153">
        <f t="shared" si="7"/>
        <v>111</v>
      </c>
      <c r="AA14" s="1577">
        <f t="shared" si="3"/>
        <v>1</v>
      </c>
      <c r="AB14" s="1577">
        <f t="shared" si="4"/>
        <v>1</v>
      </c>
      <c r="AC14" s="1577">
        <f t="shared" si="5"/>
        <v>1</v>
      </c>
    </row>
    <row r="15" spans="1:29" ht="15">
      <c r="A15" s="2949" t="s">
        <v>2770</v>
      </c>
      <c r="B15" s="166" t="s">
        <v>295</v>
      </c>
      <c r="C15" s="870">
        <f>估价对象房地状况!C3</f>
        <v>0</v>
      </c>
      <c r="D15" s="552">
        <v>100</v>
      </c>
      <c r="E15" s="553"/>
      <c r="F15" s="554">
        <f>SUMIF(76:76,E16,77:77)-SUMIF(76:76,C16,77:77)+100</f>
        <v>100</v>
      </c>
      <c r="G15" s="555"/>
      <c r="H15" s="552">
        <f>SUMIF(76:76,G16,77:77)-SUMIF(76:76,C16,77:77)+100</f>
        <v>100</v>
      </c>
      <c r="I15" s="553"/>
      <c r="J15" s="552">
        <f>SUMIF(76:76,I16,77:77)-SUMIF(76:76,C16,77:77)+100</f>
        <v>100</v>
      </c>
      <c r="K15" s="871"/>
      <c r="L15" s="2152"/>
      <c r="M15" s="2144"/>
      <c r="N15" s="2144"/>
      <c r="O15" s="2151"/>
      <c r="P15" s="3359" t="s">
        <v>541</v>
      </c>
      <c r="Q15" s="1578" t="str">
        <f t="shared" si="6"/>
        <v>居住社区成熟度</v>
      </c>
      <c r="R15" s="1579" t="s">
        <v>11</v>
      </c>
      <c r="S15" s="1580">
        <f t="shared" si="0"/>
        <v>100</v>
      </c>
      <c r="T15" s="1579" t="s">
        <v>11</v>
      </c>
      <c r="U15" s="1580">
        <f t="shared" si="1"/>
        <v>100</v>
      </c>
      <c r="V15" s="1579" t="s">
        <v>11</v>
      </c>
      <c r="W15" s="1580">
        <f t="shared" si="2"/>
        <v>100</v>
      </c>
      <c r="X15" s="1573"/>
      <c r="Y15" s="3359" t="s">
        <v>541</v>
      </c>
      <c r="Z15" s="1581" t="str">
        <f t="shared" si="7"/>
        <v>居住社区成熟度</v>
      </c>
      <c r="AA15" s="1582">
        <f t="shared" si="3"/>
        <v>1</v>
      </c>
      <c r="AB15" s="1582">
        <f t="shared" si="4"/>
        <v>1</v>
      </c>
      <c r="AC15" s="1582">
        <f t="shared" si="5"/>
        <v>1</v>
      </c>
    </row>
    <row r="16" spans="1:29" ht="15">
      <c r="A16" s="535"/>
      <c r="B16" s="872"/>
      <c r="C16" s="579"/>
      <c r="D16" s="558"/>
      <c r="E16" s="559"/>
      <c r="F16" s="560"/>
      <c r="G16" s="561"/>
      <c r="H16" s="562"/>
      <c r="I16" s="559"/>
      <c r="J16" s="558"/>
      <c r="K16" s="873"/>
      <c r="L16" s="2152"/>
      <c r="M16" s="2144"/>
      <c r="N16" s="2144"/>
      <c r="O16" s="2151"/>
      <c r="P16" s="3360"/>
      <c r="Q16" s="1578"/>
      <c r="R16" s="1579"/>
      <c r="S16" s="1580"/>
      <c r="T16" s="1579"/>
      <c r="U16" s="1580"/>
      <c r="V16" s="1579"/>
      <c r="W16" s="1580"/>
      <c r="X16" s="1573"/>
      <c r="Y16" s="3360"/>
      <c r="Z16" s="1581"/>
      <c r="AA16" s="1582">
        <v>1</v>
      </c>
      <c r="AB16" s="1582">
        <v>1</v>
      </c>
      <c r="AC16" s="1582">
        <v>1</v>
      </c>
    </row>
    <row r="17" spans="1:29" ht="128.25">
      <c r="A17" s="535"/>
      <c r="B17" s="874" t="s">
        <v>296</v>
      </c>
      <c r="C17" s="875" t="str">
        <f>估价对象房地状况!C6</f>
        <v>估价对象位于美兰区，东距甸昆路约800米，南面邻近琼州海峡。周边2公里范围内有5、20、26路等公交线路，路网密集度一般，交通便捷度一般。</v>
      </c>
      <c r="D17" s="562">
        <v>100</v>
      </c>
      <c r="E17" s="565"/>
      <c r="F17" s="566">
        <f>SUMIF(78:78,E18,79:79)-SUMIF(78:78,C18,79:79)+100</f>
        <v>100</v>
      </c>
      <c r="G17" s="567"/>
      <c r="H17" s="568">
        <f>SUMIF(78:78,G18,79:79)-SUMIF(78:78,C18,79:79)+100</f>
        <v>100</v>
      </c>
      <c r="I17" s="565"/>
      <c r="J17" s="568">
        <f>SUMIF(78:78,I18,79:79)-SUMIF(78:78,C18,79:79)+100</f>
        <v>100</v>
      </c>
      <c r="K17" s="871"/>
      <c r="L17" s="2152"/>
      <c r="M17" s="2144"/>
      <c r="N17" s="2144"/>
      <c r="O17" s="2151"/>
      <c r="P17" s="3360"/>
      <c r="Q17" s="1578" t="str">
        <f>B17</f>
        <v>交通便捷度</v>
      </c>
      <c r="R17" s="1579" t="s">
        <v>11</v>
      </c>
      <c r="S17" s="1580">
        <f>F17</f>
        <v>100</v>
      </c>
      <c r="T17" s="1579" t="s">
        <v>11</v>
      </c>
      <c r="U17" s="1580">
        <f>H17</f>
        <v>100</v>
      </c>
      <c r="V17" s="1579" t="s">
        <v>11</v>
      </c>
      <c r="W17" s="1580">
        <f>J17</f>
        <v>100</v>
      </c>
      <c r="X17" s="1573"/>
      <c r="Y17" s="3360"/>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873"/>
      <c r="L18" s="2152"/>
      <c r="M18" s="2144"/>
      <c r="N18" s="2144"/>
      <c r="O18" s="2151"/>
      <c r="P18" s="3360"/>
      <c r="Q18" s="1578"/>
      <c r="R18" s="1579"/>
      <c r="S18" s="1580"/>
      <c r="T18" s="1579"/>
      <c r="U18" s="1580"/>
      <c r="V18" s="1579"/>
      <c r="W18" s="1580"/>
      <c r="X18" s="1573"/>
      <c r="Y18" s="3360"/>
      <c r="Z18" s="1581"/>
      <c r="AA18" s="1582">
        <v>1</v>
      </c>
      <c r="AB18" s="1582">
        <v>1</v>
      </c>
      <c r="AC18" s="1582">
        <v>1</v>
      </c>
    </row>
    <row r="19" spans="1:29" ht="128.25">
      <c r="A19" s="535"/>
      <c r="B19" s="2635" t="s">
        <v>2560</v>
      </c>
      <c r="C19" s="875" t="str">
        <f>估价对象房地状况!C7</f>
        <v>周边2公里范围内有海口实验幼儿园、海口景山学校海淀分校等学校；有中国建设银行、中国工商银行等金融机构；公共配套设施情况较好。</v>
      </c>
      <c r="D19" s="568">
        <v>100</v>
      </c>
      <c r="E19" s="573"/>
      <c r="F19" s="574">
        <f>SUMIF(80:80,E20,81:81)-SUMIF(80:80,C20,81:81)+100</f>
        <v>100</v>
      </c>
      <c r="G19" s="575"/>
      <c r="H19" s="562">
        <f>SUMIF(80:80,G20,81:81)-SUMIF(80:80,C20,81:81)+100</f>
        <v>100</v>
      </c>
      <c r="I19" s="573"/>
      <c r="J19" s="562">
        <f>SUMIF(80:80,I20,81:81)-SUMIF(80:80,C20,81:81)+100</f>
        <v>100</v>
      </c>
      <c r="K19" s="871"/>
      <c r="L19" s="2152"/>
      <c r="M19" s="2144"/>
      <c r="N19" s="2144"/>
      <c r="O19" s="2151"/>
      <c r="P19" s="3360"/>
      <c r="Q19" s="1578" t="str">
        <f>B19</f>
        <v>公共配套设施</v>
      </c>
      <c r="R19" s="1579" t="s">
        <v>11</v>
      </c>
      <c r="S19" s="1580">
        <f>F19</f>
        <v>100</v>
      </c>
      <c r="T19" s="1579" t="s">
        <v>11</v>
      </c>
      <c r="U19" s="1580">
        <f>H19</f>
        <v>100</v>
      </c>
      <c r="V19" s="1579" t="s">
        <v>11</v>
      </c>
      <c r="W19" s="1580">
        <f>J19</f>
        <v>100</v>
      </c>
      <c r="X19" s="1573"/>
      <c r="Y19" s="3360"/>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873"/>
      <c r="L20" s="2152"/>
      <c r="M20" s="2144"/>
      <c r="N20" s="2144"/>
      <c r="O20" s="2151"/>
      <c r="P20" s="3360"/>
      <c r="Q20" s="1578"/>
      <c r="R20" s="1579"/>
      <c r="S20" s="1580"/>
      <c r="T20" s="1579"/>
      <c r="U20" s="1580"/>
      <c r="V20" s="1579"/>
      <c r="W20" s="1580"/>
      <c r="X20" s="1573"/>
      <c r="Y20" s="3360"/>
      <c r="Z20" s="1581"/>
      <c r="AA20" s="1582">
        <v>1</v>
      </c>
      <c r="AB20" s="1582">
        <v>1</v>
      </c>
      <c r="AC20" s="1582">
        <v>1</v>
      </c>
    </row>
    <row r="21" spans="1:29" ht="42.75">
      <c r="A21" s="535"/>
      <c r="B21" s="2628" t="s">
        <v>2572</v>
      </c>
      <c r="C21" s="875" t="str">
        <f>估价对象房地状况!C8</f>
        <v>估价对象所在区域基础设施水平：六通</v>
      </c>
      <c r="D21" s="568">
        <v>100</v>
      </c>
      <c r="E21" s="575"/>
      <c r="F21" s="574">
        <f>SUMIF(82:82,E22,83:83)-SUMIF(82:82,C22,83:83)+100</f>
        <v>100</v>
      </c>
      <c r="G21" s="575"/>
      <c r="H21" s="568">
        <f>SUMIF(82:82,G22,83:83)-SUMIF(82:82,C22,83:83)+100</f>
        <v>100</v>
      </c>
      <c r="I21" s="573"/>
      <c r="J21" s="568">
        <f>SUMIF(82:82,I22,83:83)-SUMIF(82:82,C22,83:83)+100</f>
        <v>100</v>
      </c>
      <c r="K21" s="871"/>
      <c r="L21" s="2152"/>
      <c r="M21" s="2144"/>
      <c r="N21" s="2144"/>
      <c r="O21" s="2151"/>
      <c r="P21" s="3360"/>
      <c r="Q21" s="2614" t="str">
        <f>B21</f>
        <v>基础设施水平</v>
      </c>
      <c r="R21" s="1579" t="s">
        <v>11</v>
      </c>
      <c r="S21" s="1580">
        <f>F21</f>
        <v>100</v>
      </c>
      <c r="T21" s="1579" t="s">
        <v>11</v>
      </c>
      <c r="U21" s="1580">
        <f>H21</f>
        <v>100</v>
      </c>
      <c r="V21" s="1579" t="s">
        <v>11</v>
      </c>
      <c r="W21" s="1580">
        <f>J21</f>
        <v>100</v>
      </c>
      <c r="X21" s="2616"/>
      <c r="Y21" s="3360"/>
      <c r="Z21" s="2615"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4"/>
      <c r="L22" s="2152"/>
      <c r="M22" s="2144"/>
      <c r="N22" s="2144"/>
      <c r="O22" s="2151"/>
      <c r="P22" s="3360"/>
      <c r="Q22" s="2614"/>
      <c r="R22" s="1579"/>
      <c r="S22" s="1580"/>
      <c r="T22" s="1579"/>
      <c r="U22" s="1580"/>
      <c r="V22" s="1579"/>
      <c r="W22" s="1580"/>
      <c r="X22" s="2616"/>
      <c r="Y22" s="3360"/>
      <c r="Z22" s="2615"/>
      <c r="AA22" s="1582">
        <v>1</v>
      </c>
      <c r="AB22" s="1582">
        <v>1</v>
      </c>
      <c r="AC22" s="1582">
        <v>1</v>
      </c>
    </row>
    <row r="23" spans="1:29" ht="114">
      <c r="A23" s="535"/>
      <c r="B23" s="874" t="s">
        <v>297</v>
      </c>
      <c r="C23" s="875" t="str">
        <f>估价对象房地状况!C9</f>
        <v>估价对象所处区域土地利用类型以住宅用地为主；周边2公里范围内有海南大学、邻近琼州海峡，自然及人文环境好。</v>
      </c>
      <c r="D23" s="562">
        <v>100</v>
      </c>
      <c r="E23" s="565"/>
      <c r="F23" s="566">
        <f>SUMIF(84:84,E24,85:85)-SUMIF(84:84,C24,85:85)+100</f>
        <v>100</v>
      </c>
      <c r="G23" s="567"/>
      <c r="H23" s="562">
        <f>SUMIF(84:84,G24,85:85)-SUMIF(84:84,C24,85:85)+100</f>
        <v>100</v>
      </c>
      <c r="I23" s="565"/>
      <c r="J23" s="562">
        <f>SUMIF(84:84,I24,85:85)-SUMIF(84:84,C24,85:85)+100</f>
        <v>100</v>
      </c>
      <c r="K23" s="871"/>
      <c r="L23" s="2152"/>
      <c r="M23" s="2144"/>
      <c r="N23" s="2144"/>
      <c r="O23" s="2151"/>
      <c r="P23" s="3360"/>
      <c r="Q23" s="1578" t="str">
        <f>B23</f>
        <v>自然及人文环境</v>
      </c>
      <c r="R23" s="1579" t="s">
        <v>11</v>
      </c>
      <c r="S23" s="1580">
        <f>F23</f>
        <v>100</v>
      </c>
      <c r="T23" s="1579" t="s">
        <v>11</v>
      </c>
      <c r="U23" s="1580">
        <f>H23</f>
        <v>100</v>
      </c>
      <c r="V23" s="1579" t="s">
        <v>11</v>
      </c>
      <c r="W23" s="1580">
        <f>J23</f>
        <v>100</v>
      </c>
      <c r="X23" s="1573"/>
      <c r="Y23" s="3360"/>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873"/>
      <c r="L24" s="2152"/>
      <c r="M24" s="2144"/>
      <c r="N24" s="2144"/>
      <c r="O24" s="2151"/>
      <c r="P24" s="3360"/>
      <c r="Q24" s="1578"/>
      <c r="R24" s="1579"/>
      <c r="S24" s="1580"/>
      <c r="T24" s="1579"/>
      <c r="U24" s="1580"/>
      <c r="V24" s="1579"/>
      <c r="W24" s="1580"/>
      <c r="X24" s="1573"/>
      <c r="Y24" s="3360"/>
      <c r="Z24" s="1581"/>
      <c r="AA24" s="1582">
        <v>1</v>
      </c>
      <c r="AB24" s="1582">
        <v>1</v>
      </c>
      <c r="AC24" s="1582">
        <v>1</v>
      </c>
    </row>
    <row r="25" spans="1:29" ht="15">
      <c r="A25" s="535"/>
      <c r="B25" s="1901" t="s">
        <v>2266</v>
      </c>
      <c r="C25" s="577"/>
      <c r="D25" s="543">
        <v>100</v>
      </c>
      <c r="E25" s="877"/>
      <c r="F25" s="578">
        <f>SUMIF(86:86,E25,87:87)-SUMIF(86:86,C25,87:87)+100</f>
        <v>100</v>
      </c>
      <c r="G25" s="602"/>
      <c r="H25" s="543">
        <f>SUMIF(86:86,G25,87:87)-SUMIF(86:86,C25,87:87)+100</f>
        <v>100</v>
      </c>
      <c r="I25" s="877"/>
      <c r="J25" s="543">
        <f>SUMIF(86:86,I25,87:87)-SUMIF(86:86,C25,87:87)+100</f>
        <v>100</v>
      </c>
      <c r="K25" s="867"/>
      <c r="L25" s="2152"/>
      <c r="M25" s="2144"/>
      <c r="N25" s="2144"/>
      <c r="O25" s="2151"/>
      <c r="P25" s="3360"/>
      <c r="Q25" s="1578" t="str">
        <f t="shared" ref="Q25:Q46" si="11">B25</f>
        <v>楼层-1</v>
      </c>
      <c r="R25" s="1579" t="s">
        <v>11</v>
      </c>
      <c r="S25" s="1580">
        <f>F25</f>
        <v>100</v>
      </c>
      <c r="T25" s="1579" t="s">
        <v>11</v>
      </c>
      <c r="U25" s="1580">
        <f>H25</f>
        <v>100</v>
      </c>
      <c r="V25" s="1579" t="s">
        <v>11</v>
      </c>
      <c r="W25" s="1580">
        <f>J25</f>
        <v>100</v>
      </c>
      <c r="X25" s="1573"/>
      <c r="Y25" s="3360"/>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360"/>
      <c r="Q26" s="1578" t="str">
        <f t="shared" si="11"/>
        <v>朝向</v>
      </c>
      <c r="R26" s="1579" t="s">
        <v>11</v>
      </c>
      <c r="S26" s="1580">
        <f>F26</f>
        <v>100</v>
      </c>
      <c r="T26" s="1579" t="s">
        <v>11</v>
      </c>
      <c r="U26" s="1580">
        <f>H26</f>
        <v>100</v>
      </c>
      <c r="V26" s="1579" t="s">
        <v>11</v>
      </c>
      <c r="W26" s="1580">
        <f>J26</f>
        <v>100</v>
      </c>
      <c r="X26" s="1573"/>
      <c r="Y26" s="3360"/>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5"/>
      <c r="M27" s="2146"/>
      <c r="N27" s="2146"/>
      <c r="O27" s="2147"/>
      <c r="P27" s="3360"/>
      <c r="Q27" s="1154" t="str">
        <f t="shared" si="11"/>
        <v>道路级别</v>
      </c>
      <c r="R27" s="1574" t="s">
        <v>11</v>
      </c>
      <c r="S27" s="1575">
        <f>F27</f>
        <v>100</v>
      </c>
      <c r="T27" s="1574" t="s">
        <v>11</v>
      </c>
      <c r="U27" s="1575">
        <f>H27</f>
        <v>100</v>
      </c>
      <c r="V27" s="1574" t="s">
        <v>11</v>
      </c>
      <c r="W27" s="1575">
        <f>J27</f>
        <v>100</v>
      </c>
      <c r="X27" s="1576"/>
      <c r="Y27" s="3360"/>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60"/>
      <c r="Q28" s="1578">
        <f t="shared" si="11"/>
        <v>111</v>
      </c>
      <c r="R28" s="1579" t="s">
        <v>11</v>
      </c>
      <c r="S28" s="1580">
        <f t="shared" ref="S28:S46" si="12">F28</f>
        <v>100</v>
      </c>
      <c r="T28" s="1579" t="s">
        <v>11</v>
      </c>
      <c r="U28" s="1580">
        <f t="shared" ref="U28:U46" si="13">H28</f>
        <v>100</v>
      </c>
      <c r="V28" s="1579" t="s">
        <v>11</v>
      </c>
      <c r="W28" s="1580">
        <f t="shared" ref="W28:W46" si="14">J28</f>
        <v>100</v>
      </c>
      <c r="X28" s="1573"/>
      <c r="Y28" s="3360"/>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60"/>
      <c r="Q29" s="1578">
        <f t="shared" si="11"/>
        <v>111</v>
      </c>
      <c r="R29" s="1579" t="s">
        <v>11</v>
      </c>
      <c r="S29" s="1580">
        <f t="shared" si="12"/>
        <v>100</v>
      </c>
      <c r="T29" s="1579" t="s">
        <v>11</v>
      </c>
      <c r="U29" s="1580">
        <f t="shared" si="13"/>
        <v>100</v>
      </c>
      <c r="V29" s="1579" t="s">
        <v>11</v>
      </c>
      <c r="W29" s="1580">
        <f t="shared" si="14"/>
        <v>100</v>
      </c>
      <c r="X29" s="1573"/>
      <c r="Y29" s="3360"/>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60"/>
      <c r="Q30" s="1578">
        <f t="shared" si="11"/>
        <v>111</v>
      </c>
      <c r="R30" s="1579" t="s">
        <v>11</v>
      </c>
      <c r="S30" s="1580">
        <f t="shared" si="12"/>
        <v>100</v>
      </c>
      <c r="T30" s="1579" t="s">
        <v>11</v>
      </c>
      <c r="U30" s="1580">
        <f t="shared" si="13"/>
        <v>100</v>
      </c>
      <c r="V30" s="1579" t="s">
        <v>11</v>
      </c>
      <c r="W30" s="1580">
        <f t="shared" si="14"/>
        <v>100</v>
      </c>
      <c r="X30" s="1573"/>
      <c r="Y30" s="3360"/>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60"/>
      <c r="Q31" s="1578">
        <f t="shared" si="11"/>
        <v>111</v>
      </c>
      <c r="R31" s="1579" t="s">
        <v>11</v>
      </c>
      <c r="S31" s="1580">
        <f t="shared" si="12"/>
        <v>100</v>
      </c>
      <c r="T31" s="1579" t="s">
        <v>11</v>
      </c>
      <c r="U31" s="1580">
        <f t="shared" si="13"/>
        <v>100</v>
      </c>
      <c r="V31" s="1579" t="s">
        <v>11</v>
      </c>
      <c r="W31" s="1580">
        <f t="shared" si="14"/>
        <v>100</v>
      </c>
      <c r="X31" s="1573"/>
      <c r="Y31" s="3360"/>
      <c r="Z31" s="1581">
        <f t="shared" si="15"/>
        <v>111</v>
      </c>
      <c r="AA31" s="1582">
        <f t="shared" si="3"/>
        <v>1</v>
      </c>
      <c r="AB31" s="1582">
        <f t="shared" si="4"/>
        <v>1</v>
      </c>
      <c r="AC31" s="1582">
        <f t="shared" si="5"/>
        <v>1</v>
      </c>
    </row>
    <row r="32" spans="1:29" ht="15">
      <c r="A32" s="2946" t="s">
        <v>2771</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2"/>
      <c r="M32" s="2144"/>
      <c r="N32" s="2144"/>
      <c r="O32" s="2151"/>
      <c r="P32" s="3361" t="s">
        <v>551</v>
      </c>
      <c r="Q32" s="1578" t="str">
        <f t="shared" si="11"/>
        <v>建筑类型</v>
      </c>
      <c r="R32" s="1579" t="s">
        <v>11</v>
      </c>
      <c r="S32" s="1580">
        <f t="shared" si="12"/>
        <v>100</v>
      </c>
      <c r="T32" s="1579" t="s">
        <v>11</v>
      </c>
      <c r="U32" s="1580">
        <f t="shared" si="13"/>
        <v>100</v>
      </c>
      <c r="V32" s="1579" t="s">
        <v>11</v>
      </c>
      <c r="W32" s="1580">
        <f t="shared" si="14"/>
        <v>100</v>
      </c>
      <c r="X32" s="1573"/>
      <c r="Y32" s="3362" t="s">
        <v>551</v>
      </c>
      <c r="Z32" s="1581" t="str">
        <f t="shared" si="15"/>
        <v>建筑类型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0"/>
      <c r="M33" s="2181"/>
      <c r="N33" s="2181"/>
      <c r="O33" s="2153"/>
      <c r="P33" s="3362"/>
      <c r="Q33" s="1611" t="str">
        <f t="shared" si="11"/>
        <v>项目建筑规模</v>
      </c>
      <c r="R33" s="1583" t="s">
        <v>11</v>
      </c>
      <c r="S33" s="1584" t="e">
        <f t="shared" si="12"/>
        <v>#N/A</v>
      </c>
      <c r="T33" s="1583" t="s">
        <v>11</v>
      </c>
      <c r="U33" s="1584" t="e">
        <f t="shared" si="13"/>
        <v>#N/A</v>
      </c>
      <c r="V33" s="1583" t="s">
        <v>11</v>
      </c>
      <c r="W33" s="1584" t="e">
        <f t="shared" si="14"/>
        <v>#N/A</v>
      </c>
      <c r="X33" s="1585"/>
      <c r="Y33" s="3362"/>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2"/>
      <c r="M34" s="2144"/>
      <c r="N34" s="2144"/>
      <c r="O34" s="2151"/>
      <c r="P34" s="3362"/>
      <c r="Q34" s="1578" t="str">
        <f t="shared" si="11"/>
        <v>建筑结构</v>
      </c>
      <c r="R34" s="1579" t="s">
        <v>11</v>
      </c>
      <c r="S34" s="1580">
        <f t="shared" si="12"/>
        <v>100</v>
      </c>
      <c r="T34" s="1579" t="s">
        <v>11</v>
      </c>
      <c r="U34" s="1580">
        <f t="shared" si="13"/>
        <v>100</v>
      </c>
      <c r="V34" s="1579" t="s">
        <v>11</v>
      </c>
      <c r="W34" s="1580">
        <f t="shared" si="14"/>
        <v>100</v>
      </c>
      <c r="X34" s="1573"/>
      <c r="Y34" s="3362"/>
      <c r="Z34" s="1581" t="str">
        <f t="shared" si="15"/>
        <v>建筑结构</v>
      </c>
      <c r="AA34" s="1582">
        <f t="shared" si="3"/>
        <v>1</v>
      </c>
      <c r="AB34" s="1582">
        <f t="shared" si="4"/>
        <v>1</v>
      </c>
      <c r="AC34" s="1582">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2"/>
      <c r="M35" s="2144"/>
      <c r="N35" s="2144"/>
      <c r="O35" s="2151"/>
      <c r="P35" s="3362"/>
      <c r="Q35" s="1578" t="str">
        <f t="shared" si="11"/>
        <v>建筑品质</v>
      </c>
      <c r="R35" s="1579" t="s">
        <v>11</v>
      </c>
      <c r="S35" s="1580">
        <f t="shared" si="12"/>
        <v>100</v>
      </c>
      <c r="T35" s="1579" t="s">
        <v>11</v>
      </c>
      <c r="U35" s="1580">
        <f t="shared" si="13"/>
        <v>100</v>
      </c>
      <c r="V35" s="1579" t="s">
        <v>11</v>
      </c>
      <c r="W35" s="1580">
        <f t="shared" si="14"/>
        <v>100</v>
      </c>
      <c r="X35" s="1573"/>
      <c r="Y35" s="3362"/>
      <c r="Z35" s="1581" t="str">
        <f t="shared" si="15"/>
        <v>建筑品质</v>
      </c>
      <c r="AA35" s="1582">
        <f t="shared" si="3"/>
        <v>1</v>
      </c>
      <c r="AB35" s="1582">
        <f t="shared" si="4"/>
        <v>1</v>
      </c>
      <c r="AC35" s="1582">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2"/>
      <c r="M36" s="2144"/>
      <c r="N36" s="2144"/>
      <c r="O36" s="2151"/>
      <c r="P36" s="3362"/>
      <c r="Q36" s="1578" t="str">
        <f t="shared" si="11"/>
        <v>公共部分装修</v>
      </c>
      <c r="R36" s="1579" t="s">
        <v>11</v>
      </c>
      <c r="S36" s="1580">
        <f t="shared" si="12"/>
        <v>100</v>
      </c>
      <c r="T36" s="1579" t="s">
        <v>11</v>
      </c>
      <c r="U36" s="1580">
        <f t="shared" si="13"/>
        <v>100</v>
      </c>
      <c r="V36" s="1579" t="s">
        <v>11</v>
      </c>
      <c r="W36" s="1580">
        <f t="shared" si="14"/>
        <v>100</v>
      </c>
      <c r="X36" s="1573"/>
      <c r="Y36" s="3362"/>
      <c r="Z36" s="1581" t="str">
        <f t="shared" si="15"/>
        <v>公共部分装修</v>
      </c>
      <c r="AA36" s="1582">
        <f t="shared" si="3"/>
        <v>1</v>
      </c>
      <c r="AB36" s="1582">
        <f t="shared" si="4"/>
        <v>1</v>
      </c>
      <c r="AC36" s="1582">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5"/>
      <c r="M37" s="2146"/>
      <c r="N37" s="2146"/>
      <c r="O37" s="2147"/>
      <c r="P37" s="3362"/>
      <c r="Q37" s="1154" t="str">
        <f t="shared" si="11"/>
        <v>成新度</v>
      </c>
      <c r="R37" s="1574" t="s">
        <v>11</v>
      </c>
      <c r="S37" s="1575" t="e">
        <f t="shared" si="12"/>
        <v>#N/A</v>
      </c>
      <c r="T37" s="1574" t="s">
        <v>11</v>
      </c>
      <c r="U37" s="1575" t="e">
        <f t="shared" si="13"/>
        <v>#N/A</v>
      </c>
      <c r="V37" s="1574" t="s">
        <v>11</v>
      </c>
      <c r="W37" s="1575" t="e">
        <f t="shared" si="14"/>
        <v>#N/A</v>
      </c>
      <c r="X37" s="1576"/>
      <c r="Y37" s="3362"/>
      <c r="Z37" s="1153" t="str">
        <f t="shared" si="15"/>
        <v>成新度</v>
      </c>
      <c r="AA37" s="1577" t="e">
        <f t="shared" si="3"/>
        <v>#N/A</v>
      </c>
      <c r="AB37" s="1577" t="e">
        <f t="shared" si="4"/>
        <v>#N/A</v>
      </c>
      <c r="AC37" s="1577"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2"/>
      <c r="M38" s="2144"/>
      <c r="N38" s="2144"/>
      <c r="O38" s="2151"/>
      <c r="P38" s="3362" t="s">
        <v>551</v>
      </c>
      <c r="Q38" s="1578" t="str">
        <f t="shared" si="11"/>
        <v>物业管理</v>
      </c>
      <c r="R38" s="1579" t="s">
        <v>11</v>
      </c>
      <c r="S38" s="1580">
        <f t="shared" si="12"/>
        <v>100</v>
      </c>
      <c r="T38" s="1579" t="s">
        <v>11</v>
      </c>
      <c r="U38" s="1580">
        <f t="shared" si="13"/>
        <v>100</v>
      </c>
      <c r="V38" s="1579" t="s">
        <v>11</v>
      </c>
      <c r="W38" s="1580">
        <f t="shared" si="14"/>
        <v>100</v>
      </c>
      <c r="X38" s="1573"/>
      <c r="Y38" s="3362" t="s">
        <v>551</v>
      </c>
      <c r="Z38" s="1581" t="str">
        <f t="shared" si="15"/>
        <v>物业管理</v>
      </c>
      <c r="AA38" s="1582">
        <f t="shared" si="3"/>
        <v>1</v>
      </c>
      <c r="AB38" s="1582">
        <f t="shared" si="4"/>
        <v>1</v>
      </c>
      <c r="AC38" s="1582">
        <f t="shared" si="5"/>
        <v>1</v>
      </c>
    </row>
    <row r="39" spans="1:29" ht="15">
      <c r="A39" s="597"/>
      <c r="B39" s="1901" t="s">
        <v>2578</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2"/>
      <c r="M39" s="2144"/>
      <c r="N39" s="2144"/>
      <c r="O39" s="2151"/>
      <c r="P39" s="3362"/>
      <c r="Q39" s="1578" t="str">
        <f t="shared" si="11"/>
        <v>市政基础设施</v>
      </c>
      <c r="R39" s="1579" t="s">
        <v>11</v>
      </c>
      <c r="S39" s="1580">
        <f t="shared" si="12"/>
        <v>100</v>
      </c>
      <c r="T39" s="1579" t="s">
        <v>11</v>
      </c>
      <c r="U39" s="1580">
        <f t="shared" si="13"/>
        <v>100</v>
      </c>
      <c r="V39" s="1579" t="s">
        <v>11</v>
      </c>
      <c r="W39" s="1580">
        <f t="shared" si="14"/>
        <v>100</v>
      </c>
      <c r="X39" s="1573"/>
      <c r="Y39" s="3362"/>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2"/>
      <c r="M40" s="2144"/>
      <c r="N40" s="2144"/>
      <c r="O40" s="2151"/>
      <c r="P40" s="3362"/>
      <c r="Q40" s="1578" t="str">
        <f t="shared" si="11"/>
        <v>房型</v>
      </c>
      <c r="R40" s="1579" t="s">
        <v>11</v>
      </c>
      <c r="S40" s="1580">
        <f t="shared" si="12"/>
        <v>100</v>
      </c>
      <c r="T40" s="1579" t="s">
        <v>11</v>
      </c>
      <c r="U40" s="1580">
        <f t="shared" si="13"/>
        <v>100</v>
      </c>
      <c r="V40" s="1579" t="s">
        <v>11</v>
      </c>
      <c r="W40" s="1580">
        <f t="shared" si="14"/>
        <v>100</v>
      </c>
      <c r="X40" s="1573"/>
      <c r="Y40" s="3362"/>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62"/>
      <c r="Q41" s="1611" t="str">
        <f t="shared" si="11"/>
        <v>单套/主力户型建筑面积</v>
      </c>
      <c r="R41" s="1583" t="s">
        <v>11</v>
      </c>
      <c r="S41" s="1584">
        <f t="shared" si="12"/>
        <v>100</v>
      </c>
      <c r="T41" s="1583" t="s">
        <v>11</v>
      </c>
      <c r="U41" s="1584">
        <f t="shared" si="13"/>
        <v>100</v>
      </c>
      <c r="V41" s="1583" t="s">
        <v>11</v>
      </c>
      <c r="W41" s="1584">
        <f t="shared" si="14"/>
        <v>100</v>
      </c>
      <c r="X41" s="1585"/>
      <c r="Y41" s="3362"/>
      <c r="Z41" s="1586" t="str">
        <f t="shared" si="15"/>
        <v>单套/主力户型建筑面积</v>
      </c>
      <c r="AA41" s="1582">
        <f t="shared" si="3"/>
        <v>1</v>
      </c>
      <c r="AB41" s="1582">
        <f t="shared" si="4"/>
        <v>1</v>
      </c>
      <c r="AC41" s="1582">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2"/>
      <c r="M42" s="2144"/>
      <c r="N42" s="2144"/>
      <c r="O42" s="2151"/>
      <c r="P42" s="3362"/>
      <c r="Q42" s="1578" t="str">
        <f t="shared" si="11"/>
        <v>内部装修</v>
      </c>
      <c r="R42" s="1579" t="s">
        <v>11</v>
      </c>
      <c r="S42" s="1580">
        <f t="shared" si="12"/>
        <v>100</v>
      </c>
      <c r="T42" s="1579" t="s">
        <v>11</v>
      </c>
      <c r="U42" s="1580">
        <f t="shared" si="13"/>
        <v>100</v>
      </c>
      <c r="V42" s="1579" t="s">
        <v>11</v>
      </c>
      <c r="W42" s="1580">
        <f t="shared" si="14"/>
        <v>100</v>
      </c>
      <c r="X42" s="1573"/>
      <c r="Y42" s="3362"/>
      <c r="Z42" s="1581" t="str">
        <f t="shared" si="15"/>
        <v>内部装修</v>
      </c>
      <c r="AA42" s="1582">
        <f t="shared" si="3"/>
        <v>1</v>
      </c>
      <c r="AB42" s="1582">
        <f t="shared" si="4"/>
        <v>1</v>
      </c>
      <c r="AC42" s="1582">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2"/>
      <c r="M43" s="2144"/>
      <c r="N43" s="2144"/>
      <c r="O43" s="2151"/>
      <c r="P43" s="3362"/>
      <c r="Q43" s="1578" t="str">
        <f t="shared" si="11"/>
        <v>内部装修维护情况</v>
      </c>
      <c r="R43" s="1579" t="s">
        <v>11</v>
      </c>
      <c r="S43" s="1580">
        <f t="shared" si="12"/>
        <v>100</v>
      </c>
      <c r="T43" s="1579" t="s">
        <v>11</v>
      </c>
      <c r="U43" s="1580">
        <f t="shared" si="13"/>
        <v>100</v>
      </c>
      <c r="V43" s="1579" t="s">
        <v>11</v>
      </c>
      <c r="W43" s="1580">
        <f t="shared" si="14"/>
        <v>100</v>
      </c>
      <c r="X43" s="1573"/>
      <c r="Y43" s="3362"/>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62"/>
      <c r="Q44" s="1154">
        <f t="shared" si="11"/>
        <v>111</v>
      </c>
      <c r="R44" s="1574" t="s">
        <v>11</v>
      </c>
      <c r="S44" s="1575">
        <f t="shared" si="12"/>
        <v>100</v>
      </c>
      <c r="T44" s="1574" t="s">
        <v>11</v>
      </c>
      <c r="U44" s="1575">
        <f t="shared" si="13"/>
        <v>100</v>
      </c>
      <c r="V44" s="1574" t="s">
        <v>11</v>
      </c>
      <c r="W44" s="1575">
        <f t="shared" si="14"/>
        <v>100</v>
      </c>
      <c r="X44" s="1576"/>
      <c r="Y44" s="3362"/>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62"/>
      <c r="Q45" s="1578">
        <f t="shared" si="11"/>
        <v>111</v>
      </c>
      <c r="R45" s="1579" t="s">
        <v>11</v>
      </c>
      <c r="S45" s="1580">
        <f t="shared" si="12"/>
        <v>100</v>
      </c>
      <c r="T45" s="1579" t="s">
        <v>11</v>
      </c>
      <c r="U45" s="1580">
        <f t="shared" si="13"/>
        <v>100</v>
      </c>
      <c r="V45" s="1579" t="s">
        <v>11</v>
      </c>
      <c r="W45" s="1580">
        <f t="shared" si="14"/>
        <v>100</v>
      </c>
      <c r="X45" s="1573"/>
      <c r="Y45" s="3362"/>
      <c r="Z45" s="1581">
        <f t="shared" si="15"/>
        <v>111</v>
      </c>
      <c r="AA45" s="1582">
        <f t="shared" si="3"/>
        <v>1</v>
      </c>
      <c r="AB45" s="1582">
        <f t="shared" si="4"/>
        <v>1</v>
      </c>
      <c r="AC45" s="1582">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32"/>
      <c r="Q46" s="1578">
        <f t="shared" si="11"/>
        <v>111</v>
      </c>
      <c r="R46" s="1579" t="s">
        <v>10</v>
      </c>
      <c r="S46" s="1580">
        <f t="shared" si="12"/>
        <v>100</v>
      </c>
      <c r="T46" s="1579" t="s">
        <v>10</v>
      </c>
      <c r="U46" s="1580">
        <f t="shared" si="13"/>
        <v>100</v>
      </c>
      <c r="V46" s="1579" t="s">
        <v>10</v>
      </c>
      <c r="W46" s="1580">
        <f t="shared" si="14"/>
        <v>100</v>
      </c>
      <c r="X46" s="1573"/>
      <c r="Y46" s="3432"/>
      <c r="Z46" s="1581">
        <f t="shared" si="15"/>
        <v>111</v>
      </c>
      <c r="AA46" s="1582">
        <f t="shared" si="3"/>
        <v>1</v>
      </c>
      <c r="AB46" s="1582">
        <f t="shared" si="4"/>
        <v>1</v>
      </c>
      <c r="AC46" s="1582">
        <f t="shared" si="5"/>
        <v>1</v>
      </c>
    </row>
    <row r="47" spans="1:29" ht="15">
      <c r="A47" s="610" t="s">
        <v>739</v>
      </c>
      <c r="B47" s="890"/>
      <c r="C47" s="2662" t="s">
        <v>9</v>
      </c>
      <c r="D47" s="2663"/>
      <c r="E47" s="2664"/>
      <c r="F47" s="2665"/>
      <c r="G47" s="2666"/>
      <c r="H47" s="2667"/>
      <c r="I47" s="2664"/>
      <c r="J47" s="2667"/>
      <c r="K47" s="1612"/>
      <c r="L47" s="2154"/>
      <c r="M47" s="2155"/>
      <c r="N47" s="2144"/>
      <c r="O47" s="2155"/>
      <c r="P47" s="3357" t="str">
        <f>A47</f>
        <v>成交单价（元/平方米）</v>
      </c>
      <c r="Q47" s="3357"/>
      <c r="R47" s="3433">
        <f>E47</f>
        <v>0</v>
      </c>
      <c r="S47" s="3433"/>
      <c r="T47" s="3433">
        <f>G47</f>
        <v>0</v>
      </c>
      <c r="U47" s="3433"/>
      <c r="V47" s="3433">
        <f>I47</f>
        <v>0</v>
      </c>
      <c r="W47" s="3433"/>
      <c r="X47" s="1565"/>
      <c r="Y47" s="1587"/>
      <c r="Z47" s="1565"/>
      <c r="AA47" s="1565"/>
      <c r="AB47" s="1565"/>
      <c r="AC47" s="1565"/>
    </row>
    <row r="48" spans="1:29" ht="15.75" thickBot="1">
      <c r="A48" s="618" t="s">
        <v>2776</v>
      </c>
      <c r="B48" s="891"/>
      <c r="C48" s="2668" t="e">
        <f>R49</f>
        <v>#DIV/0!</v>
      </c>
      <c r="D48" s="2669"/>
      <c r="E48" s="2670" t="e">
        <f>R48</f>
        <v>#DIV/0!</v>
      </c>
      <c r="F48" s="2670"/>
      <c r="G48" s="2668" t="e">
        <f>T48</f>
        <v>#DIV/0!</v>
      </c>
      <c r="H48" s="2669"/>
      <c r="I48" s="2670" t="e">
        <f>V48</f>
        <v>#DIV/0!</v>
      </c>
      <c r="J48" s="2669"/>
      <c r="K48" s="1613"/>
      <c r="L48" s="2154"/>
      <c r="M48" s="2155"/>
      <c r="N48" s="2155"/>
      <c r="O48" s="2155"/>
      <c r="P48" s="3357" t="str">
        <f>A48</f>
        <v>比较价格（元/平方米）</v>
      </c>
      <c r="Q48" s="3357"/>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1565"/>
      <c r="Y48" s="1565"/>
      <c r="Z48" s="1565"/>
      <c r="AA48" s="1565"/>
      <c r="AB48" s="1565"/>
      <c r="AC48" s="1565"/>
    </row>
    <row r="49" spans="1:29" ht="15.75" thickBot="1">
      <c r="A49" s="624" t="s">
        <v>2948</v>
      </c>
      <c r="B49" s="625"/>
      <c r="C49" s="2671" t="e">
        <f>R49</f>
        <v>#DIV/0!</v>
      </c>
      <c r="D49" s="2671"/>
      <c r="E49" s="2671"/>
      <c r="F49" s="2671"/>
      <c r="G49" s="2671"/>
      <c r="H49" s="2671"/>
      <c r="I49" s="2671"/>
      <c r="J49" s="2671"/>
      <c r="K49" s="1614"/>
      <c r="L49" s="2154"/>
      <c r="M49" s="2155"/>
      <c r="N49" s="2155"/>
      <c r="O49" s="2155"/>
      <c r="P49" s="3378" t="str">
        <f>A49</f>
        <v>估价对象XX用房的比较价格（楼面单价，元/平方米）</v>
      </c>
      <c r="Q49" s="3379"/>
      <c r="R49" s="3434" t="e">
        <f>IF(F1="售价",ROUND(AVERAGE(R48:V48),0),ROUND(AVERAGE(R48:V48),1))</f>
        <v>#DIV/0!</v>
      </c>
      <c r="S49" s="3434"/>
      <c r="T49" s="3434"/>
      <c r="U49" s="3434"/>
      <c r="V49" s="3434"/>
      <c r="W49" s="3434"/>
      <c r="X49" s="1565"/>
      <c r="Y49" s="1565"/>
      <c r="Z49" s="1565"/>
      <c r="AA49" s="1565"/>
      <c r="AB49" s="1565"/>
      <c r="AC49" s="1565"/>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90" t="s">
        <v>575</v>
      </c>
      <c r="B57" s="1565"/>
      <c r="C57" s="1589"/>
      <c r="D57" s="1589"/>
      <c r="E57" s="1589"/>
      <c r="F57" s="1591"/>
      <c r="G57" s="1591"/>
      <c r="H57" s="1589"/>
      <c r="I57" s="1589"/>
      <c r="J57" s="1589"/>
      <c r="K57" s="1592"/>
      <c r="L57" s="1588"/>
      <c r="M57" s="1589"/>
      <c r="N57" s="1589"/>
      <c r="O57" s="1589"/>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2017-6</v>
      </c>
      <c r="D58" s="2843">
        <f>EDATE(C58,-1)</f>
        <v>42856</v>
      </c>
      <c r="E58" s="2843">
        <f t="shared" ref="E58:O58" si="16">EDATE(D58,-1)</f>
        <v>42826</v>
      </c>
      <c r="F58" s="2843">
        <f t="shared" si="16"/>
        <v>42795</v>
      </c>
      <c r="G58" s="2843">
        <f t="shared" si="16"/>
        <v>42767</v>
      </c>
      <c r="H58" s="2843">
        <f t="shared" si="16"/>
        <v>42736</v>
      </c>
      <c r="I58" s="2843">
        <f t="shared" si="16"/>
        <v>42705</v>
      </c>
      <c r="J58" s="2843">
        <f t="shared" si="16"/>
        <v>42675</v>
      </c>
      <c r="K58" s="2843">
        <f t="shared" si="16"/>
        <v>42644</v>
      </c>
      <c r="L58" s="2843">
        <f t="shared" si="16"/>
        <v>42614</v>
      </c>
      <c r="M58" s="2843">
        <f t="shared" si="16"/>
        <v>42583</v>
      </c>
      <c r="N58" s="2843">
        <f t="shared" si="16"/>
        <v>42552</v>
      </c>
      <c r="O58" s="2843">
        <f t="shared" si="16"/>
        <v>42522</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5"/>
      <c r="F64" s="1615"/>
      <c r="G64" s="1615"/>
      <c r="H64" s="1615"/>
      <c r="I64" s="1615"/>
      <c r="J64" s="1615"/>
      <c r="K64" s="1615"/>
      <c r="L64" s="1615"/>
      <c r="M64" s="1616"/>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2571</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2572</v>
      </c>
      <c r="C82" s="2633" t="s">
        <v>2573</v>
      </c>
      <c r="D82" s="2633" t="s">
        <v>2574</v>
      </c>
      <c r="E82" s="2633" t="s">
        <v>2575</v>
      </c>
      <c r="F82" s="2633" t="s">
        <v>2576</v>
      </c>
      <c r="G82" s="2633" t="s">
        <v>2577</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2267</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c r="D91" s="695"/>
      <c r="E91" s="695"/>
      <c r="F91" s="695"/>
      <c r="G91" s="695"/>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721"/>
      <c r="D107" s="721"/>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691"/>
      <c r="D109" s="691"/>
      <c r="E109" s="691"/>
      <c r="F109" s="721"/>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2570</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721"/>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2268</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2269</v>
      </c>
      <c r="C137" s="1925"/>
      <c r="D137" s="1925"/>
      <c r="E137" s="1925"/>
      <c r="F137" s="1925"/>
      <c r="G137" s="1926"/>
      <c r="H137" s="1927"/>
      <c r="I137" s="1928" t="s">
        <v>2270</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2271</v>
      </c>
      <c r="D138" s="1931" t="s">
        <v>2272</v>
      </c>
      <c r="E138" s="1932" t="s">
        <v>2273</v>
      </c>
      <c r="F138" s="1933" t="s">
        <v>2274</v>
      </c>
      <c r="G138" s="1931" t="s">
        <v>2275</v>
      </c>
      <c r="H138" s="1934" t="s">
        <v>2276</v>
      </c>
      <c r="I138" s="1935"/>
      <c r="J138" s="1931" t="s">
        <v>2277</v>
      </c>
      <c r="K138" s="1934" t="s">
        <v>2278</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2279</v>
      </c>
      <c r="E139" s="1905">
        <v>100</v>
      </c>
      <c r="F139" s="1906">
        <v>102.5</v>
      </c>
      <c r="G139" s="1936" t="s">
        <v>2280</v>
      </c>
      <c r="H139" s="1907">
        <v>105</v>
      </c>
      <c r="I139" s="1937" t="s">
        <v>2281</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2282</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2283</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2284</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2285</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2286</v>
      </c>
      <c r="E144" s="1911">
        <v>102</v>
      </c>
      <c r="F144" s="1917">
        <v>100</v>
      </c>
      <c r="G144" s="1940" t="s">
        <v>2286</v>
      </c>
      <c r="H144" s="1913">
        <v>105</v>
      </c>
      <c r="I144" s="1939" t="s">
        <v>2285</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2287</v>
      </c>
      <c r="C145" s="1918">
        <f>ROUND(MAX(C139:C144)/MIN(C139:C144)-1,3)</f>
        <v>7.2999999999999995E-2</v>
      </c>
      <c r="D145" s="1942"/>
      <c r="E145" s="1942"/>
      <c r="F145" s="1943" t="s">
        <v>2288</v>
      </c>
      <c r="G145" s="1944"/>
      <c r="H145" s="1945"/>
      <c r="I145" s="1946" t="s">
        <v>2285</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2297</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2298</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6"/>
      <c r="G1" s="1607" t="s">
        <v>724</v>
      </c>
      <c r="H1" s="509"/>
      <c r="I1" s="509"/>
      <c r="J1" s="509"/>
      <c r="K1" s="510"/>
      <c r="L1" s="1568"/>
      <c r="M1" s="1569"/>
      <c r="N1" s="1569"/>
      <c r="O1" s="1569"/>
      <c r="P1" s="2217"/>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2217"/>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8"/>
      <c r="F3" s="2139"/>
      <c r="G3" s="2138"/>
      <c r="H3" s="2138"/>
      <c r="I3" s="2138"/>
      <c r="J3" s="2138"/>
      <c r="K3" s="2140"/>
      <c r="L3" s="2141"/>
      <c r="M3" s="2142"/>
      <c r="N3" s="2142"/>
      <c r="O3" s="2142"/>
      <c r="P3" s="2217"/>
      <c r="Q3" s="1570"/>
      <c r="R3" s="1570"/>
      <c r="S3" s="1570"/>
      <c r="T3" s="1570"/>
      <c r="U3" s="1570"/>
      <c r="V3" s="1570"/>
      <c r="W3" s="1570"/>
      <c r="X3" s="1570"/>
      <c r="Y3" s="1570"/>
      <c r="Z3" s="1570"/>
      <c r="AA3" s="1570"/>
      <c r="AB3" s="1570"/>
      <c r="AC3" s="1571"/>
    </row>
    <row r="4" spans="1:29" ht="15">
      <c r="A4" s="515" t="s">
        <v>522</v>
      </c>
      <c r="B4" s="516"/>
      <c r="C4" s="3363" t="s">
        <v>523</v>
      </c>
      <c r="D4" s="3364"/>
      <c r="E4" s="3387" t="s">
        <v>524</v>
      </c>
      <c r="F4" s="3388"/>
      <c r="G4" s="3363" t="s">
        <v>525</v>
      </c>
      <c r="H4" s="3364"/>
      <c r="I4" s="3363" t="s">
        <v>526</v>
      </c>
      <c r="J4" s="3364"/>
      <c r="K4" s="517" t="s">
        <v>527</v>
      </c>
      <c r="L4" s="2143"/>
      <c r="M4" s="2144"/>
      <c r="N4" s="2144"/>
      <c r="O4" s="2144"/>
      <c r="P4" s="3456" t="s">
        <v>528</v>
      </c>
      <c r="Q4" s="3366"/>
      <c r="R4" s="3351" t="s">
        <v>524</v>
      </c>
      <c r="S4" s="3352"/>
      <c r="T4" s="3351" t="s">
        <v>525</v>
      </c>
      <c r="U4" s="3352"/>
      <c r="V4" s="3371" t="s">
        <v>526</v>
      </c>
      <c r="W4" s="3371"/>
      <c r="X4" s="1573"/>
      <c r="Y4" s="3351" t="s">
        <v>528</v>
      </c>
      <c r="Z4" s="3352"/>
      <c r="AA4" s="3346" t="s">
        <v>524</v>
      </c>
      <c r="AB4" s="3346" t="s">
        <v>525</v>
      </c>
      <c r="AC4" s="3346" t="s">
        <v>526</v>
      </c>
    </row>
    <row r="5" spans="1:29" ht="15">
      <c r="A5" s="518"/>
      <c r="B5" s="519"/>
      <c r="C5" s="3374" t="s">
        <v>2942</v>
      </c>
      <c r="D5" s="3375"/>
      <c r="E5" s="3389" t="s">
        <v>2943</v>
      </c>
      <c r="F5" s="3390"/>
      <c r="G5" s="3374" t="s">
        <v>2944</v>
      </c>
      <c r="H5" s="3375"/>
      <c r="I5" s="3374" t="s">
        <v>2945</v>
      </c>
      <c r="J5" s="3375"/>
      <c r="K5" s="517"/>
      <c r="L5" s="2143"/>
      <c r="M5" s="2144"/>
      <c r="N5" s="2144"/>
      <c r="O5" s="2144"/>
      <c r="P5" s="3457"/>
      <c r="Q5" s="3368"/>
      <c r="R5" s="3353"/>
      <c r="S5" s="3354"/>
      <c r="T5" s="3353"/>
      <c r="U5" s="3354"/>
      <c r="V5" s="3371"/>
      <c r="W5" s="3371"/>
      <c r="X5" s="1573"/>
      <c r="Y5" s="3353"/>
      <c r="Z5" s="3354"/>
      <c r="AA5" s="3347"/>
      <c r="AB5" s="3347"/>
      <c r="AC5" s="3347"/>
    </row>
    <row r="6" spans="1:29" ht="15.75" thickBot="1">
      <c r="A6" s="520"/>
      <c r="B6" s="521"/>
      <c r="C6" s="3372" t="s">
        <v>2946</v>
      </c>
      <c r="D6" s="3373"/>
      <c r="E6" s="3391" t="s">
        <v>2946</v>
      </c>
      <c r="F6" s="3392"/>
      <c r="G6" s="3372" t="s">
        <v>2946</v>
      </c>
      <c r="H6" s="3373"/>
      <c r="I6" s="3372" t="s">
        <v>2946</v>
      </c>
      <c r="J6" s="3373"/>
      <c r="K6" s="517" t="s">
        <v>529</v>
      </c>
      <c r="L6" s="2143"/>
      <c r="M6" s="2144"/>
      <c r="N6" s="2144"/>
      <c r="O6" s="2144"/>
      <c r="P6" s="3458"/>
      <c r="Q6" s="3370"/>
      <c r="R6" s="3353"/>
      <c r="S6" s="3354"/>
      <c r="T6" s="3355"/>
      <c r="U6" s="3356"/>
      <c r="V6" s="3371"/>
      <c r="W6" s="3371"/>
      <c r="X6" s="1573"/>
      <c r="Y6" s="3355"/>
      <c r="Z6" s="3356"/>
      <c r="AA6" s="3348"/>
      <c r="AB6" s="3348"/>
      <c r="AC6" s="3348"/>
    </row>
    <row r="7" spans="1:29" s="1223" customFormat="1" ht="15.75" thickBot="1">
      <c r="A7" s="2951"/>
      <c r="B7" s="2958" t="s">
        <v>530</v>
      </c>
      <c r="C7" s="522">
        <f>'数据-取费表'!B2</f>
        <v>42912</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58" t="s">
        <v>531</v>
      </c>
      <c r="Q7" s="3358"/>
      <c r="R7" s="1574" t="s">
        <v>8</v>
      </c>
      <c r="S7" s="1575">
        <f t="shared" ref="S7:S15" si="0">F7</f>
        <v>0</v>
      </c>
      <c r="T7" s="1574" t="s">
        <v>8</v>
      </c>
      <c r="U7" s="1575">
        <f t="shared" ref="U7:U15" si="1">H7</f>
        <v>0</v>
      </c>
      <c r="V7" s="1574" t="s">
        <v>8</v>
      </c>
      <c r="W7" s="1575">
        <f t="shared" ref="W7:W15" si="2">J7</f>
        <v>0</v>
      </c>
      <c r="X7" s="1576"/>
      <c r="Y7" s="3349" t="s">
        <v>531</v>
      </c>
      <c r="Z7" s="3350"/>
      <c r="AA7" s="1577" t="e">
        <f>D7/F7</f>
        <v>#DIV/0!</v>
      </c>
      <c r="AB7" s="1577" t="e">
        <f>D7/H7</f>
        <v>#DIV/0!</v>
      </c>
      <c r="AC7" s="1577" t="e">
        <f>D7/J7</f>
        <v>#DIV/0!</v>
      </c>
    </row>
    <row r="8" spans="1:29" s="1223" customFormat="1" ht="15.75" thickBot="1">
      <c r="A8" s="2952"/>
      <c r="B8" s="2959" t="s">
        <v>532</v>
      </c>
      <c r="C8" s="528" t="s">
        <v>577</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58" t="s">
        <v>534</v>
      </c>
      <c r="Q8" s="3350"/>
      <c r="R8" s="1574" t="s">
        <v>8</v>
      </c>
      <c r="S8" s="1575">
        <f t="shared" si="0"/>
        <v>0</v>
      </c>
      <c r="T8" s="1574" t="s">
        <v>8</v>
      </c>
      <c r="U8" s="1575">
        <f t="shared" si="1"/>
        <v>0</v>
      </c>
      <c r="V8" s="1574" t="s">
        <v>8</v>
      </c>
      <c r="W8" s="1575">
        <f t="shared" si="2"/>
        <v>0</v>
      </c>
      <c r="X8" s="1576"/>
      <c r="Y8" s="3349" t="s">
        <v>534</v>
      </c>
      <c r="Z8" s="3350"/>
      <c r="AA8" s="1577" t="e">
        <f t="shared" ref="AA8:AA47" si="3">D8/F8</f>
        <v>#DIV/0!</v>
      </c>
      <c r="AB8" s="1577" t="e">
        <f t="shared" ref="AB8:AB47" si="4">D8/H8</f>
        <v>#DIV/0!</v>
      </c>
      <c r="AC8" s="1577" t="e">
        <f t="shared" ref="AC8:AC47" si="5">D8/J8</f>
        <v>#DIV/0!</v>
      </c>
    </row>
    <row r="9" spans="1:29" s="1223" customFormat="1" ht="15">
      <c r="A9" s="2953"/>
      <c r="B9" s="2960" t="s">
        <v>2772</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57" t="s">
        <v>536</v>
      </c>
      <c r="Q9" s="1154" t="str">
        <f t="shared" ref="Q9:Q15" si="6">B9</f>
        <v>用途</v>
      </c>
      <c r="R9" s="1574" t="s">
        <v>8</v>
      </c>
      <c r="S9" s="1575">
        <f t="shared" si="0"/>
        <v>100</v>
      </c>
      <c r="T9" s="1574" t="s">
        <v>8</v>
      </c>
      <c r="U9" s="1575">
        <f t="shared" si="1"/>
        <v>100</v>
      </c>
      <c r="V9" s="1574" t="s">
        <v>8</v>
      </c>
      <c r="W9" s="1575">
        <f t="shared" si="2"/>
        <v>100</v>
      </c>
      <c r="X9" s="1576"/>
      <c r="Y9" s="3314" t="s">
        <v>537</v>
      </c>
      <c r="Z9" s="1153" t="str">
        <f t="shared" ref="Z9:Z15" si="7">Q9</f>
        <v>用途</v>
      </c>
      <c r="AA9" s="1577">
        <f t="shared" si="3"/>
        <v>1</v>
      </c>
      <c r="AB9" s="1577">
        <f t="shared" si="4"/>
        <v>1</v>
      </c>
      <c r="AC9" s="1577">
        <f t="shared" si="5"/>
        <v>1</v>
      </c>
    </row>
    <row r="10" spans="1:29" s="1341" customFormat="1" ht="27">
      <c r="A10" s="2954"/>
      <c r="B10" s="2959" t="s">
        <v>2773</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57"/>
      <c r="Q10" s="1154" t="str">
        <f t="shared" si="6"/>
        <v>土地使用年限（年）</v>
      </c>
      <c r="R10" s="1574" t="s">
        <v>8</v>
      </c>
      <c r="S10" s="1575">
        <f t="shared" si="0"/>
        <v>100</v>
      </c>
      <c r="T10" s="1574" t="s">
        <v>8</v>
      </c>
      <c r="U10" s="1575">
        <f t="shared" si="1"/>
        <v>100</v>
      </c>
      <c r="V10" s="1574" t="s">
        <v>8</v>
      </c>
      <c r="W10" s="1575">
        <f t="shared" si="2"/>
        <v>100</v>
      </c>
      <c r="X10" s="1576"/>
      <c r="Y10" s="3314"/>
      <c r="Z10" s="1153" t="str">
        <f t="shared" si="7"/>
        <v>土地使用年限（年）</v>
      </c>
      <c r="AA10" s="1577">
        <f t="shared" si="3"/>
        <v>1</v>
      </c>
      <c r="AB10" s="1577">
        <f t="shared" si="4"/>
        <v>1</v>
      </c>
      <c r="AC10" s="1577">
        <f t="shared" si="5"/>
        <v>1</v>
      </c>
    </row>
    <row r="11" spans="1:29" ht="15">
      <c r="A11" s="2955"/>
      <c r="B11" s="2959" t="s">
        <v>2774</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57"/>
      <c r="Q11" s="1154" t="str">
        <f t="shared" si="6"/>
        <v>容积率</v>
      </c>
      <c r="R11" s="1574" t="s">
        <v>8</v>
      </c>
      <c r="S11" s="1575" t="e">
        <f t="shared" si="0"/>
        <v>#N/A</v>
      </c>
      <c r="T11" s="1574" t="s">
        <v>8</v>
      </c>
      <c r="U11" s="1575" t="e">
        <f t="shared" si="1"/>
        <v>#N/A</v>
      </c>
      <c r="V11" s="1574" t="s">
        <v>8</v>
      </c>
      <c r="W11" s="1575" t="e">
        <f t="shared" si="2"/>
        <v>#N/A</v>
      </c>
      <c r="X11" s="1576"/>
      <c r="Y11" s="3314"/>
      <c r="Z11" s="1153" t="str">
        <f t="shared" si="7"/>
        <v>容积率</v>
      </c>
      <c r="AA11" s="1577" t="e">
        <f t="shared" si="3"/>
        <v>#N/A</v>
      </c>
      <c r="AB11" s="1577" t="e">
        <f t="shared" si="4"/>
        <v>#N/A</v>
      </c>
      <c r="AC11" s="1577"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57"/>
      <c r="Q12" s="1154">
        <f t="shared" si="6"/>
        <v>111</v>
      </c>
      <c r="R12" s="1574" t="s">
        <v>8</v>
      </c>
      <c r="S12" s="1575">
        <f t="shared" si="0"/>
        <v>100</v>
      </c>
      <c r="T12" s="1574" t="s">
        <v>8</v>
      </c>
      <c r="U12" s="1575">
        <f t="shared" si="1"/>
        <v>100</v>
      </c>
      <c r="V12" s="1574" t="s">
        <v>8</v>
      </c>
      <c r="W12" s="1575">
        <f t="shared" si="2"/>
        <v>100</v>
      </c>
      <c r="X12" s="1576"/>
      <c r="Y12" s="3314"/>
      <c r="Z12" s="1153">
        <f t="shared" si="7"/>
        <v>111</v>
      </c>
      <c r="AA12" s="1577">
        <f>D12/F12</f>
        <v>1</v>
      </c>
      <c r="AB12" s="1577">
        <f>D12/H12</f>
        <v>1</v>
      </c>
      <c r="AC12" s="1577">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57"/>
      <c r="Q13" s="1154">
        <f t="shared" si="6"/>
        <v>111</v>
      </c>
      <c r="R13" s="1574" t="s">
        <v>8</v>
      </c>
      <c r="S13" s="1575">
        <f t="shared" si="0"/>
        <v>100</v>
      </c>
      <c r="T13" s="1574" t="s">
        <v>8</v>
      </c>
      <c r="U13" s="1575">
        <f t="shared" si="1"/>
        <v>100</v>
      </c>
      <c r="V13" s="1574" t="s">
        <v>8</v>
      </c>
      <c r="W13" s="1575">
        <f t="shared" si="2"/>
        <v>100</v>
      </c>
      <c r="X13" s="1576"/>
      <c r="Y13" s="3314"/>
      <c r="Z13" s="1153">
        <f t="shared" si="7"/>
        <v>111</v>
      </c>
      <c r="AA13" s="1577">
        <f t="shared" si="3"/>
        <v>1</v>
      </c>
      <c r="AB13" s="1577">
        <f t="shared" si="4"/>
        <v>1</v>
      </c>
      <c r="AC13" s="1577">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57"/>
      <c r="Q14" s="1154">
        <f t="shared" si="6"/>
        <v>111</v>
      </c>
      <c r="R14" s="1574" t="s">
        <v>8</v>
      </c>
      <c r="S14" s="1575">
        <f t="shared" si="0"/>
        <v>100</v>
      </c>
      <c r="T14" s="1574" t="s">
        <v>8</v>
      </c>
      <c r="U14" s="1575">
        <f t="shared" si="1"/>
        <v>100</v>
      </c>
      <c r="V14" s="1574" t="s">
        <v>8</v>
      </c>
      <c r="W14" s="1575">
        <f t="shared" si="2"/>
        <v>100</v>
      </c>
      <c r="X14" s="1576"/>
      <c r="Y14" s="3314"/>
      <c r="Z14" s="1153">
        <f t="shared" si="7"/>
        <v>111</v>
      </c>
      <c r="AA14" s="1577">
        <f t="shared" si="3"/>
        <v>1</v>
      </c>
      <c r="AB14" s="1577">
        <f t="shared" si="4"/>
        <v>1</v>
      </c>
      <c r="AC14" s="1577">
        <f t="shared" si="5"/>
        <v>1</v>
      </c>
    </row>
    <row r="15" spans="1:29" ht="15">
      <c r="A15" s="2949" t="s">
        <v>2770</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59" t="s">
        <v>541</v>
      </c>
      <c r="Q15" s="1578" t="str">
        <f t="shared" si="6"/>
        <v>办公集聚程度</v>
      </c>
      <c r="R15" s="1579" t="s">
        <v>8</v>
      </c>
      <c r="S15" s="1580">
        <f t="shared" si="0"/>
        <v>100</v>
      </c>
      <c r="T15" s="1579" t="s">
        <v>8</v>
      </c>
      <c r="U15" s="1580">
        <f t="shared" si="1"/>
        <v>100</v>
      </c>
      <c r="V15" s="1579" t="s">
        <v>8</v>
      </c>
      <c r="W15" s="1580">
        <f t="shared" si="2"/>
        <v>100</v>
      </c>
      <c r="X15" s="1573"/>
      <c r="Y15" s="3359"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2"/>
      <c r="M16" s="2144"/>
      <c r="N16" s="2144"/>
      <c r="O16" s="2144"/>
      <c r="P16" s="3360"/>
      <c r="Q16" s="1578"/>
      <c r="R16" s="1579"/>
      <c r="S16" s="1580"/>
      <c r="T16" s="1579"/>
      <c r="U16" s="1580"/>
      <c r="V16" s="1579"/>
      <c r="W16" s="1580"/>
      <c r="X16" s="1573"/>
      <c r="Y16" s="3360"/>
      <c r="Z16" s="1581"/>
      <c r="AA16" s="1582">
        <v>1</v>
      </c>
      <c r="AB16" s="1582">
        <v>1</v>
      </c>
      <c r="AC16" s="1582">
        <v>1</v>
      </c>
    </row>
    <row r="17" spans="1:29" ht="142.5">
      <c r="A17" s="535"/>
      <c r="B17" s="563" t="s">
        <v>296</v>
      </c>
      <c r="C17" s="576" t="str">
        <f>估价对象房地状况!C6</f>
        <v>估价对象位于美兰区，东距甸昆路约800米，南面邻近琼州海峡。周边2公里范围内有5、20、26路等公交线路，路网密集度一般，交通便捷度一般。</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60"/>
      <c r="Q17" s="1578" t="str">
        <f>B17</f>
        <v>交通便捷度</v>
      </c>
      <c r="R17" s="1579" t="s">
        <v>8</v>
      </c>
      <c r="S17" s="1580">
        <f>F17</f>
        <v>100</v>
      </c>
      <c r="T17" s="1579" t="s">
        <v>8</v>
      </c>
      <c r="U17" s="1580">
        <f>H17</f>
        <v>100</v>
      </c>
      <c r="V17" s="1579" t="s">
        <v>8</v>
      </c>
      <c r="W17" s="1580">
        <f>J17</f>
        <v>100</v>
      </c>
      <c r="X17" s="1573"/>
      <c r="Y17" s="3360"/>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2"/>
      <c r="M18" s="2144"/>
      <c r="N18" s="2144"/>
      <c r="O18" s="2144"/>
      <c r="P18" s="3360"/>
      <c r="Q18" s="1578"/>
      <c r="R18" s="1579"/>
      <c r="S18" s="1580"/>
      <c r="T18" s="1579"/>
      <c r="U18" s="1580"/>
      <c r="V18" s="1579"/>
      <c r="W18" s="1580"/>
      <c r="X18" s="1573"/>
      <c r="Y18" s="3360"/>
      <c r="Z18" s="1581"/>
      <c r="AA18" s="1582">
        <v>1</v>
      </c>
      <c r="AB18" s="1582">
        <v>1</v>
      </c>
      <c r="AC18" s="1582">
        <v>1</v>
      </c>
    </row>
    <row r="19" spans="1:29" ht="128.25">
      <c r="A19" s="535"/>
      <c r="B19" s="2638" t="s">
        <v>2560</v>
      </c>
      <c r="C19" s="576" t="str">
        <f>估价对象房地状况!C7</f>
        <v>周边2公里范围内有海口实验幼儿园、海口景山学校海淀分校等学校；有中国建设银行、中国工商银行等金融机构；公共配套设施情况较好。</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60"/>
      <c r="Q19" s="1578" t="str">
        <f>B19</f>
        <v>公共配套设施</v>
      </c>
      <c r="R19" s="1579" t="s">
        <v>8</v>
      </c>
      <c r="S19" s="1580">
        <f>F19</f>
        <v>100</v>
      </c>
      <c r="T19" s="1579" t="s">
        <v>8</v>
      </c>
      <c r="U19" s="1580">
        <f>H19</f>
        <v>100</v>
      </c>
      <c r="V19" s="1579" t="s">
        <v>8</v>
      </c>
      <c r="W19" s="1580">
        <f>J19</f>
        <v>100</v>
      </c>
      <c r="X19" s="1573"/>
      <c r="Y19" s="3360"/>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2"/>
      <c r="M20" s="2144"/>
      <c r="N20" s="2144"/>
      <c r="O20" s="2144"/>
      <c r="P20" s="3360"/>
      <c r="Q20" s="1578"/>
      <c r="R20" s="1579"/>
      <c r="S20" s="1580"/>
      <c r="T20" s="1579"/>
      <c r="U20" s="1580"/>
      <c r="V20" s="1579"/>
      <c r="W20" s="1580"/>
      <c r="X20" s="1573"/>
      <c r="Y20" s="3360"/>
      <c r="Z20" s="1581"/>
      <c r="AA20" s="1582">
        <v>1</v>
      </c>
      <c r="AB20" s="1582">
        <v>1</v>
      </c>
      <c r="AC20" s="1582">
        <v>1</v>
      </c>
    </row>
    <row r="21" spans="1:29" ht="42.75">
      <c r="A21" s="535"/>
      <c r="B21" s="2626" t="s">
        <v>2572</v>
      </c>
      <c r="C21" s="576" t="str">
        <f>估价对象房地状况!C8</f>
        <v>估价对象所在区域基础设施水平：六通</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60"/>
      <c r="Q21" s="2614" t="str">
        <f>B21</f>
        <v>基础设施水平</v>
      </c>
      <c r="R21" s="1579" t="s">
        <v>8</v>
      </c>
      <c r="S21" s="1580">
        <f>F21</f>
        <v>100</v>
      </c>
      <c r="T21" s="1579" t="s">
        <v>8</v>
      </c>
      <c r="U21" s="1580">
        <f>H21</f>
        <v>100</v>
      </c>
      <c r="V21" s="1579" t="s">
        <v>8</v>
      </c>
      <c r="W21" s="1580">
        <f>J21</f>
        <v>100</v>
      </c>
      <c r="X21" s="2616"/>
      <c r="Y21" s="3360"/>
      <c r="Z21" s="2615"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7"/>
      <c r="L22" s="2152"/>
      <c r="M22" s="2144"/>
      <c r="N22" s="2144"/>
      <c r="O22" s="2144"/>
      <c r="P22" s="3360"/>
      <c r="Q22" s="2614"/>
      <c r="R22" s="1579"/>
      <c r="S22" s="1580"/>
      <c r="T22" s="1579"/>
      <c r="U22" s="1580"/>
      <c r="V22" s="1579"/>
      <c r="W22" s="1580"/>
      <c r="X22" s="2616"/>
      <c r="Y22" s="3360"/>
      <c r="Z22" s="2615"/>
      <c r="AA22" s="1582">
        <v>1</v>
      </c>
      <c r="AB22" s="1582">
        <v>1</v>
      </c>
      <c r="AC22" s="1582">
        <v>1</v>
      </c>
    </row>
    <row r="23" spans="1:29" ht="114">
      <c r="A23" s="535"/>
      <c r="B23" s="563" t="s">
        <v>781</v>
      </c>
      <c r="C23" s="576" t="str">
        <f>估价对象房地状况!C9</f>
        <v>估价对象所处区域土地利用类型以住宅用地为主；周边2公里范围内有海南大学、邻近琼州海峡，自然及人文环境好。</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60"/>
      <c r="Q23" s="1578" t="str">
        <f>B23</f>
        <v>环境质量</v>
      </c>
      <c r="R23" s="1579" t="s">
        <v>8</v>
      </c>
      <c r="S23" s="1580">
        <f>F23</f>
        <v>100</v>
      </c>
      <c r="T23" s="1579" t="s">
        <v>8</v>
      </c>
      <c r="U23" s="1580">
        <f>H23</f>
        <v>100</v>
      </c>
      <c r="V23" s="1579" t="s">
        <v>8</v>
      </c>
      <c r="W23" s="1580">
        <f>J23</f>
        <v>100</v>
      </c>
      <c r="X23" s="1573"/>
      <c r="Y23" s="3360"/>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2"/>
      <c r="M24" s="2144"/>
      <c r="N24" s="2144"/>
      <c r="O24" s="2144"/>
      <c r="P24" s="3360"/>
      <c r="Q24" s="1578"/>
      <c r="R24" s="1579"/>
      <c r="S24" s="1580"/>
      <c r="T24" s="1579"/>
      <c r="U24" s="1580"/>
      <c r="V24" s="1579"/>
      <c r="W24" s="1580"/>
      <c r="X24" s="1573"/>
      <c r="Y24" s="3360"/>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60"/>
      <c r="Q25" s="1578" t="str">
        <f>B25</f>
        <v>毗邻道路的类型与等级</v>
      </c>
      <c r="R25" s="1579" t="s">
        <v>8</v>
      </c>
      <c r="S25" s="1580">
        <f>F25</f>
        <v>100</v>
      </c>
      <c r="T25" s="1579" t="s">
        <v>8</v>
      </c>
      <c r="U25" s="1580">
        <f>H25</f>
        <v>100</v>
      </c>
      <c r="V25" s="1579" t="s">
        <v>8</v>
      </c>
      <c r="W25" s="1580">
        <f>J25</f>
        <v>100</v>
      </c>
      <c r="X25" s="1573"/>
      <c r="Y25" s="3360"/>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2"/>
      <c r="M26" s="2144"/>
      <c r="N26" s="2144"/>
      <c r="O26" s="2144"/>
      <c r="P26" s="3360"/>
      <c r="Q26" s="1578"/>
      <c r="R26" s="1579"/>
      <c r="S26" s="1580"/>
      <c r="T26" s="1579"/>
      <c r="U26" s="1580"/>
      <c r="V26" s="1579"/>
      <c r="W26" s="1580"/>
      <c r="X26" s="1573"/>
      <c r="Y26" s="3360"/>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60"/>
      <c r="Q27" s="1578" t="str">
        <f t="shared" ref="Q27:Q47" si="11">B27</f>
        <v>楼层</v>
      </c>
      <c r="R27" s="1579" t="s">
        <v>8</v>
      </c>
      <c r="S27" s="1580">
        <f>F27</f>
        <v>100</v>
      </c>
      <c r="T27" s="1579" t="s">
        <v>8</v>
      </c>
      <c r="U27" s="1580">
        <f>H27</f>
        <v>100</v>
      </c>
      <c r="V27" s="1579" t="s">
        <v>8</v>
      </c>
      <c r="W27" s="1580">
        <f>J27</f>
        <v>100</v>
      </c>
      <c r="X27" s="1573"/>
      <c r="Y27" s="3360"/>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60"/>
      <c r="Q28" s="1154" t="str">
        <f t="shared" si="11"/>
        <v>朝向</v>
      </c>
      <c r="R28" s="1574" t="s">
        <v>8</v>
      </c>
      <c r="S28" s="1575">
        <f>F28</f>
        <v>100</v>
      </c>
      <c r="T28" s="1574" t="s">
        <v>8</v>
      </c>
      <c r="U28" s="1575">
        <f>H28</f>
        <v>100</v>
      </c>
      <c r="V28" s="1574" t="s">
        <v>8</v>
      </c>
      <c r="W28" s="1575">
        <f>J28</f>
        <v>100</v>
      </c>
      <c r="X28" s="1576"/>
      <c r="Y28" s="3360"/>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60"/>
      <c r="Q29" s="1578">
        <f t="shared" si="11"/>
        <v>111</v>
      </c>
      <c r="R29" s="1579" t="s">
        <v>8</v>
      </c>
      <c r="S29" s="1580">
        <f t="shared" ref="S29:S47" si="12">F29</f>
        <v>100</v>
      </c>
      <c r="T29" s="1579" t="s">
        <v>8</v>
      </c>
      <c r="U29" s="1580">
        <f t="shared" ref="U29:U47" si="13">H29</f>
        <v>100</v>
      </c>
      <c r="V29" s="1579" t="s">
        <v>8</v>
      </c>
      <c r="W29" s="1580">
        <f t="shared" ref="W29:W47" si="14">J29</f>
        <v>100</v>
      </c>
      <c r="X29" s="1573"/>
      <c r="Y29" s="3360"/>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60"/>
      <c r="Q30" s="1578">
        <f t="shared" si="11"/>
        <v>111</v>
      </c>
      <c r="R30" s="1579" t="s">
        <v>8</v>
      </c>
      <c r="S30" s="1580">
        <f t="shared" si="12"/>
        <v>100</v>
      </c>
      <c r="T30" s="1579" t="s">
        <v>8</v>
      </c>
      <c r="U30" s="1580">
        <f t="shared" si="13"/>
        <v>100</v>
      </c>
      <c r="V30" s="1579" t="s">
        <v>8</v>
      </c>
      <c r="W30" s="1580">
        <f t="shared" si="14"/>
        <v>100</v>
      </c>
      <c r="X30" s="1573"/>
      <c r="Y30" s="3360"/>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60"/>
      <c r="Q31" s="1578">
        <f t="shared" si="11"/>
        <v>111</v>
      </c>
      <c r="R31" s="1579" t="s">
        <v>8</v>
      </c>
      <c r="S31" s="1580">
        <f t="shared" si="12"/>
        <v>100</v>
      </c>
      <c r="T31" s="1579" t="s">
        <v>8</v>
      </c>
      <c r="U31" s="1580">
        <f t="shared" si="13"/>
        <v>100</v>
      </c>
      <c r="V31" s="1579" t="s">
        <v>8</v>
      </c>
      <c r="W31" s="1580">
        <f t="shared" si="14"/>
        <v>100</v>
      </c>
      <c r="X31" s="1573"/>
      <c r="Y31" s="3360"/>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60"/>
      <c r="Q32" s="1578">
        <f t="shared" si="11"/>
        <v>111</v>
      </c>
      <c r="R32" s="1579" t="s">
        <v>8</v>
      </c>
      <c r="S32" s="1580">
        <f t="shared" si="12"/>
        <v>100</v>
      </c>
      <c r="T32" s="1579" t="s">
        <v>8</v>
      </c>
      <c r="U32" s="1580">
        <f t="shared" si="13"/>
        <v>100</v>
      </c>
      <c r="V32" s="1579" t="s">
        <v>8</v>
      </c>
      <c r="W32" s="1580">
        <f t="shared" si="14"/>
        <v>100</v>
      </c>
      <c r="X32" s="1573"/>
      <c r="Y32" s="3360"/>
      <c r="Z32" s="1581">
        <f t="shared" si="15"/>
        <v>111</v>
      </c>
      <c r="AA32" s="1582">
        <f t="shared" si="3"/>
        <v>1</v>
      </c>
      <c r="AB32" s="1582">
        <f t="shared" si="4"/>
        <v>1</v>
      </c>
      <c r="AC32" s="1582">
        <f t="shared" si="5"/>
        <v>1</v>
      </c>
    </row>
    <row r="33" spans="1:29" ht="15">
      <c r="A33" s="2946" t="s">
        <v>2771</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61" t="s">
        <v>551</v>
      </c>
      <c r="Q33" s="1578" t="str">
        <f t="shared" si="11"/>
        <v>建筑类型</v>
      </c>
      <c r="R33" s="1579" t="s">
        <v>8</v>
      </c>
      <c r="S33" s="1580">
        <f t="shared" si="12"/>
        <v>100</v>
      </c>
      <c r="T33" s="1579" t="s">
        <v>8</v>
      </c>
      <c r="U33" s="1580">
        <f t="shared" si="13"/>
        <v>100</v>
      </c>
      <c r="V33" s="1579" t="s">
        <v>8</v>
      </c>
      <c r="W33" s="1580">
        <f t="shared" si="14"/>
        <v>100</v>
      </c>
      <c r="X33" s="1573"/>
      <c r="Y33" s="3362"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62"/>
      <c r="Q34" s="1611" t="str">
        <f t="shared" si="11"/>
        <v>项目建筑规模</v>
      </c>
      <c r="R34" s="1583" t="s">
        <v>8</v>
      </c>
      <c r="S34" s="1584" t="e">
        <f t="shared" si="12"/>
        <v>#N/A</v>
      </c>
      <c r="T34" s="1583" t="s">
        <v>8</v>
      </c>
      <c r="U34" s="1584" t="e">
        <f t="shared" si="13"/>
        <v>#N/A</v>
      </c>
      <c r="V34" s="1583" t="s">
        <v>8</v>
      </c>
      <c r="W34" s="1584" t="e">
        <f t="shared" si="14"/>
        <v>#N/A</v>
      </c>
      <c r="X34" s="1585"/>
      <c r="Y34" s="3362"/>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62"/>
      <c r="Q35" s="1578" t="str">
        <f t="shared" si="11"/>
        <v>建筑结构</v>
      </c>
      <c r="R35" s="1579" t="s">
        <v>8</v>
      </c>
      <c r="S35" s="1580">
        <f t="shared" si="12"/>
        <v>100</v>
      </c>
      <c r="T35" s="1579" t="s">
        <v>8</v>
      </c>
      <c r="U35" s="1580">
        <f t="shared" si="13"/>
        <v>100</v>
      </c>
      <c r="V35" s="1579" t="s">
        <v>8</v>
      </c>
      <c r="W35" s="1580">
        <f t="shared" si="14"/>
        <v>100</v>
      </c>
      <c r="X35" s="1573"/>
      <c r="Y35" s="3362"/>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62"/>
      <c r="Q36" s="1578" t="str">
        <f t="shared" si="11"/>
        <v>公共部分装修</v>
      </c>
      <c r="R36" s="1579" t="s">
        <v>8</v>
      </c>
      <c r="S36" s="1580">
        <f t="shared" si="12"/>
        <v>100</v>
      </c>
      <c r="T36" s="1579" t="s">
        <v>8</v>
      </c>
      <c r="U36" s="1580">
        <f t="shared" si="13"/>
        <v>100</v>
      </c>
      <c r="V36" s="1579" t="s">
        <v>8</v>
      </c>
      <c r="W36" s="1580">
        <f t="shared" si="14"/>
        <v>100</v>
      </c>
      <c r="X36" s="1573"/>
      <c r="Y36" s="3362"/>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62"/>
      <c r="Q37" s="1578" t="str">
        <f t="shared" si="11"/>
        <v>成新度</v>
      </c>
      <c r="R37" s="1579" t="s">
        <v>8</v>
      </c>
      <c r="S37" s="1580" t="e">
        <f t="shared" si="12"/>
        <v>#N/A</v>
      </c>
      <c r="T37" s="1579" t="s">
        <v>8</v>
      </c>
      <c r="U37" s="1580" t="e">
        <f t="shared" si="13"/>
        <v>#N/A</v>
      </c>
      <c r="V37" s="1579" t="s">
        <v>8</v>
      </c>
      <c r="W37" s="1580" t="e">
        <f t="shared" si="14"/>
        <v>#N/A</v>
      </c>
      <c r="X37" s="1573"/>
      <c r="Y37" s="3362"/>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62"/>
      <c r="Q38" s="1154" t="str">
        <f t="shared" si="11"/>
        <v>写字楼等级</v>
      </c>
      <c r="R38" s="1574" t="s">
        <v>8</v>
      </c>
      <c r="S38" s="1575">
        <f t="shared" si="12"/>
        <v>100</v>
      </c>
      <c r="T38" s="1574" t="s">
        <v>8</v>
      </c>
      <c r="U38" s="1575">
        <f t="shared" si="13"/>
        <v>100</v>
      </c>
      <c r="V38" s="1574" t="s">
        <v>8</v>
      </c>
      <c r="W38" s="1575">
        <f t="shared" si="14"/>
        <v>100</v>
      </c>
      <c r="X38" s="1576"/>
      <c r="Y38" s="3362"/>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62" t="s">
        <v>551</v>
      </c>
      <c r="Q39" s="1578" t="str">
        <f t="shared" si="11"/>
        <v>物业管理</v>
      </c>
      <c r="R39" s="1579" t="s">
        <v>8</v>
      </c>
      <c r="S39" s="1580">
        <f t="shared" si="12"/>
        <v>100</v>
      </c>
      <c r="T39" s="1579" t="s">
        <v>8</v>
      </c>
      <c r="U39" s="1580">
        <f t="shared" si="13"/>
        <v>100</v>
      </c>
      <c r="V39" s="1579" t="s">
        <v>8</v>
      </c>
      <c r="W39" s="1580">
        <f t="shared" si="14"/>
        <v>100</v>
      </c>
      <c r="X39" s="1573"/>
      <c r="Y39" s="3362" t="s">
        <v>551</v>
      </c>
      <c r="Z39" s="1581" t="str">
        <f t="shared" si="15"/>
        <v>物业管理</v>
      </c>
      <c r="AA39" s="1582">
        <f t="shared" si="3"/>
        <v>1</v>
      </c>
      <c r="AB39" s="1582">
        <f t="shared" si="4"/>
        <v>1</v>
      </c>
      <c r="AC39" s="1582">
        <f t="shared" si="5"/>
        <v>1</v>
      </c>
    </row>
    <row r="40" spans="1:29" ht="15">
      <c r="A40" s="597"/>
      <c r="B40" s="1901" t="s">
        <v>2579</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62"/>
      <c r="Q40" s="1578" t="str">
        <f t="shared" si="11"/>
        <v>市政基础设施</v>
      </c>
      <c r="R40" s="1579" t="s">
        <v>8</v>
      </c>
      <c r="S40" s="1580">
        <f t="shared" si="12"/>
        <v>100</v>
      </c>
      <c r="T40" s="1579" t="s">
        <v>8</v>
      </c>
      <c r="U40" s="1580">
        <f t="shared" si="13"/>
        <v>100</v>
      </c>
      <c r="V40" s="1579" t="s">
        <v>8</v>
      </c>
      <c r="W40" s="1580">
        <f t="shared" si="14"/>
        <v>100</v>
      </c>
      <c r="X40" s="1573"/>
      <c r="Y40" s="3362"/>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62"/>
      <c r="Q41" s="1578" t="str">
        <f t="shared" si="11"/>
        <v>层高</v>
      </c>
      <c r="R41" s="1579" t="s">
        <v>8</v>
      </c>
      <c r="S41" s="1580">
        <f t="shared" si="12"/>
        <v>100</v>
      </c>
      <c r="T41" s="1579" t="s">
        <v>8</v>
      </c>
      <c r="U41" s="1580">
        <f t="shared" si="13"/>
        <v>100</v>
      </c>
      <c r="V41" s="1579" t="s">
        <v>8</v>
      </c>
      <c r="W41" s="1580">
        <f t="shared" si="14"/>
        <v>100</v>
      </c>
      <c r="X41" s="1573"/>
      <c r="Y41" s="3362"/>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62"/>
      <c r="Q42" s="1611" t="str">
        <f t="shared" si="11"/>
        <v>单套建筑面积</v>
      </c>
      <c r="R42" s="1583" t="s">
        <v>8</v>
      </c>
      <c r="S42" s="1584">
        <f t="shared" si="12"/>
        <v>100</v>
      </c>
      <c r="T42" s="1583" t="s">
        <v>8</v>
      </c>
      <c r="U42" s="1584">
        <f t="shared" si="13"/>
        <v>100</v>
      </c>
      <c r="V42" s="1583" t="s">
        <v>8</v>
      </c>
      <c r="W42" s="1584">
        <f t="shared" si="14"/>
        <v>100</v>
      </c>
      <c r="X42" s="1585"/>
      <c r="Y42" s="3362"/>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62"/>
      <c r="Q43" s="1578" t="str">
        <f t="shared" si="11"/>
        <v>内部装修</v>
      </c>
      <c r="R43" s="1579" t="s">
        <v>8</v>
      </c>
      <c r="S43" s="1580">
        <f t="shared" si="12"/>
        <v>100</v>
      </c>
      <c r="T43" s="1579" t="s">
        <v>8</v>
      </c>
      <c r="U43" s="1580">
        <f t="shared" si="13"/>
        <v>100</v>
      </c>
      <c r="V43" s="1579" t="s">
        <v>8</v>
      </c>
      <c r="W43" s="1580">
        <f t="shared" si="14"/>
        <v>100</v>
      </c>
      <c r="X43" s="1573"/>
      <c r="Y43" s="3362"/>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62"/>
      <c r="Q44" s="1578" t="str">
        <f t="shared" si="11"/>
        <v>内部装修维护情况</v>
      </c>
      <c r="R44" s="1579" t="s">
        <v>8</v>
      </c>
      <c r="S44" s="1580">
        <f t="shared" si="12"/>
        <v>100</v>
      </c>
      <c r="T44" s="1579" t="s">
        <v>8</v>
      </c>
      <c r="U44" s="1580">
        <f t="shared" si="13"/>
        <v>100</v>
      </c>
      <c r="V44" s="1579" t="s">
        <v>8</v>
      </c>
      <c r="W44" s="1580">
        <f t="shared" si="14"/>
        <v>100</v>
      </c>
      <c r="X44" s="1573"/>
      <c r="Y44" s="3362"/>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62"/>
      <c r="Q45" s="1154">
        <f t="shared" si="11"/>
        <v>111</v>
      </c>
      <c r="R45" s="1574" t="s">
        <v>8</v>
      </c>
      <c r="S45" s="1575">
        <f t="shared" si="12"/>
        <v>100</v>
      </c>
      <c r="T45" s="1574" t="s">
        <v>8</v>
      </c>
      <c r="U45" s="1575">
        <f t="shared" si="13"/>
        <v>100</v>
      </c>
      <c r="V45" s="1574" t="s">
        <v>8</v>
      </c>
      <c r="W45" s="1575">
        <f t="shared" si="14"/>
        <v>100</v>
      </c>
      <c r="X45" s="1576"/>
      <c r="Y45" s="3362"/>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62"/>
      <c r="Q46" s="1578">
        <f t="shared" si="11"/>
        <v>111</v>
      </c>
      <c r="R46" s="1579" t="s">
        <v>8</v>
      </c>
      <c r="S46" s="1580">
        <f t="shared" si="12"/>
        <v>100</v>
      </c>
      <c r="T46" s="1579" t="s">
        <v>8</v>
      </c>
      <c r="U46" s="1580">
        <f t="shared" si="13"/>
        <v>100</v>
      </c>
      <c r="V46" s="1579" t="s">
        <v>8</v>
      </c>
      <c r="W46" s="1580">
        <f t="shared" si="14"/>
        <v>100</v>
      </c>
      <c r="X46" s="1573"/>
      <c r="Y46" s="3362"/>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32"/>
      <c r="Q47" s="1578">
        <f t="shared" si="11"/>
        <v>111</v>
      </c>
      <c r="R47" s="1579" t="s">
        <v>8</v>
      </c>
      <c r="S47" s="1580">
        <f t="shared" si="12"/>
        <v>100</v>
      </c>
      <c r="T47" s="1579" t="s">
        <v>8</v>
      </c>
      <c r="U47" s="1580">
        <f t="shared" si="13"/>
        <v>100</v>
      </c>
      <c r="V47" s="1579" t="s">
        <v>8</v>
      </c>
      <c r="W47" s="1580">
        <f t="shared" si="14"/>
        <v>100</v>
      </c>
      <c r="X47" s="1573"/>
      <c r="Y47" s="3432"/>
      <c r="Z47" s="1581">
        <f t="shared" si="15"/>
        <v>111</v>
      </c>
      <c r="AA47" s="1582">
        <f t="shared" si="3"/>
        <v>1</v>
      </c>
      <c r="AB47" s="1582">
        <f t="shared" si="4"/>
        <v>1</v>
      </c>
      <c r="AC47" s="1582">
        <f t="shared" si="5"/>
        <v>1</v>
      </c>
    </row>
    <row r="48" spans="1:29" ht="15">
      <c r="A48" s="610" t="s">
        <v>739</v>
      </c>
      <c r="B48" s="890"/>
      <c r="C48" s="2662" t="s">
        <v>1</v>
      </c>
      <c r="D48" s="2663"/>
      <c r="E48" s="2664"/>
      <c r="F48" s="2665"/>
      <c r="G48" s="2666"/>
      <c r="H48" s="2667"/>
      <c r="I48" s="2664"/>
      <c r="J48" s="2667"/>
      <c r="K48" s="1617"/>
      <c r="L48" s="2154"/>
      <c r="M48" s="2144"/>
      <c r="N48" s="2144"/>
      <c r="O48" s="2144"/>
      <c r="P48" s="3379" t="str">
        <f>A48</f>
        <v>成交单价（元/平方米）</v>
      </c>
      <c r="Q48" s="3357"/>
      <c r="R48" s="3433">
        <f>E48</f>
        <v>0</v>
      </c>
      <c r="S48" s="3433"/>
      <c r="T48" s="3433">
        <f>G48</f>
        <v>0</v>
      </c>
      <c r="U48" s="3433"/>
      <c r="V48" s="3433">
        <f>I48</f>
        <v>0</v>
      </c>
      <c r="W48" s="3433"/>
      <c r="X48" s="1565"/>
      <c r="Y48" s="1587"/>
      <c r="Z48" s="1565"/>
      <c r="AA48" s="1565"/>
      <c r="AB48" s="1565"/>
      <c r="AC48" s="1565"/>
    </row>
    <row r="49" spans="1:29" ht="15.75" thickBot="1">
      <c r="A49" s="618" t="s">
        <v>2776</v>
      </c>
      <c r="B49" s="891"/>
      <c r="C49" s="2668" t="e">
        <f>R50</f>
        <v>#DIV/0!</v>
      </c>
      <c r="D49" s="2669"/>
      <c r="E49" s="2670" t="e">
        <f>R49</f>
        <v>#DIV/0!</v>
      </c>
      <c r="F49" s="2670"/>
      <c r="G49" s="2668" t="e">
        <f>T49</f>
        <v>#DIV/0!</v>
      </c>
      <c r="H49" s="2669"/>
      <c r="I49" s="2670" t="e">
        <f>V49</f>
        <v>#DIV/0!</v>
      </c>
      <c r="J49" s="2669"/>
      <c r="K49" s="1618"/>
      <c r="L49" s="2154"/>
      <c r="M49" s="2144"/>
      <c r="N49" s="2144"/>
      <c r="O49" s="2144"/>
      <c r="P49" s="3379" t="str">
        <f>A49</f>
        <v>比较价格（元/平方米）</v>
      </c>
      <c r="Q49" s="3357"/>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1565"/>
      <c r="Y49" s="1565"/>
      <c r="Z49" s="1565"/>
      <c r="AA49" s="1565"/>
      <c r="AB49" s="1565"/>
      <c r="AC49" s="1565"/>
    </row>
    <row r="50" spans="1:29" ht="15.75" thickBot="1">
      <c r="A50" s="624" t="s">
        <v>2948</v>
      </c>
      <c r="B50" s="625"/>
      <c r="C50" s="2671" t="e">
        <f>R50</f>
        <v>#DIV/0!</v>
      </c>
      <c r="D50" s="2671"/>
      <c r="E50" s="2671"/>
      <c r="F50" s="2671"/>
      <c r="G50" s="2671"/>
      <c r="H50" s="2671"/>
      <c r="I50" s="2671"/>
      <c r="J50" s="2671"/>
      <c r="K50" s="1619"/>
      <c r="L50" s="2154"/>
      <c r="M50" s="2144"/>
      <c r="N50" s="2144"/>
      <c r="O50" s="2144"/>
      <c r="P50" s="3459" t="str">
        <f>A50</f>
        <v>估价对象XX用房的比较价格（楼面单价，元/平方米）</v>
      </c>
      <c r="Q50" s="3379"/>
      <c r="R50" s="3434" t="e">
        <f>IF(F1="售价",ROUND(AVERAGE(R49:V49),0),ROUND(AVERAGE(R49:V49),1))</f>
        <v>#DIV/0!</v>
      </c>
      <c r="S50" s="3434"/>
      <c r="T50" s="3434"/>
      <c r="U50" s="3434"/>
      <c r="V50" s="3434"/>
      <c r="W50" s="3434"/>
      <c r="X50" s="1565"/>
      <c r="Y50" s="1565"/>
      <c r="Z50" s="1565"/>
      <c r="AA50" s="1565"/>
      <c r="AB50" s="1565"/>
      <c r="AC50" s="1565"/>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90" t="s">
        <v>575</v>
      </c>
      <c r="B58" s="1565"/>
      <c r="C58" s="1589"/>
      <c r="D58" s="1589"/>
      <c r="E58" s="1589"/>
      <c r="F58" s="1591"/>
      <c r="G58" s="1591"/>
      <c r="H58" s="1589"/>
      <c r="I58" s="1589"/>
      <c r="J58" s="1589"/>
      <c r="K58" s="1592"/>
      <c r="L58" s="1588"/>
      <c r="M58" s="1589"/>
      <c r="N58" s="1589"/>
      <c r="O58" s="1589"/>
      <c r="P58" s="2220"/>
      <c r="Q58" s="2168"/>
      <c r="R58" s="2155"/>
      <c r="S58" s="2155"/>
      <c r="T58" s="2155"/>
      <c r="U58" s="2155"/>
      <c r="V58" s="2155"/>
      <c r="W58" s="2155"/>
      <c r="X58" s="2155"/>
      <c r="Y58" s="2155"/>
      <c r="Z58" s="2155"/>
      <c r="AA58" s="2155"/>
      <c r="AB58" s="2155"/>
      <c r="AC58" s="2155"/>
    </row>
    <row r="59" spans="1:29" s="1350" customFormat="1" ht="15">
      <c r="A59" s="648" t="s">
        <v>530</v>
      </c>
      <c r="B59" s="649"/>
      <c r="C59" s="2841" t="str">
        <f>YEAR(C7)&amp;"-"&amp;MONTH(C7)</f>
        <v>2017-6</v>
      </c>
      <c r="D59" s="2843">
        <f>EDATE(C59,-1)</f>
        <v>42856</v>
      </c>
      <c r="E59" s="2843">
        <f t="shared" ref="E59:O59" si="16">EDATE(D59,-1)</f>
        <v>42826</v>
      </c>
      <c r="F59" s="2843">
        <f t="shared" si="16"/>
        <v>42795</v>
      </c>
      <c r="G59" s="2843">
        <f t="shared" si="16"/>
        <v>42767</v>
      </c>
      <c r="H59" s="2843">
        <f t="shared" si="16"/>
        <v>42736</v>
      </c>
      <c r="I59" s="2843">
        <f t="shared" si="16"/>
        <v>42705</v>
      </c>
      <c r="J59" s="2843">
        <f t="shared" si="16"/>
        <v>42675</v>
      </c>
      <c r="K59" s="2843">
        <f t="shared" si="16"/>
        <v>42644</v>
      </c>
      <c r="L59" s="2843">
        <f t="shared" si="16"/>
        <v>42614</v>
      </c>
      <c r="M59" s="2843">
        <f t="shared" si="16"/>
        <v>42583</v>
      </c>
      <c r="N59" s="2843">
        <f t="shared" si="16"/>
        <v>42552</v>
      </c>
      <c r="O59" s="2843">
        <f t="shared" si="16"/>
        <v>42522</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576</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532</v>
      </c>
      <c r="B62" s="651"/>
      <c r="C62" s="663" t="s">
        <v>577</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578</v>
      </c>
      <c r="B64" s="668" t="s">
        <v>535</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540</v>
      </c>
      <c r="B77" s="668" t="s">
        <v>586</v>
      </c>
      <c r="C77" s="706" t="s">
        <v>580</v>
      </c>
      <c r="D77" s="706" t="s">
        <v>581</v>
      </c>
      <c r="E77" s="706" t="s">
        <v>582</v>
      </c>
      <c r="F77" s="706" t="s">
        <v>583</v>
      </c>
      <c r="G77" s="706" t="s">
        <v>584</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587</v>
      </c>
      <c r="C79" s="711" t="s">
        <v>580</v>
      </c>
      <c r="D79" s="711" t="s">
        <v>581</v>
      </c>
      <c r="E79" s="711" t="s">
        <v>582</v>
      </c>
      <c r="F79" s="711" t="s">
        <v>583</v>
      </c>
      <c r="G79" s="711" t="s">
        <v>584</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2571</v>
      </c>
      <c r="C81" s="711" t="s">
        <v>580</v>
      </c>
      <c r="D81" s="711" t="s">
        <v>581</v>
      </c>
      <c r="E81" s="711" t="s">
        <v>582</v>
      </c>
      <c r="F81" s="711" t="s">
        <v>583</v>
      </c>
      <c r="G81" s="711" t="s">
        <v>584</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2572</v>
      </c>
      <c r="C83" s="2633" t="s">
        <v>2573</v>
      </c>
      <c r="D83" s="2633" t="s">
        <v>2574</v>
      </c>
      <c r="E83" s="2633" t="s">
        <v>2575</v>
      </c>
      <c r="F83" s="2633" t="s">
        <v>2576</v>
      </c>
      <c r="G83" s="2633" t="s">
        <v>2577</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787</v>
      </c>
      <c r="C85" s="711" t="s">
        <v>580</v>
      </c>
      <c r="D85" s="711" t="s">
        <v>581</v>
      </c>
      <c r="E85" s="711" t="s">
        <v>582</v>
      </c>
      <c r="F85" s="711" t="s">
        <v>583</v>
      </c>
      <c r="G85" s="711" t="s">
        <v>584</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788</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552</v>
      </c>
      <c r="B101" s="668" t="s">
        <v>750</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752</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754</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789</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756</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2570</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790</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778</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758</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6"/>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t="e">
        <f>ROUND(B3*D3/10000,0)</f>
        <v>#DIV/0!</v>
      </c>
      <c r="C2" s="2137"/>
      <c r="D2" s="2137"/>
      <c r="E2" s="2138"/>
      <c r="F2" s="2139"/>
      <c r="G2" s="2138"/>
      <c r="H2" s="2138"/>
      <c r="I2" s="2138"/>
      <c r="J2" s="2138"/>
      <c r="K2" s="2138"/>
      <c r="L2" s="2141"/>
      <c r="M2" s="2142"/>
      <c r="N2" s="2142"/>
      <c r="O2" s="2142"/>
      <c r="P2" s="1570"/>
      <c r="Q2" s="1570"/>
      <c r="R2" s="1570"/>
      <c r="S2" s="1570"/>
      <c r="T2" s="1570"/>
      <c r="U2" s="1570"/>
      <c r="V2" s="1570"/>
      <c r="W2" s="1570"/>
      <c r="X2" s="1570"/>
      <c r="Y2" s="1570"/>
      <c r="Z2" s="1570"/>
      <c r="AA2" s="1570"/>
      <c r="AB2" s="1570"/>
      <c r="AC2" s="431"/>
    </row>
    <row r="3" spans="1:29" s="1339" customFormat="1" ht="28.5" customHeight="1" thickBot="1">
      <c r="A3" s="512" t="s">
        <v>520</v>
      </c>
      <c r="B3" s="513" t="e">
        <f>C43</f>
        <v>#DIV/0!</v>
      </c>
      <c r="C3" s="855" t="s">
        <v>725</v>
      </c>
      <c r="D3" s="854">
        <f>SUMIF('数据-汇总表'!$C19:$C33,D1,'数据-汇总表'!$E19:$E33)</f>
        <v>0</v>
      </c>
      <c r="E3" s="2138"/>
      <c r="F3" s="2139"/>
      <c r="G3" s="2138"/>
      <c r="H3" s="2138"/>
      <c r="I3" s="2138"/>
      <c r="J3" s="2138"/>
      <c r="K3" s="2140"/>
      <c r="L3" s="2141"/>
      <c r="M3" s="2142"/>
      <c r="N3" s="2142"/>
      <c r="O3" s="2142"/>
      <c r="P3" s="1570"/>
      <c r="Q3" s="1570"/>
      <c r="R3" s="1570"/>
      <c r="S3" s="1570"/>
      <c r="T3" s="1570"/>
      <c r="U3" s="1570"/>
      <c r="V3" s="1570"/>
      <c r="W3" s="1570"/>
      <c r="X3" s="1570"/>
      <c r="Y3" s="1570"/>
      <c r="Z3" s="1570"/>
      <c r="AA3" s="1570"/>
      <c r="AB3" s="1572"/>
      <c r="AC3" s="431"/>
    </row>
    <row r="4" spans="1:29" ht="15">
      <c r="A4" s="515" t="s">
        <v>522</v>
      </c>
      <c r="B4" s="516"/>
      <c r="C4" s="3363" t="s">
        <v>523</v>
      </c>
      <c r="D4" s="3364"/>
      <c r="E4" s="3387" t="s">
        <v>524</v>
      </c>
      <c r="F4" s="3388"/>
      <c r="G4" s="3363" t="s">
        <v>525</v>
      </c>
      <c r="H4" s="3364"/>
      <c r="I4" s="3363" t="s">
        <v>526</v>
      </c>
      <c r="J4" s="3364"/>
      <c r="K4" s="517" t="s">
        <v>527</v>
      </c>
      <c r="L4" s="2143"/>
      <c r="M4" s="2144"/>
      <c r="N4" s="2144"/>
      <c r="O4" s="2144"/>
      <c r="P4" s="3365" t="s">
        <v>528</v>
      </c>
      <c r="Q4" s="3366"/>
      <c r="R4" s="3351" t="s">
        <v>524</v>
      </c>
      <c r="S4" s="3352"/>
      <c r="T4" s="3351" t="s">
        <v>525</v>
      </c>
      <c r="U4" s="3352"/>
      <c r="V4" s="3371" t="s">
        <v>526</v>
      </c>
      <c r="W4" s="3371"/>
      <c r="X4" s="1573"/>
      <c r="Y4" s="3351" t="s">
        <v>528</v>
      </c>
      <c r="Z4" s="3352"/>
      <c r="AA4" s="3346" t="s">
        <v>524</v>
      </c>
      <c r="AB4" s="3347" t="s">
        <v>525</v>
      </c>
      <c r="AC4" s="3346" t="s">
        <v>526</v>
      </c>
    </row>
    <row r="5" spans="1:29" ht="15">
      <c r="A5" s="518"/>
      <c r="B5" s="519"/>
      <c r="C5" s="3374" t="s">
        <v>2942</v>
      </c>
      <c r="D5" s="3375"/>
      <c r="E5" s="3389" t="s">
        <v>2943</v>
      </c>
      <c r="F5" s="3390"/>
      <c r="G5" s="3374" t="s">
        <v>2944</v>
      </c>
      <c r="H5" s="3375"/>
      <c r="I5" s="3374" t="s">
        <v>2945</v>
      </c>
      <c r="J5" s="3375"/>
      <c r="K5" s="517"/>
      <c r="L5" s="2143"/>
      <c r="M5" s="2144"/>
      <c r="N5" s="2144"/>
      <c r="O5" s="2144"/>
      <c r="P5" s="3367"/>
      <c r="Q5" s="3368"/>
      <c r="R5" s="3353"/>
      <c r="S5" s="3354"/>
      <c r="T5" s="3353"/>
      <c r="U5" s="3354"/>
      <c r="V5" s="3371"/>
      <c r="W5" s="3371"/>
      <c r="X5" s="1573"/>
      <c r="Y5" s="3353"/>
      <c r="Z5" s="3354"/>
      <c r="AA5" s="3347"/>
      <c r="AB5" s="3347"/>
      <c r="AC5" s="3347"/>
    </row>
    <row r="6" spans="1:29" ht="15.75" thickBot="1">
      <c r="A6" s="520"/>
      <c r="B6" s="521"/>
      <c r="C6" s="3372" t="s">
        <v>2946</v>
      </c>
      <c r="D6" s="3373"/>
      <c r="E6" s="3391" t="s">
        <v>2946</v>
      </c>
      <c r="F6" s="3392"/>
      <c r="G6" s="3372" t="s">
        <v>2946</v>
      </c>
      <c r="H6" s="3373"/>
      <c r="I6" s="3372" t="s">
        <v>2946</v>
      </c>
      <c r="J6" s="3373"/>
      <c r="K6" s="517" t="s">
        <v>529</v>
      </c>
      <c r="L6" s="2143"/>
      <c r="M6" s="2144"/>
      <c r="N6" s="2144"/>
      <c r="O6" s="2144"/>
      <c r="P6" s="3369"/>
      <c r="Q6" s="3370"/>
      <c r="R6" s="3353"/>
      <c r="S6" s="3354"/>
      <c r="T6" s="3355"/>
      <c r="U6" s="3356"/>
      <c r="V6" s="3371"/>
      <c r="W6" s="3371"/>
      <c r="X6" s="1573"/>
      <c r="Y6" s="3355"/>
      <c r="Z6" s="3356"/>
      <c r="AA6" s="3348"/>
      <c r="AB6" s="3348"/>
      <c r="AC6" s="3348"/>
    </row>
    <row r="7" spans="1:29" s="1223" customFormat="1" ht="15.75" thickBot="1">
      <c r="A7" s="2951"/>
      <c r="B7" s="2958" t="s">
        <v>530</v>
      </c>
      <c r="C7" s="522">
        <f>'数据-取费表'!B2</f>
        <v>42912</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49" t="s">
        <v>531</v>
      </c>
      <c r="Q7" s="3358"/>
      <c r="R7" s="1574" t="s">
        <v>8</v>
      </c>
      <c r="S7" s="1575">
        <f t="shared" ref="S7:S15" si="0">F7</f>
        <v>0</v>
      </c>
      <c r="T7" s="1574" t="s">
        <v>8</v>
      </c>
      <c r="U7" s="1575">
        <f t="shared" ref="U7:U15" si="1">H7</f>
        <v>0</v>
      </c>
      <c r="V7" s="1574" t="s">
        <v>8</v>
      </c>
      <c r="W7" s="1575">
        <f t="shared" ref="W7:W15" si="2">J7</f>
        <v>0</v>
      </c>
      <c r="X7" s="1576"/>
      <c r="Y7" s="3349" t="s">
        <v>531</v>
      </c>
      <c r="Z7" s="3350"/>
      <c r="AA7" s="1577" t="e">
        <f>D7/F7</f>
        <v>#DIV/0!</v>
      </c>
      <c r="AB7" s="1577" t="e">
        <f>D7/H7</f>
        <v>#DIV/0!</v>
      </c>
      <c r="AC7" s="1577" t="e">
        <f>D7/J7</f>
        <v>#DIV/0!</v>
      </c>
    </row>
    <row r="8" spans="1:29" s="1223" customFormat="1" ht="15.75" thickBot="1">
      <c r="A8" s="2952"/>
      <c r="B8" s="2959" t="s">
        <v>532</v>
      </c>
      <c r="C8" s="528" t="s">
        <v>577</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49" t="s">
        <v>534</v>
      </c>
      <c r="Q8" s="3350"/>
      <c r="R8" s="1574" t="s">
        <v>8</v>
      </c>
      <c r="S8" s="1575">
        <f t="shared" si="0"/>
        <v>0</v>
      </c>
      <c r="T8" s="1574" t="s">
        <v>8</v>
      </c>
      <c r="U8" s="1575">
        <f t="shared" si="1"/>
        <v>0</v>
      </c>
      <c r="V8" s="1574" t="s">
        <v>8</v>
      </c>
      <c r="W8" s="1575">
        <f t="shared" si="2"/>
        <v>0</v>
      </c>
      <c r="X8" s="1576"/>
      <c r="Y8" s="3349" t="s">
        <v>534</v>
      </c>
      <c r="Z8" s="3350"/>
      <c r="AA8" s="1577" t="e">
        <f t="shared" ref="AA8:AA40" si="3">D8/F8</f>
        <v>#DIV/0!</v>
      </c>
      <c r="AB8" s="1577" t="e">
        <f t="shared" ref="AB8:AB40" si="4">D8/H8</f>
        <v>#DIV/0!</v>
      </c>
      <c r="AC8" s="1577" t="e">
        <f t="shared" ref="AC8:AC40" si="5">D8/J8</f>
        <v>#DIV/0!</v>
      </c>
    </row>
    <row r="9" spans="1:29" s="1223" customFormat="1" ht="15">
      <c r="A9" s="2953"/>
      <c r="B9" s="2960" t="s">
        <v>2772</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57" t="s">
        <v>536</v>
      </c>
      <c r="Q9" s="1154" t="str">
        <f t="shared" ref="Q9:Q15" si="6">B9</f>
        <v>用途</v>
      </c>
      <c r="R9" s="1574" t="s">
        <v>8</v>
      </c>
      <c r="S9" s="1575">
        <f t="shared" si="0"/>
        <v>100</v>
      </c>
      <c r="T9" s="1574" t="s">
        <v>8</v>
      </c>
      <c r="U9" s="1575">
        <f t="shared" si="1"/>
        <v>100</v>
      </c>
      <c r="V9" s="1574" t="s">
        <v>8</v>
      </c>
      <c r="W9" s="1575">
        <f t="shared" si="2"/>
        <v>100</v>
      </c>
      <c r="X9" s="1576"/>
      <c r="Y9" s="3314" t="s">
        <v>537</v>
      </c>
      <c r="Z9" s="1153" t="str">
        <f t="shared" ref="Z9:Z15" si="7">Q9</f>
        <v>用途</v>
      </c>
      <c r="AA9" s="1577">
        <f t="shared" si="3"/>
        <v>1</v>
      </c>
      <c r="AB9" s="1577">
        <f t="shared" si="4"/>
        <v>1</v>
      </c>
      <c r="AC9" s="1577">
        <f t="shared" si="5"/>
        <v>1</v>
      </c>
    </row>
    <row r="10" spans="1:29" s="1341" customFormat="1" ht="27">
      <c r="A10" s="2954"/>
      <c r="B10" s="2959" t="s">
        <v>2773</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57"/>
      <c r="Q10" s="1154" t="str">
        <f t="shared" si="6"/>
        <v>土地使用年限（年）</v>
      </c>
      <c r="R10" s="1574" t="s">
        <v>8</v>
      </c>
      <c r="S10" s="1575">
        <f t="shared" si="0"/>
        <v>100</v>
      </c>
      <c r="T10" s="1574" t="s">
        <v>8</v>
      </c>
      <c r="U10" s="1575">
        <f t="shared" si="1"/>
        <v>100</v>
      </c>
      <c r="V10" s="1574" t="s">
        <v>8</v>
      </c>
      <c r="W10" s="1575">
        <f t="shared" si="2"/>
        <v>100</v>
      </c>
      <c r="X10" s="1576"/>
      <c r="Y10" s="3314"/>
      <c r="Z10" s="1153" t="str">
        <f t="shared" si="7"/>
        <v>土地使用年限（年）</v>
      </c>
      <c r="AA10" s="1577">
        <f t="shared" si="3"/>
        <v>1</v>
      </c>
      <c r="AB10" s="1577">
        <f t="shared" si="4"/>
        <v>1</v>
      </c>
      <c r="AC10" s="1577">
        <f t="shared" si="5"/>
        <v>1</v>
      </c>
    </row>
    <row r="11" spans="1:29" ht="15">
      <c r="A11" s="2955"/>
      <c r="B11" s="2959" t="s">
        <v>2774</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57"/>
      <c r="Q11" s="1154" t="str">
        <f t="shared" si="6"/>
        <v>容积率</v>
      </c>
      <c r="R11" s="1574" t="s">
        <v>8</v>
      </c>
      <c r="S11" s="1575" t="e">
        <f t="shared" si="0"/>
        <v>#N/A</v>
      </c>
      <c r="T11" s="1574" t="s">
        <v>8</v>
      </c>
      <c r="U11" s="1575" t="e">
        <f t="shared" si="1"/>
        <v>#N/A</v>
      </c>
      <c r="V11" s="1574" t="s">
        <v>8</v>
      </c>
      <c r="W11" s="1575" t="e">
        <f t="shared" si="2"/>
        <v>#N/A</v>
      </c>
      <c r="X11" s="1576"/>
      <c r="Y11" s="3314"/>
      <c r="Z11" s="1153" t="str">
        <f t="shared" si="7"/>
        <v>容积率</v>
      </c>
      <c r="AA11" s="1577" t="e">
        <f t="shared" si="3"/>
        <v>#N/A</v>
      </c>
      <c r="AB11" s="1577" t="e">
        <f t="shared" si="4"/>
        <v>#N/A</v>
      </c>
      <c r="AC11" s="1577"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57"/>
      <c r="Q12" s="1154">
        <f t="shared" si="6"/>
        <v>111</v>
      </c>
      <c r="R12" s="1574" t="s">
        <v>8</v>
      </c>
      <c r="S12" s="1575">
        <f t="shared" si="0"/>
        <v>100</v>
      </c>
      <c r="T12" s="1574" t="s">
        <v>8</v>
      </c>
      <c r="U12" s="1575">
        <f t="shared" si="1"/>
        <v>100</v>
      </c>
      <c r="V12" s="1574" t="s">
        <v>8</v>
      </c>
      <c r="W12" s="1575">
        <f t="shared" si="2"/>
        <v>100</v>
      </c>
      <c r="X12" s="1576"/>
      <c r="Y12" s="3314"/>
      <c r="Z12" s="1153">
        <f t="shared" si="7"/>
        <v>111</v>
      </c>
      <c r="AA12" s="1577">
        <f>D12/F12</f>
        <v>1</v>
      </c>
      <c r="AB12" s="1577">
        <f>D12/H12</f>
        <v>1</v>
      </c>
      <c r="AC12" s="1577">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57"/>
      <c r="Q13" s="1154">
        <f t="shared" si="6"/>
        <v>111</v>
      </c>
      <c r="R13" s="1574" t="s">
        <v>8</v>
      </c>
      <c r="S13" s="1575">
        <f t="shared" si="0"/>
        <v>100</v>
      </c>
      <c r="T13" s="1574" t="s">
        <v>8</v>
      </c>
      <c r="U13" s="1575">
        <f t="shared" si="1"/>
        <v>100</v>
      </c>
      <c r="V13" s="1574" t="s">
        <v>8</v>
      </c>
      <c r="W13" s="1575">
        <f t="shared" si="2"/>
        <v>100</v>
      </c>
      <c r="X13" s="1576"/>
      <c r="Y13" s="3314"/>
      <c r="Z13" s="1153">
        <f t="shared" si="7"/>
        <v>111</v>
      </c>
      <c r="AA13" s="1577">
        <f t="shared" si="3"/>
        <v>1</v>
      </c>
      <c r="AB13" s="1577">
        <f t="shared" si="4"/>
        <v>1</v>
      </c>
      <c r="AC13" s="1577">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57"/>
      <c r="Q14" s="1154">
        <f t="shared" si="6"/>
        <v>111</v>
      </c>
      <c r="R14" s="1574" t="s">
        <v>8</v>
      </c>
      <c r="S14" s="1575">
        <f t="shared" si="0"/>
        <v>100</v>
      </c>
      <c r="T14" s="1574" t="s">
        <v>8</v>
      </c>
      <c r="U14" s="1575">
        <f t="shared" si="1"/>
        <v>100</v>
      </c>
      <c r="V14" s="1574" t="s">
        <v>8</v>
      </c>
      <c r="W14" s="1575">
        <f t="shared" si="2"/>
        <v>100</v>
      </c>
      <c r="X14" s="1576"/>
      <c r="Y14" s="3314"/>
      <c r="Z14" s="1153">
        <f t="shared" si="7"/>
        <v>111</v>
      </c>
      <c r="AA14" s="1577">
        <f t="shared" si="3"/>
        <v>1</v>
      </c>
      <c r="AB14" s="1577">
        <f t="shared" si="4"/>
        <v>1</v>
      </c>
      <c r="AC14" s="1577">
        <f t="shared" si="5"/>
        <v>1</v>
      </c>
    </row>
    <row r="15" spans="1:29" ht="57">
      <c r="A15" s="2949" t="s">
        <v>2770</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59" t="s">
        <v>541</v>
      </c>
      <c r="Q15" s="1578" t="str">
        <f t="shared" si="6"/>
        <v>产业集聚程度</v>
      </c>
      <c r="R15" s="1579" t="s">
        <v>8</v>
      </c>
      <c r="S15" s="1580">
        <f t="shared" si="0"/>
        <v>100</v>
      </c>
      <c r="T15" s="1579" t="s">
        <v>8</v>
      </c>
      <c r="U15" s="1580">
        <f t="shared" si="1"/>
        <v>100</v>
      </c>
      <c r="V15" s="1579" t="s">
        <v>8</v>
      </c>
      <c r="W15" s="1580">
        <f t="shared" si="2"/>
        <v>100</v>
      </c>
      <c r="X15" s="1573"/>
      <c r="Y15" s="3359" t="s">
        <v>541</v>
      </c>
      <c r="Z15" s="1581" t="str">
        <f t="shared" si="7"/>
        <v>产业集聚程度</v>
      </c>
      <c r="AA15" s="1582">
        <f t="shared" si="3"/>
        <v>1</v>
      </c>
      <c r="AB15" s="1582">
        <f t="shared" si="4"/>
        <v>1</v>
      </c>
      <c r="AC15" s="1582">
        <f t="shared" si="5"/>
        <v>1</v>
      </c>
    </row>
    <row r="16" spans="1:29" ht="15">
      <c r="A16" s="535"/>
      <c r="B16" s="872"/>
      <c r="C16" s="579"/>
      <c r="D16" s="558"/>
      <c r="E16" s="579"/>
      <c r="F16" s="560"/>
      <c r="G16" s="579"/>
      <c r="H16" s="562"/>
      <c r="I16" s="579"/>
      <c r="J16" s="558"/>
      <c r="K16" s="902"/>
      <c r="L16" s="2152"/>
      <c r="M16" s="2144"/>
      <c r="N16" s="2144"/>
      <c r="O16" s="2151"/>
      <c r="P16" s="3360"/>
      <c r="Q16" s="1578"/>
      <c r="R16" s="1579"/>
      <c r="S16" s="1580"/>
      <c r="T16" s="1579"/>
      <c r="U16" s="1580"/>
      <c r="V16" s="1579"/>
      <c r="W16" s="1580"/>
      <c r="X16" s="1573"/>
      <c r="Y16" s="3360"/>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60"/>
      <c r="Q17" s="1578" t="str">
        <f>B17</f>
        <v>交通便捷度</v>
      </c>
      <c r="R17" s="1579" t="s">
        <v>8</v>
      </c>
      <c r="S17" s="1580">
        <f>F17</f>
        <v>100</v>
      </c>
      <c r="T17" s="1579" t="s">
        <v>8</v>
      </c>
      <c r="U17" s="1580">
        <f>H17</f>
        <v>100</v>
      </c>
      <c r="V17" s="1579" t="s">
        <v>8</v>
      </c>
      <c r="W17" s="1580">
        <f>J17</f>
        <v>100</v>
      </c>
      <c r="X17" s="1573"/>
      <c r="Y17" s="3360"/>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2"/>
      <c r="M18" s="2144"/>
      <c r="N18" s="2144"/>
      <c r="O18" s="2151"/>
      <c r="P18" s="3360"/>
      <c r="Q18" s="1578"/>
      <c r="R18" s="1579"/>
      <c r="S18" s="1580"/>
      <c r="T18" s="1579"/>
      <c r="U18" s="1580"/>
      <c r="V18" s="1579"/>
      <c r="W18" s="1580"/>
      <c r="X18" s="1573"/>
      <c r="Y18" s="3360"/>
      <c r="Z18" s="1581"/>
      <c r="AA18" s="1582">
        <v>1</v>
      </c>
      <c r="AB18" s="1582">
        <v>1</v>
      </c>
      <c r="AC18" s="1582">
        <v>1</v>
      </c>
    </row>
    <row r="19" spans="1:29" ht="42.75">
      <c r="A19" s="535"/>
      <c r="B19" s="2638" t="s">
        <v>2560</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60"/>
      <c r="Q19" s="1578" t="str">
        <f>B19</f>
        <v>公共配套设施</v>
      </c>
      <c r="R19" s="1579" t="s">
        <v>8</v>
      </c>
      <c r="S19" s="1580">
        <f>F19</f>
        <v>100</v>
      </c>
      <c r="T19" s="1579" t="s">
        <v>8</v>
      </c>
      <c r="U19" s="1580">
        <f>H19</f>
        <v>100</v>
      </c>
      <c r="V19" s="1579" t="s">
        <v>8</v>
      </c>
      <c r="W19" s="1580">
        <f>J19</f>
        <v>100</v>
      </c>
      <c r="X19" s="1573"/>
      <c r="Y19" s="3360"/>
      <c r="Z19" s="1581" t="str">
        <f>Q19</f>
        <v>公共配套设施</v>
      </c>
      <c r="AA19" s="1582">
        <f t="shared" si="3"/>
        <v>1</v>
      </c>
      <c r="AB19" s="1582">
        <f t="shared" si="4"/>
        <v>1</v>
      </c>
      <c r="AC19" s="1582">
        <f t="shared" si="5"/>
        <v>1</v>
      </c>
    </row>
    <row r="20" spans="1:29" ht="15">
      <c r="A20" s="535"/>
      <c r="B20" s="569"/>
      <c r="C20" s="579"/>
      <c r="D20" s="558"/>
      <c r="E20" s="559"/>
      <c r="F20" s="560"/>
      <c r="G20" s="561"/>
      <c r="H20" s="558"/>
      <c r="I20" s="559"/>
      <c r="J20" s="558"/>
      <c r="K20" s="902"/>
      <c r="L20" s="2152"/>
      <c r="M20" s="2144"/>
      <c r="N20" s="2144"/>
      <c r="O20" s="2151"/>
      <c r="P20" s="3360"/>
      <c r="Q20" s="1578"/>
      <c r="R20" s="1579"/>
      <c r="S20" s="1580"/>
      <c r="T20" s="1579"/>
      <c r="U20" s="1580"/>
      <c r="V20" s="1579"/>
      <c r="W20" s="1580"/>
      <c r="X20" s="1573"/>
      <c r="Y20" s="3360"/>
      <c r="Z20" s="1581"/>
      <c r="AA20" s="1582">
        <v>1</v>
      </c>
      <c r="AB20" s="1582">
        <v>1</v>
      </c>
      <c r="AC20" s="1582">
        <v>1</v>
      </c>
    </row>
    <row r="21" spans="1:29" ht="28.5">
      <c r="A21" s="535"/>
      <c r="B21" s="2626" t="s">
        <v>2572</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60"/>
      <c r="Q21" s="2614" t="str">
        <f>B21</f>
        <v>基础设施水平</v>
      </c>
      <c r="R21" s="1579" t="s">
        <v>8</v>
      </c>
      <c r="S21" s="1580">
        <f>F21</f>
        <v>100</v>
      </c>
      <c r="T21" s="1579" t="s">
        <v>8</v>
      </c>
      <c r="U21" s="1580">
        <f>H21</f>
        <v>100</v>
      </c>
      <c r="V21" s="1579" t="s">
        <v>8</v>
      </c>
      <c r="W21" s="1580">
        <f>J21</f>
        <v>100</v>
      </c>
      <c r="X21" s="2616"/>
      <c r="Y21" s="3360"/>
      <c r="Z21" s="2615" t="str">
        <f>Q21</f>
        <v>基础设施水平</v>
      </c>
      <c r="AA21" s="1582">
        <f t="shared" ref="AA21" si="8">D21/F21</f>
        <v>1</v>
      </c>
      <c r="AB21" s="1582">
        <f t="shared" ref="AB21" si="9">D21/H21</f>
        <v>1</v>
      </c>
      <c r="AC21" s="1582">
        <f t="shared" ref="AC21" si="10">D21/J21</f>
        <v>1</v>
      </c>
    </row>
    <row r="22" spans="1:29" ht="15">
      <c r="A22" s="535"/>
      <c r="B22" s="581"/>
      <c r="C22" s="876"/>
      <c r="D22" s="558"/>
      <c r="E22" s="579"/>
      <c r="F22" s="560"/>
      <c r="G22" s="579"/>
      <c r="H22" s="558"/>
      <c r="I22" s="579"/>
      <c r="J22" s="558"/>
      <c r="K22" s="2637"/>
      <c r="L22" s="2152"/>
      <c r="M22" s="2144"/>
      <c r="N22" s="2144"/>
      <c r="O22" s="2151"/>
      <c r="P22" s="3360"/>
      <c r="Q22" s="2614"/>
      <c r="R22" s="1579"/>
      <c r="S22" s="1580"/>
      <c r="T22" s="1579"/>
      <c r="U22" s="1580"/>
      <c r="V22" s="1579"/>
      <c r="W22" s="1580"/>
      <c r="X22" s="2616"/>
      <c r="Y22" s="3360"/>
      <c r="Z22" s="2615"/>
      <c r="AA22" s="1582">
        <v>1</v>
      </c>
      <c r="AB22" s="1582">
        <v>1</v>
      </c>
      <c r="AC22" s="1582">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60"/>
      <c r="Q23" s="1578" t="str">
        <f>B23</f>
        <v>环境质量</v>
      </c>
      <c r="R23" s="1579" t="s">
        <v>8</v>
      </c>
      <c r="S23" s="1580">
        <f>F23</f>
        <v>100</v>
      </c>
      <c r="T23" s="1579" t="s">
        <v>8</v>
      </c>
      <c r="U23" s="1580">
        <f>H23</f>
        <v>100</v>
      </c>
      <c r="V23" s="1579" t="s">
        <v>8</v>
      </c>
      <c r="W23" s="1580">
        <f>J23</f>
        <v>100</v>
      </c>
      <c r="X23" s="1573"/>
      <c r="Y23" s="3360"/>
      <c r="Z23" s="1581" t="str">
        <f>Q23</f>
        <v>环境质量</v>
      </c>
      <c r="AA23" s="1582">
        <f t="shared" si="3"/>
        <v>1</v>
      </c>
      <c r="AB23" s="1582">
        <f t="shared" si="4"/>
        <v>1</v>
      </c>
      <c r="AC23" s="1582">
        <f t="shared" si="5"/>
        <v>1</v>
      </c>
    </row>
    <row r="24" spans="1:29" ht="15">
      <c r="A24" s="535"/>
      <c r="B24" s="925"/>
      <c r="C24" s="579"/>
      <c r="D24" s="558"/>
      <c r="E24" s="559"/>
      <c r="F24" s="560"/>
      <c r="G24" s="561"/>
      <c r="H24" s="558"/>
      <c r="I24" s="559"/>
      <c r="J24" s="558"/>
      <c r="K24" s="902"/>
      <c r="L24" s="2152"/>
      <c r="M24" s="2144"/>
      <c r="N24" s="2144"/>
      <c r="O24" s="2151"/>
      <c r="P24" s="3360"/>
      <c r="Q24" s="1578"/>
      <c r="R24" s="1579"/>
      <c r="S24" s="1580"/>
      <c r="T24" s="1579"/>
      <c r="U24" s="1580"/>
      <c r="V24" s="1579"/>
      <c r="W24" s="1580"/>
      <c r="X24" s="1573"/>
      <c r="Y24" s="3360"/>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60"/>
      <c r="Q25" s="1578">
        <f>B25</f>
        <v>111</v>
      </c>
      <c r="R25" s="1579" t="s">
        <v>8</v>
      </c>
      <c r="S25" s="1580">
        <f>F25</f>
        <v>100</v>
      </c>
      <c r="T25" s="1579" t="s">
        <v>8</v>
      </c>
      <c r="U25" s="1580">
        <f>H25</f>
        <v>100</v>
      </c>
      <c r="V25" s="1579" t="s">
        <v>8</v>
      </c>
      <c r="W25" s="1580">
        <f>J25</f>
        <v>100</v>
      </c>
      <c r="X25" s="1573"/>
      <c r="Y25" s="3360"/>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60"/>
      <c r="Q26" s="1578">
        <f t="shared" ref="Q26:Q40" si="11">B26</f>
        <v>111</v>
      </c>
      <c r="R26" s="1579" t="s">
        <v>8</v>
      </c>
      <c r="S26" s="1580">
        <f>F26</f>
        <v>100</v>
      </c>
      <c r="T26" s="1579" t="s">
        <v>8</v>
      </c>
      <c r="U26" s="1580">
        <f>H26</f>
        <v>100</v>
      </c>
      <c r="V26" s="1579" t="s">
        <v>8</v>
      </c>
      <c r="W26" s="1580">
        <f>J26</f>
        <v>100</v>
      </c>
      <c r="X26" s="1573"/>
      <c r="Y26" s="3360"/>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60"/>
      <c r="Q27" s="1154">
        <f t="shared" si="11"/>
        <v>111</v>
      </c>
      <c r="R27" s="1574" t="s">
        <v>8</v>
      </c>
      <c r="S27" s="1575">
        <f>F27</f>
        <v>100</v>
      </c>
      <c r="T27" s="1574" t="s">
        <v>8</v>
      </c>
      <c r="U27" s="1575">
        <f>H27</f>
        <v>100</v>
      </c>
      <c r="V27" s="1574" t="s">
        <v>8</v>
      </c>
      <c r="W27" s="1575">
        <f>J27</f>
        <v>100</v>
      </c>
      <c r="X27" s="1576"/>
      <c r="Y27" s="3360"/>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60"/>
      <c r="Q28" s="1578">
        <f t="shared" si="11"/>
        <v>111</v>
      </c>
      <c r="R28" s="1579" t="s">
        <v>8</v>
      </c>
      <c r="S28" s="1580">
        <f t="shared" ref="S28:S40" si="12">F28</f>
        <v>100</v>
      </c>
      <c r="T28" s="1579" t="s">
        <v>8</v>
      </c>
      <c r="U28" s="1580">
        <f t="shared" ref="U28:U40" si="13">H28</f>
        <v>100</v>
      </c>
      <c r="V28" s="1579" t="s">
        <v>8</v>
      </c>
      <c r="W28" s="1580">
        <f t="shared" ref="W28:W40" si="14">J28</f>
        <v>100</v>
      </c>
      <c r="X28" s="1573"/>
      <c r="Y28" s="3360"/>
      <c r="Z28" s="1581">
        <f t="shared" ref="Z28:Z40" si="15">Q28</f>
        <v>111</v>
      </c>
      <c r="AA28" s="1582">
        <f t="shared" si="3"/>
        <v>1</v>
      </c>
      <c r="AB28" s="1582">
        <f t="shared" si="4"/>
        <v>1</v>
      </c>
      <c r="AC28" s="1582">
        <f t="shared" si="5"/>
        <v>1</v>
      </c>
    </row>
    <row r="29" spans="1:29" ht="15">
      <c r="A29" s="2946" t="s">
        <v>2771</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61" t="s">
        <v>551</v>
      </c>
      <c r="Q29" s="1578" t="str">
        <f t="shared" si="11"/>
        <v>建筑类型</v>
      </c>
      <c r="R29" s="1579" t="s">
        <v>8</v>
      </c>
      <c r="S29" s="1580">
        <f t="shared" si="12"/>
        <v>100</v>
      </c>
      <c r="T29" s="1579" t="s">
        <v>8</v>
      </c>
      <c r="U29" s="1580">
        <f t="shared" si="13"/>
        <v>100</v>
      </c>
      <c r="V29" s="1579" t="s">
        <v>8</v>
      </c>
      <c r="W29" s="1580">
        <f t="shared" si="14"/>
        <v>100</v>
      </c>
      <c r="X29" s="1573"/>
      <c r="Y29" s="3362" t="s">
        <v>551</v>
      </c>
      <c r="Z29" s="1581" t="str">
        <f t="shared" si="15"/>
        <v>建筑类型</v>
      </c>
      <c r="AA29" s="1582">
        <f t="shared" si="3"/>
        <v>1</v>
      </c>
      <c r="AB29" s="1582">
        <f t="shared" si="4"/>
        <v>1</v>
      </c>
      <c r="AC29" s="1582">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62"/>
      <c r="Q30" s="1611" t="str">
        <f t="shared" si="11"/>
        <v>项目建筑规模</v>
      </c>
      <c r="R30" s="1583" t="s">
        <v>8</v>
      </c>
      <c r="S30" s="1584" t="e">
        <f t="shared" si="12"/>
        <v>#N/A</v>
      </c>
      <c r="T30" s="1583" t="s">
        <v>8</v>
      </c>
      <c r="U30" s="1584" t="e">
        <f t="shared" si="13"/>
        <v>#N/A</v>
      </c>
      <c r="V30" s="1583" t="s">
        <v>8</v>
      </c>
      <c r="W30" s="1584" t="e">
        <f t="shared" si="14"/>
        <v>#N/A</v>
      </c>
      <c r="X30" s="1585"/>
      <c r="Y30" s="3362"/>
      <c r="Z30" s="1586" t="str">
        <f t="shared" si="15"/>
        <v>项目建筑规模</v>
      </c>
      <c r="AA30" s="1582" t="e">
        <f t="shared" si="3"/>
        <v>#N/A</v>
      </c>
      <c r="AB30" s="1582" t="e">
        <f t="shared" si="4"/>
        <v>#N/A</v>
      </c>
      <c r="AC30" s="1582"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62"/>
      <c r="Q31" s="1578" t="str">
        <f t="shared" si="11"/>
        <v>建筑结构</v>
      </c>
      <c r="R31" s="1579" t="s">
        <v>8</v>
      </c>
      <c r="S31" s="1580">
        <f t="shared" si="12"/>
        <v>100</v>
      </c>
      <c r="T31" s="1579" t="s">
        <v>8</v>
      </c>
      <c r="U31" s="1580">
        <f t="shared" si="13"/>
        <v>100</v>
      </c>
      <c r="V31" s="1579" t="s">
        <v>8</v>
      </c>
      <c r="W31" s="1580">
        <f t="shared" si="14"/>
        <v>100</v>
      </c>
      <c r="X31" s="1573"/>
      <c r="Y31" s="3362"/>
      <c r="Z31" s="1581" t="str">
        <f t="shared" si="15"/>
        <v>建筑结构</v>
      </c>
      <c r="AA31" s="1582">
        <f t="shared" si="3"/>
        <v>1</v>
      </c>
      <c r="AB31" s="1582">
        <f t="shared" si="4"/>
        <v>1</v>
      </c>
      <c r="AC31" s="1582">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62"/>
      <c r="Q32" s="1578" t="str">
        <f t="shared" si="11"/>
        <v>公共部分装修</v>
      </c>
      <c r="R32" s="1579" t="s">
        <v>8</v>
      </c>
      <c r="S32" s="1580">
        <f t="shared" si="12"/>
        <v>100</v>
      </c>
      <c r="T32" s="1579" t="s">
        <v>8</v>
      </c>
      <c r="U32" s="1580">
        <f t="shared" si="13"/>
        <v>100</v>
      </c>
      <c r="V32" s="1579" t="s">
        <v>8</v>
      </c>
      <c r="W32" s="1580">
        <f t="shared" si="14"/>
        <v>100</v>
      </c>
      <c r="X32" s="1573"/>
      <c r="Y32" s="3362"/>
      <c r="Z32" s="1581" t="str">
        <f t="shared" si="15"/>
        <v>公共部分装修</v>
      </c>
      <c r="AA32" s="1582">
        <f t="shared" si="3"/>
        <v>1</v>
      </c>
      <c r="AB32" s="1582">
        <f t="shared" si="4"/>
        <v>1</v>
      </c>
      <c r="AC32" s="1582">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62"/>
      <c r="Q33" s="1578" t="str">
        <f t="shared" si="11"/>
        <v>成新度</v>
      </c>
      <c r="R33" s="1579" t="s">
        <v>8</v>
      </c>
      <c r="S33" s="1580" t="e">
        <f t="shared" si="12"/>
        <v>#N/A</v>
      </c>
      <c r="T33" s="1579" t="s">
        <v>8</v>
      </c>
      <c r="U33" s="1580" t="e">
        <f t="shared" si="13"/>
        <v>#N/A</v>
      </c>
      <c r="V33" s="1579" t="s">
        <v>8</v>
      </c>
      <c r="W33" s="1580" t="e">
        <f t="shared" si="14"/>
        <v>#N/A</v>
      </c>
      <c r="X33" s="1573"/>
      <c r="Y33" s="3362"/>
      <c r="Z33" s="1581" t="str">
        <f t="shared" si="15"/>
        <v>成新度</v>
      </c>
      <c r="AA33" s="1582" t="e">
        <f t="shared" si="3"/>
        <v>#N/A</v>
      </c>
      <c r="AB33" s="1582" t="e">
        <f t="shared" si="4"/>
        <v>#N/A</v>
      </c>
      <c r="AC33" s="1582"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62"/>
      <c r="Q34" s="1154" t="str">
        <f t="shared" si="11"/>
        <v>物业管理</v>
      </c>
      <c r="R34" s="1574" t="s">
        <v>8</v>
      </c>
      <c r="S34" s="1575">
        <f t="shared" si="12"/>
        <v>100</v>
      </c>
      <c r="T34" s="1574" t="s">
        <v>8</v>
      </c>
      <c r="U34" s="1575">
        <f t="shared" si="13"/>
        <v>100</v>
      </c>
      <c r="V34" s="1574" t="s">
        <v>8</v>
      </c>
      <c r="W34" s="1575">
        <f t="shared" si="14"/>
        <v>100</v>
      </c>
      <c r="X34" s="1576"/>
      <c r="Y34" s="3362"/>
      <c r="Z34" s="1153" t="str">
        <f t="shared" si="15"/>
        <v>物业管理</v>
      </c>
      <c r="AA34" s="1577">
        <f t="shared" si="3"/>
        <v>1</v>
      </c>
      <c r="AB34" s="1577">
        <f t="shared" si="4"/>
        <v>1</v>
      </c>
      <c r="AC34" s="1577">
        <f t="shared" si="5"/>
        <v>1</v>
      </c>
    </row>
    <row r="35" spans="1:29" ht="15">
      <c r="A35" s="597"/>
      <c r="B35" s="1901" t="s">
        <v>2579</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62" t="s">
        <v>551</v>
      </c>
      <c r="Q35" s="1578" t="str">
        <f t="shared" si="11"/>
        <v>市政基础设施</v>
      </c>
      <c r="R35" s="1579" t="s">
        <v>8</v>
      </c>
      <c r="S35" s="1580">
        <f t="shared" si="12"/>
        <v>100</v>
      </c>
      <c r="T35" s="1579" t="s">
        <v>8</v>
      </c>
      <c r="U35" s="1580">
        <f t="shared" si="13"/>
        <v>100</v>
      </c>
      <c r="V35" s="1579" t="s">
        <v>8</v>
      </c>
      <c r="W35" s="1580">
        <f t="shared" si="14"/>
        <v>100</v>
      </c>
      <c r="X35" s="1573"/>
      <c r="Y35" s="3362" t="s">
        <v>551</v>
      </c>
      <c r="Z35" s="1581" t="str">
        <f t="shared" si="15"/>
        <v>市政基础设施</v>
      </c>
      <c r="AA35" s="1582">
        <f t="shared" si="3"/>
        <v>1</v>
      </c>
      <c r="AB35" s="1582">
        <f t="shared" si="4"/>
        <v>1</v>
      </c>
      <c r="AC35" s="1582">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62"/>
      <c r="Q36" s="1578" t="str">
        <f t="shared" si="11"/>
        <v>内部装修</v>
      </c>
      <c r="R36" s="1579" t="s">
        <v>8</v>
      </c>
      <c r="S36" s="1580">
        <f t="shared" si="12"/>
        <v>100</v>
      </c>
      <c r="T36" s="1579" t="s">
        <v>8</v>
      </c>
      <c r="U36" s="1580">
        <f t="shared" si="13"/>
        <v>100</v>
      </c>
      <c r="V36" s="1579" t="s">
        <v>8</v>
      </c>
      <c r="W36" s="1580">
        <f t="shared" si="14"/>
        <v>100</v>
      </c>
      <c r="X36" s="1573"/>
      <c r="Y36" s="3362"/>
      <c r="Z36" s="1581" t="str">
        <f t="shared" si="15"/>
        <v>内部装修</v>
      </c>
      <c r="AA36" s="1582">
        <f t="shared" si="3"/>
        <v>1</v>
      </c>
      <c r="AB36" s="1582">
        <f t="shared" si="4"/>
        <v>1</v>
      </c>
      <c r="AC36" s="1582">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62"/>
      <c r="Q37" s="1578" t="str">
        <f t="shared" si="11"/>
        <v>内部装修状况</v>
      </c>
      <c r="R37" s="1579" t="s">
        <v>8</v>
      </c>
      <c r="S37" s="1580">
        <f t="shared" si="12"/>
        <v>100</v>
      </c>
      <c r="T37" s="1579" t="s">
        <v>8</v>
      </c>
      <c r="U37" s="1580">
        <f t="shared" si="13"/>
        <v>100</v>
      </c>
      <c r="V37" s="1579" t="s">
        <v>8</v>
      </c>
      <c r="W37" s="1580">
        <f t="shared" si="14"/>
        <v>100</v>
      </c>
      <c r="X37" s="1573"/>
      <c r="Y37" s="3362"/>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62"/>
      <c r="Q38" s="1611">
        <f t="shared" si="11"/>
        <v>111</v>
      </c>
      <c r="R38" s="1583" t="s">
        <v>8</v>
      </c>
      <c r="S38" s="1584">
        <f t="shared" si="12"/>
        <v>100</v>
      </c>
      <c r="T38" s="1583" t="s">
        <v>8</v>
      </c>
      <c r="U38" s="1584">
        <f t="shared" si="13"/>
        <v>100</v>
      </c>
      <c r="V38" s="1583" t="s">
        <v>8</v>
      </c>
      <c r="W38" s="1584">
        <f t="shared" si="14"/>
        <v>100</v>
      </c>
      <c r="X38" s="1585"/>
      <c r="Y38" s="3362"/>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62"/>
      <c r="Q39" s="1578">
        <f t="shared" si="11"/>
        <v>111</v>
      </c>
      <c r="R39" s="1579" t="s">
        <v>8</v>
      </c>
      <c r="S39" s="1580">
        <f t="shared" si="12"/>
        <v>100</v>
      </c>
      <c r="T39" s="1579" t="s">
        <v>8</v>
      </c>
      <c r="U39" s="1580">
        <f t="shared" si="13"/>
        <v>100</v>
      </c>
      <c r="V39" s="1579" t="s">
        <v>8</v>
      </c>
      <c r="W39" s="1580">
        <f t="shared" si="14"/>
        <v>100</v>
      </c>
      <c r="X39" s="1573"/>
      <c r="Y39" s="3362"/>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32"/>
      <c r="Q40" s="1578">
        <f t="shared" si="11"/>
        <v>111</v>
      </c>
      <c r="R40" s="1579" t="s">
        <v>8</v>
      </c>
      <c r="S40" s="1580">
        <f t="shared" si="12"/>
        <v>100</v>
      </c>
      <c r="T40" s="1579" t="s">
        <v>8</v>
      </c>
      <c r="U40" s="1580">
        <f t="shared" si="13"/>
        <v>100</v>
      </c>
      <c r="V40" s="1579" t="s">
        <v>8</v>
      </c>
      <c r="W40" s="1580">
        <f t="shared" si="14"/>
        <v>100</v>
      </c>
      <c r="X40" s="1573"/>
      <c r="Y40" s="3432"/>
      <c r="Z40" s="1581">
        <f t="shared" si="15"/>
        <v>111</v>
      </c>
      <c r="AA40" s="1582">
        <f t="shared" si="3"/>
        <v>1</v>
      </c>
      <c r="AB40" s="1582">
        <f t="shared" si="4"/>
        <v>1</v>
      </c>
      <c r="AC40" s="1582">
        <f t="shared" si="5"/>
        <v>1</v>
      </c>
    </row>
    <row r="41" spans="1:29" ht="15">
      <c r="A41" s="610" t="s">
        <v>739</v>
      </c>
      <c r="B41" s="890"/>
      <c r="C41" s="2662" t="s">
        <v>1</v>
      </c>
      <c r="D41" s="2663"/>
      <c r="E41" s="2664"/>
      <c r="F41" s="2665"/>
      <c r="G41" s="2666"/>
      <c r="H41" s="2667"/>
      <c r="I41" s="2664"/>
      <c r="J41" s="2667"/>
      <c r="K41" s="1617"/>
      <c r="L41" s="2154"/>
      <c r="M41" s="2155"/>
      <c r="N41" s="2144"/>
      <c r="O41" s="2155"/>
      <c r="P41" s="3357" t="str">
        <f>A41</f>
        <v>成交单价（元/平方米）</v>
      </c>
      <c r="Q41" s="3357"/>
      <c r="R41" s="3433">
        <f>E41</f>
        <v>0</v>
      </c>
      <c r="S41" s="3433"/>
      <c r="T41" s="3433">
        <f>G41</f>
        <v>0</v>
      </c>
      <c r="U41" s="3433"/>
      <c r="V41" s="3433">
        <f>I41</f>
        <v>0</v>
      </c>
      <c r="W41" s="3433"/>
      <c r="X41" s="1565"/>
      <c r="Y41" s="1587"/>
      <c r="Z41" s="1565"/>
      <c r="AA41" s="1565"/>
      <c r="AB41" s="1565"/>
      <c r="AC41" s="1565"/>
    </row>
    <row r="42" spans="1:29" ht="15.75" thickBot="1">
      <c r="A42" s="618" t="s">
        <v>2776</v>
      </c>
      <c r="B42" s="891"/>
      <c r="C42" s="2668" t="e">
        <f>R43</f>
        <v>#DIV/0!</v>
      </c>
      <c r="D42" s="2669"/>
      <c r="E42" s="2670" t="e">
        <f>R42</f>
        <v>#DIV/0!</v>
      </c>
      <c r="F42" s="2670"/>
      <c r="G42" s="2668" t="e">
        <f>T42</f>
        <v>#DIV/0!</v>
      </c>
      <c r="H42" s="2669"/>
      <c r="I42" s="2670" t="e">
        <f>V42</f>
        <v>#DIV/0!</v>
      </c>
      <c r="J42" s="2669"/>
      <c r="K42" s="1618"/>
      <c r="L42" s="2154"/>
      <c r="M42" s="2155"/>
      <c r="N42" s="2144"/>
      <c r="O42" s="2155"/>
      <c r="P42" s="3357" t="str">
        <f>A42</f>
        <v>比较价格（元/平方米）</v>
      </c>
      <c r="Q42" s="3357"/>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1565"/>
      <c r="Y42" s="1565"/>
      <c r="Z42" s="1565"/>
      <c r="AA42" s="1565"/>
      <c r="AB42" s="1565"/>
      <c r="AC42" s="1565"/>
    </row>
    <row r="43" spans="1:29" ht="15.75" thickBot="1">
      <c r="A43" s="624" t="s">
        <v>2948</v>
      </c>
      <c r="B43" s="625"/>
      <c r="C43" s="2671" t="e">
        <f>R43</f>
        <v>#DIV/0!</v>
      </c>
      <c r="D43" s="2671"/>
      <c r="E43" s="2671"/>
      <c r="F43" s="2671"/>
      <c r="G43" s="2671"/>
      <c r="H43" s="2671"/>
      <c r="I43" s="2671"/>
      <c r="J43" s="2671"/>
      <c r="K43" s="1619"/>
      <c r="L43" s="2154"/>
      <c r="M43" s="2155"/>
      <c r="N43" s="2155"/>
      <c r="O43" s="2155"/>
      <c r="P43" s="3378" t="str">
        <f>A43</f>
        <v>估价对象XX用房的比较价格（楼面单价，元/平方米）</v>
      </c>
      <c r="Q43" s="3379"/>
      <c r="R43" s="3434" t="e">
        <f>IF(F1="售价",ROUND(AVERAGE(R42:V42),0),ROUND(AVERAGE(R42:V42),1))</f>
        <v>#DIV/0!</v>
      </c>
      <c r="S43" s="3434"/>
      <c r="T43" s="3434"/>
      <c r="U43" s="3434"/>
      <c r="V43" s="3434"/>
      <c r="W43" s="3434"/>
      <c r="X43" s="1565"/>
      <c r="Y43" s="1565"/>
      <c r="Z43" s="1565"/>
      <c r="AA43" s="1565"/>
      <c r="AB43" s="1565"/>
      <c r="AC43" s="1565"/>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90" t="s">
        <v>575</v>
      </c>
      <c r="B51" s="1565"/>
      <c r="C51" s="1589"/>
      <c r="D51" s="1589"/>
      <c r="E51" s="1589"/>
      <c r="F51" s="1591"/>
      <c r="G51" s="1591"/>
      <c r="H51" s="1589"/>
      <c r="I51" s="1589"/>
      <c r="J51" s="1589"/>
      <c r="K51" s="1592"/>
      <c r="L51" s="1588"/>
      <c r="M51" s="1589"/>
      <c r="N51" s="1589"/>
      <c r="O51" s="1589"/>
      <c r="P51" s="2167"/>
      <c r="Q51" s="2168"/>
      <c r="R51" s="2155"/>
      <c r="S51" s="2155"/>
      <c r="T51" s="2155"/>
      <c r="U51" s="2155"/>
      <c r="V51" s="2155"/>
      <c r="W51" s="2155"/>
      <c r="X51" s="2155"/>
      <c r="Y51" s="2155"/>
      <c r="Z51" s="2155"/>
      <c r="AA51" s="2155"/>
      <c r="AB51" s="2155"/>
      <c r="AC51" s="2155"/>
    </row>
    <row r="52" spans="1:29" s="1350" customFormat="1" ht="15">
      <c r="A52" s="648" t="s">
        <v>530</v>
      </c>
      <c r="B52" s="649"/>
      <c r="C52" s="2841" t="str">
        <f>YEAR(C7)&amp;"-"&amp;MONTH(C7)</f>
        <v>2017-6</v>
      </c>
      <c r="D52" s="2843">
        <f>EDATE(C52,-1)</f>
        <v>42856</v>
      </c>
      <c r="E52" s="2843">
        <f t="shared" ref="E52:O52" si="16">EDATE(D52,-1)</f>
        <v>42826</v>
      </c>
      <c r="F52" s="2843">
        <f t="shared" si="16"/>
        <v>42795</v>
      </c>
      <c r="G52" s="2843">
        <f t="shared" si="16"/>
        <v>42767</v>
      </c>
      <c r="H52" s="2843">
        <f t="shared" si="16"/>
        <v>42736</v>
      </c>
      <c r="I52" s="2843">
        <f t="shared" si="16"/>
        <v>42705</v>
      </c>
      <c r="J52" s="2843">
        <f t="shared" si="16"/>
        <v>42675</v>
      </c>
      <c r="K52" s="2843">
        <f t="shared" si="16"/>
        <v>42644</v>
      </c>
      <c r="L52" s="2843">
        <f t="shared" si="16"/>
        <v>42614</v>
      </c>
      <c r="M52" s="2843">
        <f t="shared" si="16"/>
        <v>42583</v>
      </c>
      <c r="N52" s="2843">
        <f t="shared" si="16"/>
        <v>42552</v>
      </c>
      <c r="O52" s="2843">
        <f t="shared" si="16"/>
        <v>42522</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576</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532</v>
      </c>
      <c r="B55" s="651"/>
      <c r="C55" s="663" t="s">
        <v>577</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578</v>
      </c>
      <c r="B57" s="668" t="s">
        <v>535</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540</v>
      </c>
      <c r="B70" s="668" t="s">
        <v>586</v>
      </c>
      <c r="C70" s="706" t="s">
        <v>580</v>
      </c>
      <c r="D70" s="706" t="s">
        <v>581</v>
      </c>
      <c r="E70" s="706" t="s">
        <v>582</v>
      </c>
      <c r="F70" s="706" t="s">
        <v>583</v>
      </c>
      <c r="G70" s="706" t="s">
        <v>584</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587</v>
      </c>
      <c r="C72" s="711" t="s">
        <v>580</v>
      </c>
      <c r="D72" s="711" t="s">
        <v>581</v>
      </c>
      <c r="E72" s="711" t="s">
        <v>582</v>
      </c>
      <c r="F72" s="711" t="s">
        <v>583</v>
      </c>
      <c r="G72" s="711" t="s">
        <v>584</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2571</v>
      </c>
      <c r="C74" s="711" t="s">
        <v>580</v>
      </c>
      <c r="D74" s="711" t="s">
        <v>581</v>
      </c>
      <c r="E74" s="711" t="s">
        <v>582</v>
      </c>
      <c r="F74" s="711" t="s">
        <v>583</v>
      </c>
      <c r="G74" s="711" t="s">
        <v>584</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2572</v>
      </c>
      <c r="C76" s="2633" t="s">
        <v>2573</v>
      </c>
      <c r="D76" s="2633" t="s">
        <v>2574</v>
      </c>
      <c r="E76" s="2633" t="s">
        <v>2575</v>
      </c>
      <c r="F76" s="2633" t="s">
        <v>2576</v>
      </c>
      <c r="G76" s="2633" t="s">
        <v>2577</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552</v>
      </c>
      <c r="B88" s="668" t="s">
        <v>750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754</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756</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2570</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758</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7"/>
      <c r="D2" s="2137"/>
      <c r="E2" s="2138"/>
      <c r="F2" s="2139"/>
      <c r="G2" s="2138"/>
      <c r="H2" s="2138"/>
      <c r="I2" s="2138"/>
      <c r="J2" s="2138"/>
      <c r="K2" s="2140"/>
      <c r="L2" s="2141"/>
      <c r="M2" s="2142"/>
      <c r="N2" s="2142"/>
      <c r="O2" s="2142"/>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4" t="s">
        <v>2086</v>
      </c>
      <c r="F3" s="854">
        <f>SUMIF('数据-取费表'!A5:A15,D1,'数据-取费表'!AH5:AH15)</f>
        <v>0</v>
      </c>
      <c r="G3" s="2138"/>
      <c r="H3" s="2138"/>
      <c r="I3" s="2138"/>
      <c r="J3" s="2138"/>
      <c r="K3" s="2140"/>
      <c r="L3" s="2141"/>
      <c r="M3" s="2142"/>
      <c r="N3" s="2142"/>
      <c r="O3" s="2142"/>
      <c r="P3" s="1570"/>
      <c r="Q3" s="1570"/>
      <c r="R3" s="1570"/>
      <c r="S3" s="1570"/>
      <c r="T3" s="1570"/>
      <c r="U3" s="1570"/>
      <c r="V3" s="1570"/>
      <c r="W3" s="1570"/>
      <c r="X3" s="1570"/>
      <c r="Y3" s="1570"/>
      <c r="Z3" s="1570"/>
      <c r="AA3" s="1570"/>
      <c r="AB3" s="1572"/>
      <c r="AC3" s="431"/>
    </row>
    <row r="4" spans="1:29" ht="15">
      <c r="A4" s="515" t="s">
        <v>800</v>
      </c>
      <c r="B4" s="516"/>
      <c r="C4" s="3363" t="s">
        <v>801</v>
      </c>
      <c r="D4" s="3364"/>
      <c r="E4" s="3363" t="s">
        <v>802</v>
      </c>
      <c r="F4" s="3364"/>
      <c r="G4" s="3363" t="s">
        <v>803</v>
      </c>
      <c r="H4" s="3364"/>
      <c r="I4" s="3363" t="s">
        <v>804</v>
      </c>
      <c r="J4" s="3364"/>
      <c r="K4" s="517" t="s">
        <v>805</v>
      </c>
      <c r="L4" s="2143"/>
      <c r="M4" s="2144"/>
      <c r="N4" s="2144"/>
      <c r="O4" s="2144"/>
      <c r="P4" s="3365" t="s">
        <v>806</v>
      </c>
      <c r="Q4" s="3366"/>
      <c r="R4" s="3351" t="s">
        <v>802</v>
      </c>
      <c r="S4" s="3352"/>
      <c r="T4" s="3351" t="s">
        <v>803</v>
      </c>
      <c r="U4" s="3352"/>
      <c r="V4" s="3371" t="s">
        <v>804</v>
      </c>
      <c r="W4" s="3371"/>
      <c r="X4" s="1573"/>
      <c r="Y4" s="3351" t="s">
        <v>806</v>
      </c>
      <c r="Z4" s="3352"/>
      <c r="AA4" s="3346" t="s">
        <v>802</v>
      </c>
      <c r="AB4" s="3347" t="s">
        <v>803</v>
      </c>
      <c r="AC4" s="3346" t="s">
        <v>804</v>
      </c>
    </row>
    <row r="5" spans="1:29" ht="15">
      <c r="A5" s="518"/>
      <c r="B5" s="519"/>
      <c r="C5" s="3374" t="s">
        <v>2942</v>
      </c>
      <c r="D5" s="3375"/>
      <c r="E5" s="3374" t="s">
        <v>2943</v>
      </c>
      <c r="F5" s="3375"/>
      <c r="G5" s="3374" t="s">
        <v>2944</v>
      </c>
      <c r="H5" s="3375"/>
      <c r="I5" s="3374" t="s">
        <v>2945</v>
      </c>
      <c r="J5" s="3375"/>
      <c r="K5" s="517"/>
      <c r="L5" s="2143"/>
      <c r="M5" s="2144"/>
      <c r="N5" s="2144"/>
      <c r="O5" s="2144"/>
      <c r="P5" s="3367"/>
      <c r="Q5" s="3368"/>
      <c r="R5" s="3353"/>
      <c r="S5" s="3354"/>
      <c r="T5" s="3353"/>
      <c r="U5" s="3354"/>
      <c r="V5" s="3371"/>
      <c r="W5" s="3371"/>
      <c r="X5" s="1573"/>
      <c r="Y5" s="3353"/>
      <c r="Z5" s="3354"/>
      <c r="AA5" s="3347"/>
      <c r="AB5" s="3347"/>
      <c r="AC5" s="3347"/>
    </row>
    <row r="6" spans="1:29" ht="15.75" thickBot="1">
      <c r="A6" s="520"/>
      <c r="B6" s="521"/>
      <c r="C6" s="3372" t="s">
        <v>2946</v>
      </c>
      <c r="D6" s="3373"/>
      <c r="E6" s="3376" t="s">
        <v>2946</v>
      </c>
      <c r="F6" s="3377"/>
      <c r="G6" s="3372" t="s">
        <v>2946</v>
      </c>
      <c r="H6" s="3373"/>
      <c r="I6" s="3372" t="s">
        <v>2946</v>
      </c>
      <c r="J6" s="3373"/>
      <c r="K6" s="517" t="s">
        <v>529</v>
      </c>
      <c r="L6" s="2143"/>
      <c r="M6" s="2144"/>
      <c r="N6" s="2144"/>
      <c r="O6" s="2144"/>
      <c r="P6" s="3369"/>
      <c r="Q6" s="3370"/>
      <c r="R6" s="3353"/>
      <c r="S6" s="3354"/>
      <c r="T6" s="3355"/>
      <c r="U6" s="3356"/>
      <c r="V6" s="3371"/>
      <c r="W6" s="3371"/>
      <c r="X6" s="1573"/>
      <c r="Y6" s="3355"/>
      <c r="Z6" s="3356"/>
      <c r="AA6" s="3348"/>
      <c r="AB6" s="3348"/>
      <c r="AC6" s="3348"/>
    </row>
    <row r="7" spans="1:29" s="1223" customFormat="1" ht="15.75" thickBot="1">
      <c r="A7" s="2951"/>
      <c r="B7" s="2958" t="s">
        <v>530</v>
      </c>
      <c r="C7" s="522">
        <f>'数据-取费表'!B2</f>
        <v>42912</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49" t="s">
        <v>531</v>
      </c>
      <c r="Q7" s="3358"/>
      <c r="R7" s="1574" t="s">
        <v>8</v>
      </c>
      <c r="S7" s="1575">
        <f t="shared" ref="S7:S14" si="0">F7</f>
        <v>0</v>
      </c>
      <c r="T7" s="1574" t="s">
        <v>8</v>
      </c>
      <c r="U7" s="1575">
        <f t="shared" ref="U7:U14" si="1">H7</f>
        <v>0</v>
      </c>
      <c r="V7" s="1574" t="s">
        <v>8</v>
      </c>
      <c r="W7" s="1575">
        <f t="shared" ref="W7:W14" si="2">J7</f>
        <v>0</v>
      </c>
      <c r="X7" s="1576"/>
      <c r="Y7" s="3349" t="s">
        <v>531</v>
      </c>
      <c r="Z7" s="3350"/>
      <c r="AA7" s="1577" t="e">
        <f>D7/F7</f>
        <v>#DIV/0!</v>
      </c>
      <c r="AB7" s="1577" t="e">
        <f>D7/H7</f>
        <v>#DIV/0!</v>
      </c>
      <c r="AC7" s="1577" t="e">
        <f>D7/J7</f>
        <v>#DIV/0!</v>
      </c>
    </row>
    <row r="8" spans="1:29" s="1223" customFormat="1" ht="15.75" thickBot="1">
      <c r="A8" s="2952"/>
      <c r="B8" s="2959" t="s">
        <v>532</v>
      </c>
      <c r="C8" s="528" t="s">
        <v>577</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49" t="s">
        <v>534</v>
      </c>
      <c r="Q8" s="3350"/>
      <c r="R8" s="1574" t="s">
        <v>8</v>
      </c>
      <c r="S8" s="1575">
        <f t="shared" si="0"/>
        <v>0</v>
      </c>
      <c r="T8" s="1574" t="s">
        <v>8</v>
      </c>
      <c r="U8" s="1575">
        <f t="shared" si="1"/>
        <v>0</v>
      </c>
      <c r="V8" s="1574" t="s">
        <v>8</v>
      </c>
      <c r="W8" s="1575">
        <f t="shared" si="2"/>
        <v>0</v>
      </c>
      <c r="X8" s="1576"/>
      <c r="Y8" s="3349" t="s">
        <v>534</v>
      </c>
      <c r="Z8" s="3350"/>
      <c r="AA8" s="1577" t="e">
        <f t="shared" ref="AA8:AA36" si="3">D8/F8</f>
        <v>#DIV/0!</v>
      </c>
      <c r="AB8" s="1577" t="e">
        <f t="shared" ref="AB8:AB36" si="4">D8/H8</f>
        <v>#DIV/0!</v>
      </c>
      <c r="AC8" s="1577" t="e">
        <f t="shared" ref="AC8:AC36" si="5">D8/J8</f>
        <v>#DIV/0!</v>
      </c>
    </row>
    <row r="9" spans="1:29" s="1223" customFormat="1" ht="15">
      <c r="A9" s="2953"/>
      <c r="B9" s="2960" t="s">
        <v>2772</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57" t="s">
        <v>536</v>
      </c>
      <c r="Q9" s="1154" t="str">
        <f t="shared" ref="Q9:Q14" si="6">B9</f>
        <v>用途</v>
      </c>
      <c r="R9" s="1574" t="s">
        <v>8</v>
      </c>
      <c r="S9" s="1575">
        <f t="shared" si="0"/>
        <v>100</v>
      </c>
      <c r="T9" s="1574" t="s">
        <v>8</v>
      </c>
      <c r="U9" s="1575">
        <f t="shared" si="1"/>
        <v>100</v>
      </c>
      <c r="V9" s="1574" t="s">
        <v>8</v>
      </c>
      <c r="W9" s="1575">
        <f t="shared" si="2"/>
        <v>100</v>
      </c>
      <c r="X9" s="1576"/>
      <c r="Y9" s="3314" t="s">
        <v>537</v>
      </c>
      <c r="Z9" s="1153" t="str">
        <f t="shared" ref="Z9:Z14" si="7">Q9</f>
        <v>用途</v>
      </c>
      <c r="AA9" s="1577">
        <f t="shared" si="3"/>
        <v>1</v>
      </c>
      <c r="AB9" s="1577">
        <f t="shared" si="4"/>
        <v>1</v>
      </c>
      <c r="AC9" s="1577">
        <f t="shared" si="5"/>
        <v>1</v>
      </c>
    </row>
    <row r="10" spans="1:29" s="1341" customFormat="1" ht="27">
      <c r="A10" s="2954"/>
      <c r="B10" s="2959" t="s">
        <v>2773</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57"/>
      <c r="Q10" s="1154" t="str">
        <f t="shared" si="6"/>
        <v>土地使用年限（年）</v>
      </c>
      <c r="R10" s="1574" t="s">
        <v>8</v>
      </c>
      <c r="S10" s="1575">
        <f t="shared" si="0"/>
        <v>100</v>
      </c>
      <c r="T10" s="1574" t="s">
        <v>8</v>
      </c>
      <c r="U10" s="1575">
        <f t="shared" si="1"/>
        <v>100</v>
      </c>
      <c r="V10" s="1574" t="s">
        <v>8</v>
      </c>
      <c r="W10" s="1575">
        <f t="shared" si="2"/>
        <v>100</v>
      </c>
      <c r="X10" s="1576"/>
      <c r="Y10" s="3314"/>
      <c r="Z10" s="1153" t="str">
        <f t="shared" si="7"/>
        <v>土地使用年限（年）</v>
      </c>
      <c r="AA10" s="1577">
        <f t="shared" si="3"/>
        <v>1</v>
      </c>
      <c r="AB10" s="1577">
        <f t="shared" si="4"/>
        <v>1</v>
      </c>
      <c r="AC10" s="1577">
        <f t="shared" si="5"/>
        <v>1</v>
      </c>
    </row>
    <row r="11" spans="1:29" ht="15">
      <c r="A11" s="2956"/>
      <c r="B11" s="2962">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57"/>
      <c r="Q11" s="1154">
        <f t="shared" si="6"/>
        <v>111</v>
      </c>
      <c r="R11" s="1574" t="s">
        <v>8</v>
      </c>
      <c r="S11" s="1575">
        <f t="shared" si="0"/>
        <v>100</v>
      </c>
      <c r="T11" s="1574" t="s">
        <v>8</v>
      </c>
      <c r="U11" s="1575">
        <f t="shared" si="1"/>
        <v>100</v>
      </c>
      <c r="V11" s="1574" t="s">
        <v>8</v>
      </c>
      <c r="W11" s="1575">
        <f t="shared" si="2"/>
        <v>100</v>
      </c>
      <c r="X11" s="1576"/>
      <c r="Y11" s="3314"/>
      <c r="Z11" s="1153">
        <f t="shared" si="7"/>
        <v>111</v>
      </c>
      <c r="AA11" s="1577">
        <f t="shared" si="3"/>
        <v>1</v>
      </c>
      <c r="AB11" s="1577">
        <f t="shared" si="4"/>
        <v>1</v>
      </c>
      <c r="AC11" s="1577">
        <f t="shared" si="5"/>
        <v>1</v>
      </c>
    </row>
    <row r="12" spans="1:29" s="1223" customFormat="1" ht="15">
      <c r="A12" s="2956"/>
      <c r="B12" s="2962">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57"/>
      <c r="Q12" s="1154">
        <f t="shared" si="6"/>
        <v>111</v>
      </c>
      <c r="R12" s="1574" t="s">
        <v>8</v>
      </c>
      <c r="S12" s="1575">
        <f t="shared" si="0"/>
        <v>100</v>
      </c>
      <c r="T12" s="1574" t="s">
        <v>8</v>
      </c>
      <c r="U12" s="1575">
        <f t="shared" si="1"/>
        <v>100</v>
      </c>
      <c r="V12" s="1574" t="s">
        <v>8</v>
      </c>
      <c r="W12" s="1575">
        <f t="shared" si="2"/>
        <v>100</v>
      </c>
      <c r="X12" s="1576"/>
      <c r="Y12" s="3314"/>
      <c r="Z12" s="1153">
        <f t="shared" si="7"/>
        <v>111</v>
      </c>
      <c r="AA12" s="1577">
        <f>D12/F12</f>
        <v>1</v>
      </c>
      <c r="AB12" s="1577">
        <f>D12/H12</f>
        <v>1</v>
      </c>
      <c r="AC12" s="1577">
        <f>D12/J12</f>
        <v>1</v>
      </c>
    </row>
    <row r="13" spans="1:29" ht="15.75" thickBot="1">
      <c r="A13" s="2957"/>
      <c r="B13" s="2963">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57"/>
      <c r="Q13" s="1154">
        <f t="shared" si="6"/>
        <v>111</v>
      </c>
      <c r="R13" s="1574" t="s">
        <v>8</v>
      </c>
      <c r="S13" s="1575">
        <f t="shared" si="0"/>
        <v>100</v>
      </c>
      <c r="T13" s="1574" t="s">
        <v>8</v>
      </c>
      <c r="U13" s="1575">
        <f t="shared" si="1"/>
        <v>100</v>
      </c>
      <c r="V13" s="1574" t="s">
        <v>8</v>
      </c>
      <c r="W13" s="1575">
        <f t="shared" si="2"/>
        <v>100</v>
      </c>
      <c r="X13" s="1576"/>
      <c r="Y13" s="3314"/>
      <c r="Z13" s="1153">
        <f t="shared" si="7"/>
        <v>111</v>
      </c>
      <c r="AA13" s="1577">
        <f t="shared" si="3"/>
        <v>1</v>
      </c>
      <c r="AB13" s="1577">
        <f t="shared" si="4"/>
        <v>1</v>
      </c>
      <c r="AC13" s="1577">
        <f t="shared" si="5"/>
        <v>1</v>
      </c>
    </row>
    <row r="14" spans="1:29" ht="142.5">
      <c r="A14" s="2949" t="s">
        <v>2770</v>
      </c>
      <c r="B14" s="550" t="s">
        <v>544</v>
      </c>
      <c r="C14" s="924" t="str">
        <f>IF(B1="工业",估价对象房地状况!G4,估价对象房地状况!C6)</f>
        <v>估价对象位于美兰区，东距甸昆路约800米，南面邻近琼州海峡。周边2公里范围内有5、20、26路等公交线路，路网密集度一般，交通便捷度一般。</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59" t="s">
        <v>541</v>
      </c>
      <c r="Q14" s="1578" t="str">
        <f t="shared" si="6"/>
        <v>交通便捷度</v>
      </c>
      <c r="R14" s="1579" t="s">
        <v>8</v>
      </c>
      <c r="S14" s="1580">
        <f t="shared" si="0"/>
        <v>100</v>
      </c>
      <c r="T14" s="1579" t="s">
        <v>8</v>
      </c>
      <c r="U14" s="1580">
        <f t="shared" si="1"/>
        <v>100</v>
      </c>
      <c r="V14" s="1579" t="s">
        <v>8</v>
      </c>
      <c r="W14" s="1580">
        <f t="shared" si="2"/>
        <v>100</v>
      </c>
      <c r="X14" s="1573"/>
      <c r="Y14" s="3359"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2"/>
      <c r="M15" s="2144"/>
      <c r="N15" s="2144"/>
      <c r="O15" s="2151"/>
      <c r="P15" s="3360"/>
      <c r="Q15" s="1578"/>
      <c r="R15" s="1579"/>
      <c r="S15" s="1580"/>
      <c r="T15" s="1579"/>
      <c r="U15" s="1580"/>
      <c r="V15" s="1579"/>
      <c r="W15" s="1580"/>
      <c r="X15" s="1573"/>
      <c r="Y15" s="3360"/>
      <c r="Z15" s="1581"/>
      <c r="AA15" s="1582">
        <v>1</v>
      </c>
      <c r="AB15" s="1582">
        <v>1</v>
      </c>
      <c r="AC15" s="1582">
        <v>1</v>
      </c>
    </row>
    <row r="16" spans="1:29" ht="128.25">
      <c r="A16" s="518"/>
      <c r="B16" s="2638" t="s">
        <v>2560</v>
      </c>
      <c r="C16" s="875" t="str">
        <f>IF(B1="工业",估价对象房地状况!G5,估价对象房地状况!C7)</f>
        <v>周边2公里范围内有海口实验幼儿园、海口景山学校海淀分校等学校；有中国建设银行、中国工商银行等金融机构；公共配套设施情况较好。</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60"/>
      <c r="Q16" s="1578" t="str">
        <f>B16</f>
        <v>公共配套设施</v>
      </c>
      <c r="R16" s="1579" t="s">
        <v>8</v>
      </c>
      <c r="S16" s="1580">
        <f>F16</f>
        <v>100</v>
      </c>
      <c r="T16" s="1579" t="s">
        <v>8</v>
      </c>
      <c r="U16" s="1580">
        <f>H16</f>
        <v>100</v>
      </c>
      <c r="V16" s="1579" t="s">
        <v>8</v>
      </c>
      <c r="W16" s="1580">
        <f>J16</f>
        <v>100</v>
      </c>
      <c r="X16" s="1573"/>
      <c r="Y16" s="3360"/>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2"/>
      <c r="M17" s="2144"/>
      <c r="N17" s="2144"/>
      <c r="O17" s="2151"/>
      <c r="P17" s="3360"/>
      <c r="Q17" s="1578"/>
      <c r="R17" s="1579"/>
      <c r="S17" s="1580"/>
      <c r="T17" s="1579"/>
      <c r="U17" s="1580"/>
      <c r="V17" s="1579"/>
      <c r="W17" s="1580"/>
      <c r="X17" s="1573"/>
      <c r="Y17" s="3360"/>
      <c r="Z17" s="1581"/>
      <c r="AA17" s="1582">
        <v>1</v>
      </c>
      <c r="AB17" s="1582">
        <v>1</v>
      </c>
      <c r="AC17" s="1582">
        <v>1</v>
      </c>
    </row>
    <row r="18" spans="1:29" ht="42.75">
      <c r="A18" s="518"/>
      <c r="B18" s="2626" t="s">
        <v>2572</v>
      </c>
      <c r="C18" s="875" t="str">
        <f>IF(B1="工业",估价对象房地状况!G6,估价对象房地状况!C8)</f>
        <v>估价对象所在区域基础设施水平：六通</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60"/>
      <c r="Q18" s="2614" t="str">
        <f>B18</f>
        <v>基础设施水平</v>
      </c>
      <c r="R18" s="1579" t="s">
        <v>8</v>
      </c>
      <c r="S18" s="1580">
        <f>F18</f>
        <v>100</v>
      </c>
      <c r="T18" s="1579" t="s">
        <v>8</v>
      </c>
      <c r="U18" s="1580">
        <f>H18</f>
        <v>100</v>
      </c>
      <c r="V18" s="1579" t="s">
        <v>8</v>
      </c>
      <c r="W18" s="1580">
        <f>J18</f>
        <v>100</v>
      </c>
      <c r="X18" s="2616"/>
      <c r="Y18" s="3360"/>
      <c r="Z18" s="2615"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7"/>
      <c r="L19" s="2152"/>
      <c r="M19" s="2144"/>
      <c r="N19" s="2144"/>
      <c r="O19" s="2151"/>
      <c r="P19" s="3360"/>
      <c r="Q19" s="2614"/>
      <c r="R19" s="1579"/>
      <c r="S19" s="1580"/>
      <c r="T19" s="1579"/>
      <c r="U19" s="1580"/>
      <c r="V19" s="1579"/>
      <c r="W19" s="1580"/>
      <c r="X19" s="2616"/>
      <c r="Y19" s="3360"/>
      <c r="Z19" s="2615"/>
      <c r="AA19" s="1582">
        <v>1</v>
      </c>
      <c r="AB19" s="1582">
        <v>1</v>
      </c>
      <c r="AC19" s="1582">
        <v>1</v>
      </c>
    </row>
    <row r="20" spans="1:29" ht="114">
      <c r="A20" s="518"/>
      <c r="B20" s="563" t="s">
        <v>807</v>
      </c>
      <c r="C20" s="875" t="str">
        <f>IF(B1="工业",估价对象房地状况!G7,估价对象房地状况!C9)</f>
        <v>估价对象所处区域土地利用类型以住宅用地为主；周边2公里范围内有海南大学、邻近琼州海峡，自然及人文环境好。</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60"/>
      <c r="Q20" s="1578" t="str">
        <f>B20</f>
        <v>自然及人文环境</v>
      </c>
      <c r="R20" s="1579" t="s">
        <v>8</v>
      </c>
      <c r="S20" s="1580">
        <f>F20</f>
        <v>100</v>
      </c>
      <c r="T20" s="1579" t="s">
        <v>8</v>
      </c>
      <c r="U20" s="1580">
        <f>H20</f>
        <v>100</v>
      </c>
      <c r="V20" s="1579" t="s">
        <v>8</v>
      </c>
      <c r="W20" s="1580">
        <f>J20</f>
        <v>100</v>
      </c>
      <c r="X20" s="1573"/>
      <c r="Y20" s="3360"/>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2"/>
      <c r="M21" s="2144"/>
      <c r="N21" s="2144"/>
      <c r="O21" s="2151"/>
      <c r="P21" s="3360"/>
      <c r="Q21" s="1578"/>
      <c r="R21" s="1579"/>
      <c r="S21" s="1580"/>
      <c r="T21" s="1579"/>
      <c r="U21" s="1580"/>
      <c r="V21" s="1579"/>
      <c r="W21" s="1580"/>
      <c r="X21" s="1573"/>
      <c r="Y21" s="3360"/>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60"/>
      <c r="Q22" s="1578" t="str">
        <f>B22</f>
        <v>楼层</v>
      </c>
      <c r="R22" s="1579" t="s">
        <v>8</v>
      </c>
      <c r="S22" s="1580">
        <f>F22</f>
        <v>100</v>
      </c>
      <c r="T22" s="1579" t="s">
        <v>8</v>
      </c>
      <c r="U22" s="1580">
        <f>H22</f>
        <v>100</v>
      </c>
      <c r="V22" s="1579" t="s">
        <v>8</v>
      </c>
      <c r="W22" s="1580">
        <f>J22</f>
        <v>100</v>
      </c>
      <c r="X22" s="1573"/>
      <c r="Y22" s="3360"/>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60"/>
      <c r="Q23" s="1578">
        <f>B23</f>
        <v>111</v>
      </c>
      <c r="R23" s="1579" t="s">
        <v>8</v>
      </c>
      <c r="S23" s="1580">
        <f>F23</f>
        <v>100</v>
      </c>
      <c r="T23" s="1579" t="s">
        <v>8</v>
      </c>
      <c r="U23" s="1580">
        <f>H23</f>
        <v>100</v>
      </c>
      <c r="V23" s="1579" t="s">
        <v>8</v>
      </c>
      <c r="W23" s="1580">
        <f>J23</f>
        <v>100</v>
      </c>
      <c r="X23" s="1573"/>
      <c r="Y23" s="3360"/>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60"/>
      <c r="Q24" s="1578">
        <f t="shared" ref="Q24:Q36" si="11">B24</f>
        <v>111</v>
      </c>
      <c r="R24" s="1579" t="s">
        <v>8</v>
      </c>
      <c r="S24" s="1580">
        <f>F24</f>
        <v>100</v>
      </c>
      <c r="T24" s="1579" t="s">
        <v>8</v>
      </c>
      <c r="U24" s="1580">
        <f>H24</f>
        <v>100</v>
      </c>
      <c r="V24" s="1579" t="s">
        <v>8</v>
      </c>
      <c r="W24" s="1580">
        <f>J24</f>
        <v>100</v>
      </c>
      <c r="X24" s="1573"/>
      <c r="Y24" s="3360"/>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60"/>
      <c r="Q25" s="1154">
        <f t="shared" si="11"/>
        <v>111</v>
      </c>
      <c r="R25" s="1574" t="s">
        <v>8</v>
      </c>
      <c r="S25" s="1575">
        <f>F25</f>
        <v>100</v>
      </c>
      <c r="T25" s="1574" t="s">
        <v>8</v>
      </c>
      <c r="U25" s="1575">
        <f>H25</f>
        <v>100</v>
      </c>
      <c r="V25" s="1574" t="s">
        <v>8</v>
      </c>
      <c r="W25" s="1575">
        <f>J25</f>
        <v>100</v>
      </c>
      <c r="X25" s="1576"/>
      <c r="Y25" s="3360"/>
      <c r="Z25" s="1153">
        <f>Q25</f>
        <v>111</v>
      </c>
      <c r="AA25" s="1582">
        <f>D25/F25</f>
        <v>1</v>
      </c>
      <c r="AB25" s="1582">
        <f>D25/H25</f>
        <v>1</v>
      </c>
      <c r="AC25" s="1582">
        <f>D25/J25</f>
        <v>1</v>
      </c>
    </row>
    <row r="26" spans="1:29" ht="15">
      <c r="A26" s="2946" t="s">
        <v>2771</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61"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62"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62"/>
      <c r="Q27" s="1611" t="str">
        <f t="shared" si="11"/>
        <v>项目停车位配比</v>
      </c>
      <c r="R27" s="1583" t="s">
        <v>8</v>
      </c>
      <c r="S27" s="1584">
        <f t="shared" si="12"/>
        <v>100</v>
      </c>
      <c r="T27" s="1583" t="s">
        <v>8</v>
      </c>
      <c r="U27" s="1584">
        <f t="shared" si="13"/>
        <v>100</v>
      </c>
      <c r="V27" s="1583" t="s">
        <v>8</v>
      </c>
      <c r="W27" s="1584">
        <f t="shared" si="14"/>
        <v>100</v>
      </c>
      <c r="X27" s="1585"/>
      <c r="Y27" s="3362"/>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62"/>
      <c r="Q28" s="1578" t="str">
        <f t="shared" si="11"/>
        <v>公共部分装修</v>
      </c>
      <c r="R28" s="1579" t="s">
        <v>8</v>
      </c>
      <c r="S28" s="1580">
        <f t="shared" si="12"/>
        <v>100</v>
      </c>
      <c r="T28" s="1579" t="s">
        <v>8</v>
      </c>
      <c r="U28" s="1580">
        <f t="shared" si="13"/>
        <v>100</v>
      </c>
      <c r="V28" s="1579" t="s">
        <v>8</v>
      </c>
      <c r="W28" s="1580">
        <f t="shared" si="14"/>
        <v>100</v>
      </c>
      <c r="X28" s="1573"/>
      <c r="Y28" s="3362"/>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62"/>
      <c r="Q29" s="1578" t="str">
        <f t="shared" si="11"/>
        <v>成新率</v>
      </c>
      <c r="R29" s="1579" t="s">
        <v>8</v>
      </c>
      <c r="S29" s="1580" t="e">
        <f t="shared" si="12"/>
        <v>#N/A</v>
      </c>
      <c r="T29" s="1579" t="s">
        <v>8</v>
      </c>
      <c r="U29" s="1580" t="e">
        <f t="shared" si="13"/>
        <v>#N/A</v>
      </c>
      <c r="V29" s="1579" t="s">
        <v>8</v>
      </c>
      <c r="W29" s="1580" t="e">
        <f t="shared" si="14"/>
        <v>#N/A</v>
      </c>
      <c r="X29" s="1573"/>
      <c r="Y29" s="3362"/>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62"/>
      <c r="Q30" s="1578" t="str">
        <f t="shared" si="11"/>
        <v>物业等级</v>
      </c>
      <c r="R30" s="1579" t="s">
        <v>8</v>
      </c>
      <c r="S30" s="1580">
        <f t="shared" si="12"/>
        <v>100</v>
      </c>
      <c r="T30" s="1579" t="s">
        <v>8</v>
      </c>
      <c r="U30" s="1580">
        <f t="shared" si="13"/>
        <v>100</v>
      </c>
      <c r="V30" s="1579" t="s">
        <v>8</v>
      </c>
      <c r="W30" s="1580">
        <f t="shared" si="14"/>
        <v>100</v>
      </c>
      <c r="X30" s="1573"/>
      <c r="Y30" s="3362"/>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62"/>
      <c r="Q31" s="1154" t="str">
        <f t="shared" si="11"/>
        <v>停车位面积</v>
      </c>
      <c r="R31" s="1574" t="s">
        <v>8</v>
      </c>
      <c r="S31" s="1575" t="e">
        <f t="shared" si="12"/>
        <v>#N/A</v>
      </c>
      <c r="T31" s="1574" t="s">
        <v>8</v>
      </c>
      <c r="U31" s="1575" t="e">
        <f t="shared" si="13"/>
        <v>#N/A</v>
      </c>
      <c r="V31" s="1574" t="s">
        <v>8</v>
      </c>
      <c r="W31" s="1575" t="e">
        <f t="shared" si="14"/>
        <v>#N/A</v>
      </c>
      <c r="X31" s="1576"/>
      <c r="Y31" s="3362"/>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62" t="s">
        <v>551</v>
      </c>
      <c r="Q32" s="1578" t="str">
        <f t="shared" si="11"/>
        <v>车位类型</v>
      </c>
      <c r="R32" s="1579" t="s">
        <v>8</v>
      </c>
      <c r="S32" s="1580">
        <f t="shared" si="12"/>
        <v>100</v>
      </c>
      <c r="T32" s="1579" t="s">
        <v>8</v>
      </c>
      <c r="U32" s="1580">
        <f t="shared" si="13"/>
        <v>100</v>
      </c>
      <c r="V32" s="1579" t="s">
        <v>8</v>
      </c>
      <c r="W32" s="1580">
        <f t="shared" si="14"/>
        <v>100</v>
      </c>
      <c r="X32" s="1573"/>
      <c r="Y32" s="3362"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62"/>
      <c r="Q33" s="1578" t="str">
        <f t="shared" si="11"/>
        <v>是否直接入户</v>
      </c>
      <c r="R33" s="1579" t="s">
        <v>8</v>
      </c>
      <c r="S33" s="1580">
        <f t="shared" si="12"/>
        <v>100</v>
      </c>
      <c r="T33" s="1579" t="s">
        <v>8</v>
      </c>
      <c r="U33" s="1580">
        <f t="shared" si="13"/>
        <v>100</v>
      </c>
      <c r="V33" s="1579" t="s">
        <v>8</v>
      </c>
      <c r="W33" s="1580">
        <f t="shared" si="14"/>
        <v>100</v>
      </c>
      <c r="X33" s="1573"/>
      <c r="Y33" s="3362"/>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62"/>
      <c r="Q34" s="1578">
        <f t="shared" si="11"/>
        <v>111</v>
      </c>
      <c r="R34" s="1579" t="s">
        <v>8</v>
      </c>
      <c r="S34" s="1580">
        <f t="shared" si="12"/>
        <v>100</v>
      </c>
      <c r="T34" s="1579" t="s">
        <v>8</v>
      </c>
      <c r="U34" s="1580">
        <f t="shared" si="13"/>
        <v>100</v>
      </c>
      <c r="V34" s="1579" t="s">
        <v>8</v>
      </c>
      <c r="W34" s="1580">
        <f t="shared" si="14"/>
        <v>100</v>
      </c>
      <c r="X34" s="1573"/>
      <c r="Y34" s="3362"/>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62"/>
      <c r="Q35" s="1611">
        <f t="shared" si="11"/>
        <v>111</v>
      </c>
      <c r="R35" s="1583" t="s">
        <v>8</v>
      </c>
      <c r="S35" s="1584">
        <f t="shared" si="12"/>
        <v>100</v>
      </c>
      <c r="T35" s="1583" t="s">
        <v>8</v>
      </c>
      <c r="U35" s="1584">
        <f t="shared" si="13"/>
        <v>100</v>
      </c>
      <c r="V35" s="1583" t="s">
        <v>8</v>
      </c>
      <c r="W35" s="1584">
        <f t="shared" si="14"/>
        <v>100</v>
      </c>
      <c r="X35" s="1585"/>
      <c r="Y35" s="3362"/>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62"/>
      <c r="Q36" s="1578">
        <f t="shared" si="11"/>
        <v>111</v>
      </c>
      <c r="R36" s="1579" t="s">
        <v>8</v>
      </c>
      <c r="S36" s="1580">
        <f t="shared" si="12"/>
        <v>100</v>
      </c>
      <c r="T36" s="1579" t="s">
        <v>8</v>
      </c>
      <c r="U36" s="1580">
        <f t="shared" si="13"/>
        <v>100</v>
      </c>
      <c r="V36" s="1579" t="s">
        <v>8</v>
      </c>
      <c r="W36" s="1580">
        <f t="shared" si="14"/>
        <v>100</v>
      </c>
      <c r="X36" s="1573"/>
      <c r="Y36" s="3362"/>
      <c r="Z36" s="1581">
        <f t="shared" si="15"/>
        <v>111</v>
      </c>
      <c r="AA36" s="1582">
        <f t="shared" si="3"/>
        <v>1</v>
      </c>
      <c r="AB36" s="1582">
        <f t="shared" si="4"/>
        <v>1</v>
      </c>
      <c r="AC36" s="1582">
        <f t="shared" si="5"/>
        <v>1</v>
      </c>
    </row>
    <row r="37" spans="1:29" ht="15">
      <c r="A37" s="1852" t="s">
        <v>2087</v>
      </c>
      <c r="B37" s="1853" t="s">
        <v>2088</v>
      </c>
      <c r="C37" s="2662" t="s">
        <v>1</v>
      </c>
      <c r="D37" s="2663"/>
      <c r="E37" s="2664"/>
      <c r="F37" s="2665"/>
      <c r="G37" s="2666"/>
      <c r="H37" s="2667"/>
      <c r="I37" s="2664"/>
      <c r="J37" s="2667"/>
      <c r="K37" s="1617"/>
      <c r="L37" s="2154"/>
      <c r="M37" s="2155"/>
      <c r="N37" s="2144"/>
      <c r="O37" s="2155"/>
      <c r="P37" s="3357" t="str">
        <f>A37</f>
        <v>成交单价</v>
      </c>
      <c r="Q37" s="3357"/>
      <c r="R37" s="3433">
        <f>E37</f>
        <v>0</v>
      </c>
      <c r="S37" s="3433"/>
      <c r="T37" s="3433">
        <f>G37</f>
        <v>0</v>
      </c>
      <c r="U37" s="3433"/>
      <c r="V37" s="3433">
        <f>I37</f>
        <v>0</v>
      </c>
      <c r="W37" s="3433"/>
      <c r="X37" s="1565"/>
      <c r="Y37" s="1587"/>
      <c r="Z37" s="1565"/>
      <c r="AA37" s="1565"/>
      <c r="AB37" s="1565"/>
      <c r="AC37" s="1565"/>
    </row>
    <row r="38" spans="1:29" ht="15.75" thickBot="1">
      <c r="A38" s="618" t="s">
        <v>2776</v>
      </c>
      <c r="B38" s="891"/>
      <c r="C38" s="2668" t="e">
        <f>R39</f>
        <v>#DIV/0!</v>
      </c>
      <c r="D38" s="2669"/>
      <c r="E38" s="2670" t="e">
        <f>R38</f>
        <v>#DIV/0!</v>
      </c>
      <c r="F38" s="2670"/>
      <c r="G38" s="2668" t="e">
        <f>T38</f>
        <v>#DIV/0!</v>
      </c>
      <c r="H38" s="2669"/>
      <c r="I38" s="2670" t="e">
        <f>V38</f>
        <v>#DIV/0!</v>
      </c>
      <c r="J38" s="2669"/>
      <c r="K38" s="1618"/>
      <c r="L38" s="2154"/>
      <c r="M38" s="2155"/>
      <c r="N38" s="2155"/>
      <c r="O38" s="2155"/>
      <c r="P38" s="3357" t="str">
        <f>A38</f>
        <v>比较价格（元/平方米）</v>
      </c>
      <c r="Q38" s="3357"/>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1565"/>
      <c r="Y38" s="1565"/>
      <c r="Z38" s="1565"/>
      <c r="AA38" s="1565"/>
      <c r="AB38" s="1565"/>
      <c r="AC38" s="1565"/>
    </row>
    <row r="39" spans="1:29" ht="15.75" thickBot="1">
      <c r="A39" s="624" t="s">
        <v>2948</v>
      </c>
      <c r="B39" s="625"/>
      <c r="C39" s="2671" t="e">
        <f>R39</f>
        <v>#DIV/0!</v>
      </c>
      <c r="D39" s="2671"/>
      <c r="E39" s="2671"/>
      <c r="F39" s="2671"/>
      <c r="G39" s="2671"/>
      <c r="H39" s="2671"/>
      <c r="I39" s="2671"/>
      <c r="J39" s="2671"/>
      <c r="K39" s="1619"/>
      <c r="L39" s="2154"/>
      <c r="M39" s="2155"/>
      <c r="N39" s="2155"/>
      <c r="O39" s="2155"/>
      <c r="P39" s="3378" t="str">
        <f>A39</f>
        <v>估价对象XX用房的比较价格（楼面单价，元/平方米）</v>
      </c>
      <c r="Q39" s="3379"/>
      <c r="R39" s="3434" t="e">
        <f>IF(F1="售价",ROUND(AVERAGE(R38:V38),0),ROUND(AVERAGE(R38:V38),1))</f>
        <v>#DIV/0!</v>
      </c>
      <c r="S39" s="3434"/>
      <c r="T39" s="3434"/>
      <c r="U39" s="3434"/>
      <c r="V39" s="3434"/>
      <c r="W39" s="3434"/>
      <c r="X39" s="1565"/>
      <c r="Y39" s="1565"/>
      <c r="Z39" s="1565"/>
      <c r="AA39" s="1565"/>
      <c r="AB39" s="1565"/>
      <c r="AC39" s="1565"/>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90" t="s">
        <v>575</v>
      </c>
      <c r="B47" s="1565"/>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41" t="str">
        <f>YEAR(C7)&amp;"-"&amp;MONTH(C7)</f>
        <v>2017-6</v>
      </c>
      <c r="D48" s="2843">
        <f>EDATE(C48,-1)</f>
        <v>42856</v>
      </c>
      <c r="E48" s="2843">
        <f t="shared" ref="E48:O48" si="16">EDATE(D48,-1)</f>
        <v>42826</v>
      </c>
      <c r="F48" s="2843">
        <f t="shared" si="16"/>
        <v>42795</v>
      </c>
      <c r="G48" s="2843">
        <f t="shared" si="16"/>
        <v>42767</v>
      </c>
      <c r="H48" s="2843">
        <f t="shared" si="16"/>
        <v>42736</v>
      </c>
      <c r="I48" s="2843">
        <f t="shared" si="16"/>
        <v>42705</v>
      </c>
      <c r="J48" s="2843">
        <f t="shared" si="16"/>
        <v>42675</v>
      </c>
      <c r="K48" s="2843">
        <f t="shared" si="16"/>
        <v>42644</v>
      </c>
      <c r="L48" s="2843">
        <f t="shared" si="16"/>
        <v>42614</v>
      </c>
      <c r="M48" s="2843">
        <f t="shared" si="16"/>
        <v>42583</v>
      </c>
      <c r="N48" s="2843">
        <f t="shared" si="16"/>
        <v>42552</v>
      </c>
      <c r="O48" s="2843">
        <f t="shared" si="16"/>
        <v>42522</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2571</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2572</v>
      </c>
      <c r="C67" s="2633" t="s">
        <v>2573</v>
      </c>
      <c r="D67" s="2633" t="s">
        <v>2574</v>
      </c>
      <c r="E67" s="2633" t="s">
        <v>2575</v>
      </c>
      <c r="F67" s="2633" t="s">
        <v>2576</v>
      </c>
      <c r="G67" s="2633" t="s">
        <v>2577</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748</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817</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818</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754</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820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823</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7"/>
      <c r="D2" s="2137"/>
      <c r="E2" s="2138"/>
      <c r="F2" s="2139"/>
      <c r="G2" s="2138"/>
      <c r="H2" s="2138"/>
      <c r="I2" s="2138"/>
      <c r="J2" s="2138"/>
      <c r="K2" s="2140"/>
      <c r="L2" s="2141"/>
      <c r="M2" s="2142"/>
      <c r="N2" s="2142"/>
      <c r="O2" s="2142"/>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8"/>
      <c r="F3" s="2139"/>
      <c r="G3" s="2138"/>
      <c r="H3" s="2138"/>
      <c r="I3" s="2138"/>
      <c r="J3" s="2138"/>
      <c r="K3" s="2140"/>
      <c r="L3" s="2141"/>
      <c r="M3" s="2142"/>
      <c r="N3" s="2142"/>
      <c r="O3" s="2142"/>
      <c r="P3" s="1570"/>
      <c r="Q3" s="1570"/>
      <c r="R3" s="1570"/>
      <c r="S3" s="1570"/>
      <c r="T3" s="1570"/>
      <c r="U3" s="1570"/>
      <c r="V3" s="1570"/>
      <c r="W3" s="1570"/>
      <c r="X3" s="1570"/>
      <c r="Y3" s="1570"/>
      <c r="Z3" s="1570"/>
      <c r="AA3" s="1570"/>
      <c r="AB3" s="1572"/>
      <c r="AC3" s="431"/>
    </row>
    <row r="4" spans="1:29" ht="15">
      <c r="A4" s="515" t="s">
        <v>800</v>
      </c>
      <c r="B4" s="516"/>
      <c r="C4" s="3363" t="s">
        <v>801</v>
      </c>
      <c r="D4" s="3364"/>
      <c r="E4" s="3387" t="s">
        <v>802</v>
      </c>
      <c r="F4" s="3388"/>
      <c r="G4" s="3363" t="s">
        <v>803</v>
      </c>
      <c r="H4" s="3364"/>
      <c r="I4" s="3363" t="s">
        <v>804</v>
      </c>
      <c r="J4" s="3364"/>
      <c r="K4" s="517" t="s">
        <v>805</v>
      </c>
      <c r="L4" s="2143"/>
      <c r="M4" s="2144"/>
      <c r="N4" s="2144"/>
      <c r="O4" s="2144"/>
      <c r="P4" s="3365" t="s">
        <v>806</v>
      </c>
      <c r="Q4" s="3366"/>
      <c r="R4" s="3351" t="s">
        <v>802</v>
      </c>
      <c r="S4" s="3352"/>
      <c r="T4" s="3351" t="s">
        <v>803</v>
      </c>
      <c r="U4" s="3352"/>
      <c r="V4" s="3371" t="s">
        <v>804</v>
      </c>
      <c r="W4" s="3371"/>
      <c r="X4" s="1573"/>
      <c r="Y4" s="3351" t="s">
        <v>806</v>
      </c>
      <c r="Z4" s="3352"/>
      <c r="AA4" s="3346" t="s">
        <v>802</v>
      </c>
      <c r="AB4" s="3347" t="s">
        <v>803</v>
      </c>
      <c r="AC4" s="3346" t="s">
        <v>804</v>
      </c>
    </row>
    <row r="5" spans="1:29" ht="15">
      <c r="A5" s="518"/>
      <c r="B5" s="519"/>
      <c r="C5" s="3374" t="s">
        <v>2942</v>
      </c>
      <c r="D5" s="3375"/>
      <c r="E5" s="3389" t="s">
        <v>2943</v>
      </c>
      <c r="F5" s="3390"/>
      <c r="G5" s="3374" t="s">
        <v>2944</v>
      </c>
      <c r="H5" s="3375"/>
      <c r="I5" s="3374" t="s">
        <v>2945</v>
      </c>
      <c r="J5" s="3375"/>
      <c r="K5" s="517"/>
      <c r="L5" s="2143"/>
      <c r="M5" s="2144"/>
      <c r="N5" s="2144"/>
      <c r="O5" s="2144"/>
      <c r="P5" s="3367"/>
      <c r="Q5" s="3368"/>
      <c r="R5" s="3353"/>
      <c r="S5" s="3354"/>
      <c r="T5" s="3353"/>
      <c r="U5" s="3354"/>
      <c r="V5" s="3371"/>
      <c r="W5" s="3371"/>
      <c r="X5" s="1573"/>
      <c r="Y5" s="3353"/>
      <c r="Z5" s="3354"/>
      <c r="AA5" s="3347"/>
      <c r="AB5" s="3347"/>
      <c r="AC5" s="3347"/>
    </row>
    <row r="6" spans="1:29" ht="15.75" thickBot="1">
      <c r="A6" s="520"/>
      <c r="B6" s="521"/>
      <c r="C6" s="3372" t="s">
        <v>2946</v>
      </c>
      <c r="D6" s="3373"/>
      <c r="E6" s="3391" t="s">
        <v>2946</v>
      </c>
      <c r="F6" s="3392"/>
      <c r="G6" s="3372" t="s">
        <v>2946</v>
      </c>
      <c r="H6" s="3373"/>
      <c r="I6" s="3372" t="s">
        <v>2946</v>
      </c>
      <c r="J6" s="3373"/>
      <c r="K6" s="517" t="s">
        <v>529</v>
      </c>
      <c r="L6" s="2143"/>
      <c r="M6" s="2144"/>
      <c r="N6" s="2144"/>
      <c r="O6" s="2144"/>
      <c r="P6" s="3369"/>
      <c r="Q6" s="3370"/>
      <c r="R6" s="3353"/>
      <c r="S6" s="3354"/>
      <c r="T6" s="3355"/>
      <c r="U6" s="3356"/>
      <c r="V6" s="3371"/>
      <c r="W6" s="3371"/>
      <c r="X6" s="1573"/>
      <c r="Y6" s="3355"/>
      <c r="Z6" s="3356"/>
      <c r="AA6" s="3348"/>
      <c r="AB6" s="3348"/>
      <c r="AC6" s="3348"/>
    </row>
    <row r="7" spans="1:29" s="1223" customFormat="1" ht="15.75" thickBot="1">
      <c r="A7" s="2951"/>
      <c r="B7" s="2958" t="s">
        <v>530</v>
      </c>
      <c r="C7" s="522">
        <f>'数据-取费表'!B2</f>
        <v>42912</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49" t="s">
        <v>531</v>
      </c>
      <c r="Q7" s="3358"/>
      <c r="R7" s="1574" t="s">
        <v>8</v>
      </c>
      <c r="S7" s="1575">
        <f t="shared" ref="S7:S14" si="0">F7</f>
        <v>0</v>
      </c>
      <c r="T7" s="1574" t="s">
        <v>8</v>
      </c>
      <c r="U7" s="1575">
        <f t="shared" ref="U7:U14" si="1">H7</f>
        <v>0</v>
      </c>
      <c r="V7" s="1574" t="s">
        <v>8</v>
      </c>
      <c r="W7" s="1575">
        <f t="shared" ref="W7:W14" si="2">J7</f>
        <v>0</v>
      </c>
      <c r="X7" s="1576"/>
      <c r="Y7" s="3349" t="s">
        <v>531</v>
      </c>
      <c r="Z7" s="3350"/>
      <c r="AA7" s="1577" t="e">
        <f>D7/F7</f>
        <v>#DIV/0!</v>
      </c>
      <c r="AB7" s="1577" t="e">
        <f>D7/H7</f>
        <v>#DIV/0!</v>
      </c>
      <c r="AC7" s="1577" t="e">
        <f>D7/J7</f>
        <v>#DIV/0!</v>
      </c>
    </row>
    <row r="8" spans="1:29" s="1223" customFormat="1" ht="15.75" thickBot="1">
      <c r="A8" s="2952"/>
      <c r="B8" s="2959" t="s">
        <v>532</v>
      </c>
      <c r="C8" s="528" t="s">
        <v>577</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49" t="s">
        <v>534</v>
      </c>
      <c r="Q8" s="3350"/>
      <c r="R8" s="1574" t="s">
        <v>8</v>
      </c>
      <c r="S8" s="1575">
        <f t="shared" si="0"/>
        <v>0</v>
      </c>
      <c r="T8" s="1574" t="s">
        <v>8</v>
      </c>
      <c r="U8" s="1575">
        <f t="shared" si="1"/>
        <v>0</v>
      </c>
      <c r="V8" s="1574" t="s">
        <v>8</v>
      </c>
      <c r="W8" s="1575">
        <f t="shared" si="2"/>
        <v>0</v>
      </c>
      <c r="X8" s="1576"/>
      <c r="Y8" s="3349" t="s">
        <v>534</v>
      </c>
      <c r="Z8" s="3350"/>
      <c r="AA8" s="1577" t="e">
        <f t="shared" ref="AA8:AA34" si="3">D8/F8</f>
        <v>#DIV/0!</v>
      </c>
      <c r="AB8" s="1577" t="e">
        <f t="shared" ref="AB8:AB34" si="4">D8/H8</f>
        <v>#DIV/0!</v>
      </c>
      <c r="AC8" s="1577" t="e">
        <f t="shared" ref="AC8:AC34" si="5">D8/J8</f>
        <v>#DIV/0!</v>
      </c>
    </row>
    <row r="9" spans="1:29" s="1223" customFormat="1" ht="15">
      <c r="A9" s="2953"/>
      <c r="B9" s="2960" t="s">
        <v>2772</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57" t="s">
        <v>536</v>
      </c>
      <c r="Q9" s="1154" t="str">
        <f t="shared" ref="Q9:Q14" si="6">B9</f>
        <v>用途</v>
      </c>
      <c r="R9" s="1574" t="s">
        <v>8</v>
      </c>
      <c r="S9" s="1575">
        <f t="shared" si="0"/>
        <v>100</v>
      </c>
      <c r="T9" s="1574" t="s">
        <v>8</v>
      </c>
      <c r="U9" s="1575">
        <f t="shared" si="1"/>
        <v>100</v>
      </c>
      <c r="V9" s="1574" t="s">
        <v>8</v>
      </c>
      <c r="W9" s="1575">
        <f t="shared" si="2"/>
        <v>100</v>
      </c>
      <c r="X9" s="1576"/>
      <c r="Y9" s="3314" t="s">
        <v>537</v>
      </c>
      <c r="Z9" s="1153" t="str">
        <f t="shared" ref="Z9:Z14" si="7">Q9</f>
        <v>用途</v>
      </c>
      <c r="AA9" s="1577">
        <f t="shared" si="3"/>
        <v>1</v>
      </c>
      <c r="AB9" s="1577">
        <f t="shared" si="4"/>
        <v>1</v>
      </c>
      <c r="AC9" s="1577">
        <f t="shared" si="5"/>
        <v>1</v>
      </c>
    </row>
    <row r="10" spans="1:29" s="1341" customFormat="1" ht="27">
      <c r="A10" s="2954"/>
      <c r="B10" s="2959" t="s">
        <v>2773</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57"/>
      <c r="Q10" s="1154" t="str">
        <f t="shared" si="6"/>
        <v>土地使用年限（年）</v>
      </c>
      <c r="R10" s="1574" t="s">
        <v>8</v>
      </c>
      <c r="S10" s="1575">
        <f t="shared" si="0"/>
        <v>100</v>
      </c>
      <c r="T10" s="1574" t="s">
        <v>8</v>
      </c>
      <c r="U10" s="1575">
        <f t="shared" si="1"/>
        <v>100</v>
      </c>
      <c r="V10" s="1574" t="s">
        <v>8</v>
      </c>
      <c r="W10" s="1575">
        <f t="shared" si="2"/>
        <v>100</v>
      </c>
      <c r="X10" s="1576"/>
      <c r="Y10" s="3314"/>
      <c r="Z10" s="1153" t="str">
        <f t="shared" si="7"/>
        <v>土地使用年限（年）</v>
      </c>
      <c r="AA10" s="1577">
        <f t="shared" si="3"/>
        <v>1</v>
      </c>
      <c r="AB10" s="1577">
        <f t="shared" si="4"/>
        <v>1</v>
      </c>
      <c r="AC10" s="1577">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57"/>
      <c r="Q11" s="1154">
        <f t="shared" si="6"/>
        <v>111</v>
      </c>
      <c r="R11" s="1574" t="s">
        <v>8</v>
      </c>
      <c r="S11" s="1575">
        <f t="shared" si="0"/>
        <v>100</v>
      </c>
      <c r="T11" s="1574" t="s">
        <v>8</v>
      </c>
      <c r="U11" s="1575">
        <f t="shared" si="1"/>
        <v>100</v>
      </c>
      <c r="V11" s="1574" t="s">
        <v>8</v>
      </c>
      <c r="W11" s="1575">
        <f t="shared" si="2"/>
        <v>100</v>
      </c>
      <c r="X11" s="1576"/>
      <c r="Y11" s="3314"/>
      <c r="Z11" s="1153">
        <f t="shared" si="7"/>
        <v>111</v>
      </c>
      <c r="AA11" s="1577">
        <f t="shared" si="3"/>
        <v>1</v>
      </c>
      <c r="AB11" s="1577">
        <f t="shared" si="4"/>
        <v>1</v>
      </c>
      <c r="AC11" s="1577">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57"/>
      <c r="Q12" s="1154">
        <f t="shared" si="6"/>
        <v>111</v>
      </c>
      <c r="R12" s="1574" t="s">
        <v>8</v>
      </c>
      <c r="S12" s="1575">
        <f t="shared" si="0"/>
        <v>100</v>
      </c>
      <c r="T12" s="1574" t="s">
        <v>8</v>
      </c>
      <c r="U12" s="1575">
        <f t="shared" si="1"/>
        <v>100</v>
      </c>
      <c r="V12" s="1574" t="s">
        <v>8</v>
      </c>
      <c r="W12" s="1575">
        <f t="shared" si="2"/>
        <v>100</v>
      </c>
      <c r="X12" s="1576"/>
      <c r="Y12" s="3314"/>
      <c r="Z12" s="1153">
        <f t="shared" si="7"/>
        <v>111</v>
      </c>
      <c r="AA12" s="1577">
        <f>D12/F12</f>
        <v>1</v>
      </c>
      <c r="AB12" s="1577">
        <f>D12/H12</f>
        <v>1</v>
      </c>
      <c r="AC12" s="1577">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57"/>
      <c r="Q13" s="1154">
        <f t="shared" si="6"/>
        <v>111</v>
      </c>
      <c r="R13" s="1574" t="s">
        <v>8</v>
      </c>
      <c r="S13" s="1575">
        <f t="shared" si="0"/>
        <v>100</v>
      </c>
      <c r="T13" s="1574" t="s">
        <v>8</v>
      </c>
      <c r="U13" s="1575">
        <f t="shared" si="1"/>
        <v>100</v>
      </c>
      <c r="V13" s="1574" t="s">
        <v>8</v>
      </c>
      <c r="W13" s="1575">
        <f t="shared" si="2"/>
        <v>100</v>
      </c>
      <c r="X13" s="1576"/>
      <c r="Y13" s="3314"/>
      <c r="Z13" s="1153">
        <f t="shared" si="7"/>
        <v>111</v>
      </c>
      <c r="AA13" s="1577">
        <f t="shared" si="3"/>
        <v>1</v>
      </c>
      <c r="AB13" s="1577">
        <f t="shared" si="4"/>
        <v>1</v>
      </c>
      <c r="AC13" s="1577">
        <f t="shared" si="5"/>
        <v>1</v>
      </c>
    </row>
    <row r="14" spans="1:29" ht="142.5">
      <c r="A14" s="2949" t="s">
        <v>2770</v>
      </c>
      <c r="B14" s="166" t="s">
        <v>544</v>
      </c>
      <c r="C14" s="924" t="str">
        <f>IF(B1="工业",估价对象房地状况!G4,估价对象房地状况!C6)</f>
        <v>估价对象位于美兰区，东距甸昆路约800米，南面邻近琼州海峡。周边2公里范围内有5、20、26路等公交线路，路网密集度一般，交通便捷度一般。</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59" t="s">
        <v>541</v>
      </c>
      <c r="Q14" s="1578" t="str">
        <f t="shared" si="6"/>
        <v>交通便捷度</v>
      </c>
      <c r="R14" s="1579" t="s">
        <v>8</v>
      </c>
      <c r="S14" s="1580">
        <f t="shared" si="0"/>
        <v>100</v>
      </c>
      <c r="T14" s="1579" t="s">
        <v>8</v>
      </c>
      <c r="U14" s="1580">
        <f t="shared" si="1"/>
        <v>100</v>
      </c>
      <c r="V14" s="1579" t="s">
        <v>8</v>
      </c>
      <c r="W14" s="1580">
        <f t="shared" si="2"/>
        <v>100</v>
      </c>
      <c r="X14" s="1573"/>
      <c r="Y14" s="3359"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2"/>
      <c r="M15" s="2144"/>
      <c r="N15" s="2144"/>
      <c r="O15" s="2151"/>
      <c r="P15" s="3360"/>
      <c r="Q15" s="1578"/>
      <c r="R15" s="1579"/>
      <c r="S15" s="1580"/>
      <c r="T15" s="1579"/>
      <c r="U15" s="1580"/>
      <c r="V15" s="1579"/>
      <c r="W15" s="1580"/>
      <c r="X15" s="1573"/>
      <c r="Y15" s="3360"/>
      <c r="Z15" s="1581"/>
      <c r="AA15" s="1582">
        <v>1</v>
      </c>
      <c r="AB15" s="1582">
        <v>1</v>
      </c>
      <c r="AC15" s="1582">
        <v>1</v>
      </c>
    </row>
    <row r="16" spans="1:29" ht="128.25">
      <c r="A16" s="535"/>
      <c r="B16" s="2638" t="s">
        <v>2560</v>
      </c>
      <c r="C16" s="875" t="str">
        <f>IF(B1="工业",估价对象房地状况!G5,估价对象房地状况!C7)</f>
        <v>周边2公里范围内有海口实验幼儿园、海口景山学校海淀分校等学校；有中国建设银行、中国工商银行等金融机构；公共配套设施情况较好。</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60"/>
      <c r="Q16" s="1578" t="str">
        <f>B16</f>
        <v>公共配套设施</v>
      </c>
      <c r="R16" s="1579" t="s">
        <v>8</v>
      </c>
      <c r="S16" s="1580">
        <f>F16</f>
        <v>100</v>
      </c>
      <c r="T16" s="1579" t="s">
        <v>8</v>
      </c>
      <c r="U16" s="1580">
        <f>H16</f>
        <v>100</v>
      </c>
      <c r="V16" s="1579" t="s">
        <v>8</v>
      </c>
      <c r="W16" s="1580">
        <f>J16</f>
        <v>100</v>
      </c>
      <c r="X16" s="1573"/>
      <c r="Y16" s="3360"/>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2"/>
      <c r="M17" s="2144"/>
      <c r="N17" s="2144"/>
      <c r="O17" s="2151"/>
      <c r="P17" s="3360"/>
      <c r="Q17" s="1578"/>
      <c r="R17" s="1579"/>
      <c r="S17" s="1580"/>
      <c r="T17" s="1579"/>
      <c r="U17" s="1580"/>
      <c r="V17" s="1579"/>
      <c r="W17" s="1580"/>
      <c r="X17" s="1573"/>
      <c r="Y17" s="3360"/>
      <c r="Z17" s="1581"/>
      <c r="AA17" s="1582">
        <v>1</v>
      </c>
      <c r="AB17" s="1582">
        <v>1</v>
      </c>
      <c r="AC17" s="1582">
        <v>1</v>
      </c>
    </row>
    <row r="18" spans="1:29" ht="42.75">
      <c r="A18" s="535"/>
      <c r="B18" s="2626" t="s">
        <v>2572</v>
      </c>
      <c r="C18" s="875" t="str">
        <f>IF(B1="工业",估价对象房地状况!G6,估价对象房地状况!C8)</f>
        <v>估价对象所在区域基础设施水平：六通</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60"/>
      <c r="Q18" s="2614" t="str">
        <f>B18</f>
        <v>基础设施水平</v>
      </c>
      <c r="R18" s="1579" t="s">
        <v>8</v>
      </c>
      <c r="S18" s="1580">
        <f>F18</f>
        <v>100</v>
      </c>
      <c r="T18" s="1579" t="s">
        <v>8</v>
      </c>
      <c r="U18" s="1580">
        <f>H18</f>
        <v>100</v>
      </c>
      <c r="V18" s="1579" t="s">
        <v>8</v>
      </c>
      <c r="W18" s="1580">
        <f>J18</f>
        <v>100</v>
      </c>
      <c r="X18" s="2616"/>
      <c r="Y18" s="3360"/>
      <c r="Z18" s="2615"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7"/>
      <c r="L19" s="2152"/>
      <c r="M19" s="2144"/>
      <c r="N19" s="2144"/>
      <c r="O19" s="2151"/>
      <c r="P19" s="3360"/>
      <c r="Q19" s="2614"/>
      <c r="R19" s="1579"/>
      <c r="S19" s="1580"/>
      <c r="T19" s="1579"/>
      <c r="U19" s="1580"/>
      <c r="V19" s="1579"/>
      <c r="W19" s="1580"/>
      <c r="X19" s="2616"/>
      <c r="Y19" s="3360"/>
      <c r="Z19" s="2615"/>
      <c r="AA19" s="1582">
        <v>1</v>
      </c>
      <c r="AB19" s="1582">
        <v>1</v>
      </c>
      <c r="AC19" s="1582">
        <v>1</v>
      </c>
    </row>
    <row r="20" spans="1:29" ht="114">
      <c r="A20" s="535"/>
      <c r="B20" s="874" t="s">
        <v>807</v>
      </c>
      <c r="C20" s="875" t="str">
        <f>IF(B1="工业",估价对象房地状况!G7,估价对象房地状况!C9)</f>
        <v>估价对象所处区域土地利用类型以住宅用地为主；周边2公里范围内有海南大学、邻近琼州海峡，自然及人文环境好。</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60"/>
      <c r="Q20" s="1578" t="str">
        <f>B20</f>
        <v>自然及人文环境</v>
      </c>
      <c r="R20" s="1579" t="s">
        <v>8</v>
      </c>
      <c r="S20" s="1580">
        <f>F20</f>
        <v>100</v>
      </c>
      <c r="T20" s="1579" t="s">
        <v>8</v>
      </c>
      <c r="U20" s="1580">
        <f>H20</f>
        <v>100</v>
      </c>
      <c r="V20" s="1579" t="s">
        <v>8</v>
      </c>
      <c r="W20" s="1580">
        <f>J20</f>
        <v>100</v>
      </c>
      <c r="X20" s="1573"/>
      <c r="Y20" s="3360"/>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2"/>
      <c r="M21" s="2144"/>
      <c r="N21" s="2144"/>
      <c r="O21" s="2151"/>
      <c r="P21" s="3360"/>
      <c r="Q21" s="1578"/>
      <c r="R21" s="1579"/>
      <c r="S21" s="1580"/>
      <c r="T21" s="1579"/>
      <c r="U21" s="1580"/>
      <c r="V21" s="1579"/>
      <c r="W21" s="1580"/>
      <c r="X21" s="1573"/>
      <c r="Y21" s="3360"/>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60"/>
      <c r="Q22" s="1578" t="str">
        <f>B22</f>
        <v>楼层</v>
      </c>
      <c r="R22" s="1579" t="s">
        <v>8</v>
      </c>
      <c r="S22" s="1580">
        <f>F22</f>
        <v>100</v>
      </c>
      <c r="T22" s="1579" t="s">
        <v>8</v>
      </c>
      <c r="U22" s="1580">
        <f>H22</f>
        <v>100</v>
      </c>
      <c r="V22" s="1579" t="s">
        <v>8</v>
      </c>
      <c r="W22" s="1580">
        <f>J22</f>
        <v>100</v>
      </c>
      <c r="X22" s="1573"/>
      <c r="Y22" s="3360"/>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60"/>
      <c r="Q23" s="1578">
        <f>B23</f>
        <v>111</v>
      </c>
      <c r="R23" s="1579" t="s">
        <v>8</v>
      </c>
      <c r="S23" s="1580">
        <f>F23</f>
        <v>100</v>
      </c>
      <c r="T23" s="1579" t="s">
        <v>8</v>
      </c>
      <c r="U23" s="1580">
        <f>H23</f>
        <v>100</v>
      </c>
      <c r="V23" s="1579" t="s">
        <v>8</v>
      </c>
      <c r="W23" s="1580">
        <f>J23</f>
        <v>100</v>
      </c>
      <c r="X23" s="1573"/>
      <c r="Y23" s="3360"/>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60"/>
      <c r="Q24" s="1578">
        <f t="shared" ref="Q24:Q34" si="11">B24</f>
        <v>111</v>
      </c>
      <c r="R24" s="1579" t="s">
        <v>8</v>
      </c>
      <c r="S24" s="1580">
        <f>F24</f>
        <v>100</v>
      </c>
      <c r="T24" s="1579" t="s">
        <v>8</v>
      </c>
      <c r="U24" s="1580">
        <f>H24</f>
        <v>100</v>
      </c>
      <c r="V24" s="1579" t="s">
        <v>8</v>
      </c>
      <c r="W24" s="1580">
        <f>J24</f>
        <v>100</v>
      </c>
      <c r="X24" s="1573"/>
      <c r="Y24" s="3360"/>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60"/>
      <c r="Q25" s="1154">
        <f t="shared" si="11"/>
        <v>111</v>
      </c>
      <c r="R25" s="1574" t="s">
        <v>8</v>
      </c>
      <c r="S25" s="1575">
        <f>F25</f>
        <v>100</v>
      </c>
      <c r="T25" s="1574" t="s">
        <v>8</v>
      </c>
      <c r="U25" s="1575">
        <f>H25</f>
        <v>100</v>
      </c>
      <c r="V25" s="1574" t="s">
        <v>8</v>
      </c>
      <c r="W25" s="1575">
        <f>J25</f>
        <v>100</v>
      </c>
      <c r="X25" s="1576"/>
      <c r="Y25" s="3360"/>
      <c r="Z25" s="1153">
        <f>Q25</f>
        <v>111</v>
      </c>
      <c r="AA25" s="1582">
        <f>D25/F25</f>
        <v>1</v>
      </c>
      <c r="AB25" s="1582">
        <f>D25/H25</f>
        <v>1</v>
      </c>
      <c r="AC25" s="1582">
        <f>D25/J25</f>
        <v>1</v>
      </c>
    </row>
    <row r="26" spans="1:29" ht="15">
      <c r="A26" s="2946" t="s">
        <v>2771</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61"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62"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62"/>
      <c r="Q27" s="1611" t="str">
        <f t="shared" si="11"/>
        <v>成新率</v>
      </c>
      <c r="R27" s="1583" t="s">
        <v>8</v>
      </c>
      <c r="S27" s="1584" t="e">
        <f t="shared" si="12"/>
        <v>#N/A</v>
      </c>
      <c r="T27" s="1583" t="s">
        <v>8</v>
      </c>
      <c r="U27" s="1584" t="e">
        <f t="shared" si="13"/>
        <v>#N/A</v>
      </c>
      <c r="V27" s="1583" t="s">
        <v>8</v>
      </c>
      <c r="W27" s="1584" t="e">
        <f t="shared" si="14"/>
        <v>#N/A</v>
      </c>
      <c r="X27" s="1585"/>
      <c r="Y27" s="3362"/>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62"/>
      <c r="Q28" s="1578" t="str">
        <f t="shared" si="11"/>
        <v>物业等级</v>
      </c>
      <c r="R28" s="1579" t="s">
        <v>8</v>
      </c>
      <c r="S28" s="1580">
        <f t="shared" si="12"/>
        <v>100</v>
      </c>
      <c r="T28" s="1579" t="s">
        <v>8</v>
      </c>
      <c r="U28" s="1580">
        <f t="shared" si="13"/>
        <v>100</v>
      </c>
      <c r="V28" s="1579" t="s">
        <v>8</v>
      </c>
      <c r="W28" s="1580">
        <f t="shared" si="14"/>
        <v>100</v>
      </c>
      <c r="X28" s="1573"/>
      <c r="Y28" s="3362"/>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62"/>
      <c r="Q29" s="1578" t="str">
        <f t="shared" si="11"/>
        <v>有无电梯</v>
      </c>
      <c r="R29" s="1579" t="s">
        <v>8</v>
      </c>
      <c r="S29" s="1580">
        <f t="shared" si="12"/>
        <v>100</v>
      </c>
      <c r="T29" s="1579" t="s">
        <v>8</v>
      </c>
      <c r="U29" s="1580">
        <f t="shared" si="13"/>
        <v>100</v>
      </c>
      <c r="V29" s="1579" t="s">
        <v>8</v>
      </c>
      <c r="W29" s="1580">
        <f t="shared" si="14"/>
        <v>100</v>
      </c>
      <c r="X29" s="1573"/>
      <c r="Y29" s="3362"/>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62"/>
      <c r="Q30" s="1578" t="str">
        <f t="shared" si="11"/>
        <v>建筑面积</v>
      </c>
      <c r="R30" s="1579" t="s">
        <v>8</v>
      </c>
      <c r="S30" s="1580" t="e">
        <f t="shared" si="12"/>
        <v>#N/A</v>
      </c>
      <c r="T30" s="1579" t="s">
        <v>8</v>
      </c>
      <c r="U30" s="1580" t="e">
        <f t="shared" si="13"/>
        <v>#N/A</v>
      </c>
      <c r="V30" s="1579" t="s">
        <v>8</v>
      </c>
      <c r="W30" s="1580" t="e">
        <f t="shared" si="14"/>
        <v>#N/A</v>
      </c>
      <c r="X30" s="1573"/>
      <c r="Y30" s="3362"/>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62"/>
      <c r="Q31" s="1154" t="str">
        <f t="shared" si="11"/>
        <v>是否封闭</v>
      </c>
      <c r="R31" s="1574" t="s">
        <v>8</v>
      </c>
      <c r="S31" s="1575">
        <f t="shared" si="12"/>
        <v>100</v>
      </c>
      <c r="T31" s="1574" t="s">
        <v>8</v>
      </c>
      <c r="U31" s="1575">
        <f t="shared" si="13"/>
        <v>100</v>
      </c>
      <c r="V31" s="1574" t="s">
        <v>8</v>
      </c>
      <c r="W31" s="1575">
        <f t="shared" si="14"/>
        <v>100</v>
      </c>
      <c r="X31" s="1576"/>
      <c r="Y31" s="3362"/>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62" t="s">
        <v>551</v>
      </c>
      <c r="Q32" s="1578">
        <f t="shared" si="11"/>
        <v>111</v>
      </c>
      <c r="R32" s="1579" t="s">
        <v>8</v>
      </c>
      <c r="S32" s="1580">
        <f t="shared" si="12"/>
        <v>100</v>
      </c>
      <c r="T32" s="1579" t="s">
        <v>8</v>
      </c>
      <c r="U32" s="1580">
        <f t="shared" si="13"/>
        <v>100</v>
      </c>
      <c r="V32" s="1579" t="s">
        <v>8</v>
      </c>
      <c r="W32" s="1580">
        <f t="shared" si="14"/>
        <v>100</v>
      </c>
      <c r="X32" s="1573"/>
      <c r="Y32" s="3362"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62"/>
      <c r="Q33" s="1578">
        <f t="shared" si="11"/>
        <v>111</v>
      </c>
      <c r="R33" s="1579" t="s">
        <v>8</v>
      </c>
      <c r="S33" s="1580">
        <f t="shared" si="12"/>
        <v>100</v>
      </c>
      <c r="T33" s="1579" t="s">
        <v>8</v>
      </c>
      <c r="U33" s="1580">
        <f t="shared" si="13"/>
        <v>100</v>
      </c>
      <c r="V33" s="1579" t="s">
        <v>8</v>
      </c>
      <c r="W33" s="1580">
        <f t="shared" si="14"/>
        <v>100</v>
      </c>
      <c r="X33" s="1573"/>
      <c r="Y33" s="3362"/>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62"/>
      <c r="Q34" s="1578">
        <f t="shared" si="11"/>
        <v>111</v>
      </c>
      <c r="R34" s="1579" t="s">
        <v>8</v>
      </c>
      <c r="S34" s="1580">
        <f t="shared" si="12"/>
        <v>100</v>
      </c>
      <c r="T34" s="1579" t="s">
        <v>8</v>
      </c>
      <c r="U34" s="1580">
        <f t="shared" si="13"/>
        <v>100</v>
      </c>
      <c r="V34" s="1579" t="s">
        <v>8</v>
      </c>
      <c r="W34" s="1580">
        <f t="shared" si="14"/>
        <v>100</v>
      </c>
      <c r="X34" s="1573"/>
      <c r="Y34" s="3362"/>
      <c r="Z34" s="1581">
        <f t="shared" si="15"/>
        <v>111</v>
      </c>
      <c r="AA34" s="1582">
        <f t="shared" si="3"/>
        <v>1</v>
      </c>
      <c r="AB34" s="1582">
        <f t="shared" si="4"/>
        <v>1</v>
      </c>
      <c r="AC34" s="1582">
        <f t="shared" si="5"/>
        <v>1</v>
      </c>
    </row>
    <row r="35" spans="1:29" ht="15">
      <c r="A35" s="610" t="s">
        <v>739</v>
      </c>
      <c r="B35" s="890"/>
      <c r="C35" s="2662" t="s">
        <v>1</v>
      </c>
      <c r="D35" s="2663"/>
      <c r="E35" s="2664"/>
      <c r="F35" s="2665"/>
      <c r="G35" s="2666"/>
      <c r="H35" s="2667"/>
      <c r="I35" s="2664"/>
      <c r="J35" s="2667"/>
      <c r="K35" s="1617"/>
      <c r="L35" s="2154"/>
      <c r="M35" s="2155"/>
      <c r="N35" s="2144"/>
      <c r="O35" s="2155"/>
      <c r="P35" s="3357" t="str">
        <f>A35</f>
        <v>成交单价（元/平方米）</v>
      </c>
      <c r="Q35" s="3357"/>
      <c r="R35" s="3433">
        <f>E35</f>
        <v>0</v>
      </c>
      <c r="S35" s="3433"/>
      <c r="T35" s="3433">
        <f>G35</f>
        <v>0</v>
      </c>
      <c r="U35" s="3433"/>
      <c r="V35" s="3433">
        <f>I35</f>
        <v>0</v>
      </c>
      <c r="W35" s="3433"/>
      <c r="X35" s="1565"/>
      <c r="Y35" s="1587"/>
      <c r="Z35" s="1565"/>
      <c r="AA35" s="1565"/>
      <c r="AB35" s="1565"/>
      <c r="AC35" s="1565"/>
    </row>
    <row r="36" spans="1:29" ht="15.75" thickBot="1">
      <c r="A36" s="618" t="s">
        <v>2776</v>
      </c>
      <c r="B36" s="891"/>
      <c r="C36" s="2668" t="e">
        <f>R37</f>
        <v>#DIV/0!</v>
      </c>
      <c r="D36" s="2669"/>
      <c r="E36" s="2670" t="e">
        <f>R36</f>
        <v>#DIV/0!</v>
      </c>
      <c r="F36" s="2670"/>
      <c r="G36" s="2668" t="e">
        <f>T36</f>
        <v>#DIV/0!</v>
      </c>
      <c r="H36" s="2669"/>
      <c r="I36" s="2670" t="e">
        <f>V36</f>
        <v>#DIV/0!</v>
      </c>
      <c r="J36" s="2669"/>
      <c r="K36" s="1618"/>
      <c r="L36" s="2154"/>
      <c r="M36" s="2155"/>
      <c r="N36" s="2144"/>
      <c r="O36" s="2155"/>
      <c r="P36" s="3357" t="str">
        <f>A36</f>
        <v>比较价格（元/平方米）</v>
      </c>
      <c r="Q36" s="3357"/>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1565"/>
      <c r="Y36" s="1565"/>
      <c r="Z36" s="1565"/>
      <c r="AA36" s="1565"/>
      <c r="AB36" s="1565"/>
      <c r="AC36" s="1565"/>
    </row>
    <row r="37" spans="1:29" ht="15.75" thickBot="1">
      <c r="A37" s="624" t="s">
        <v>2948</v>
      </c>
      <c r="B37" s="625"/>
      <c r="C37" s="2671" t="e">
        <f>R37</f>
        <v>#DIV/0!</v>
      </c>
      <c r="D37" s="2671"/>
      <c r="E37" s="2671"/>
      <c r="F37" s="2671"/>
      <c r="G37" s="2671"/>
      <c r="H37" s="2671"/>
      <c r="I37" s="2671"/>
      <c r="J37" s="2671"/>
      <c r="K37" s="1619"/>
      <c r="L37" s="2154"/>
      <c r="M37" s="2155"/>
      <c r="N37" s="2155"/>
      <c r="O37" s="2155"/>
      <c r="P37" s="3378" t="str">
        <f>A37</f>
        <v>估价对象XX用房的比较价格（楼面单价，元/平方米）</v>
      </c>
      <c r="Q37" s="3379"/>
      <c r="R37" s="3434" t="e">
        <f>IF(F1="售价",ROUND(AVERAGE(R36:V36),0),ROUND(AVERAGE(R36:V36),1))</f>
        <v>#DIV/0!</v>
      </c>
      <c r="S37" s="3434"/>
      <c r="T37" s="3434"/>
      <c r="U37" s="3434"/>
      <c r="V37" s="3434"/>
      <c r="W37" s="3434"/>
      <c r="X37" s="1565"/>
      <c r="Y37" s="1565"/>
      <c r="Z37" s="1565"/>
      <c r="AA37" s="1565"/>
      <c r="AB37" s="1565"/>
      <c r="AC37" s="1565"/>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90" t="s">
        <v>575</v>
      </c>
      <c r="B45" s="1565"/>
      <c r="C45" s="1589"/>
      <c r="D45" s="1589"/>
      <c r="E45" s="1589"/>
      <c r="F45" s="1591"/>
      <c r="G45" s="1591"/>
      <c r="H45" s="1589"/>
      <c r="I45" s="1589"/>
      <c r="J45" s="1589"/>
      <c r="K45" s="1592"/>
      <c r="L45" s="1588"/>
      <c r="M45" s="1589"/>
      <c r="N45" s="1589"/>
      <c r="O45" s="1589"/>
      <c r="P45" s="2167"/>
      <c r="Q45" s="2168"/>
      <c r="R45" s="2155"/>
      <c r="S45" s="2155"/>
      <c r="T45" s="2155"/>
      <c r="U45" s="2155"/>
      <c r="V45" s="2155"/>
      <c r="W45" s="2155"/>
      <c r="X45" s="2155"/>
      <c r="Y45" s="2155"/>
      <c r="Z45" s="2155"/>
      <c r="AA45" s="2155"/>
      <c r="AB45" s="2155"/>
      <c r="AC45" s="2155"/>
    </row>
    <row r="46" spans="1:29" s="1350" customFormat="1" ht="15">
      <c r="A46" s="648" t="s">
        <v>530</v>
      </c>
      <c r="B46" s="649"/>
      <c r="C46" s="2841" t="str">
        <f>YEAR(C7)&amp;"-"&amp;MONTH(C7)</f>
        <v>2017-6</v>
      </c>
      <c r="D46" s="2843">
        <f>EDATE(C46,-1)</f>
        <v>42856</v>
      </c>
      <c r="E46" s="2843">
        <f t="shared" ref="E46:O46" si="16">EDATE(D46,-1)</f>
        <v>42826</v>
      </c>
      <c r="F46" s="2843">
        <f t="shared" si="16"/>
        <v>42795</v>
      </c>
      <c r="G46" s="2843">
        <f t="shared" si="16"/>
        <v>42767</v>
      </c>
      <c r="H46" s="2843">
        <f t="shared" si="16"/>
        <v>42736</v>
      </c>
      <c r="I46" s="2843">
        <f t="shared" si="16"/>
        <v>42705</v>
      </c>
      <c r="J46" s="2843">
        <f t="shared" si="16"/>
        <v>42675</v>
      </c>
      <c r="K46" s="2843">
        <f t="shared" si="16"/>
        <v>42644</v>
      </c>
      <c r="L46" s="2843">
        <f t="shared" si="16"/>
        <v>42614</v>
      </c>
      <c r="M46" s="2843">
        <f t="shared" si="16"/>
        <v>42583</v>
      </c>
      <c r="N46" s="2843">
        <f t="shared" si="16"/>
        <v>42552</v>
      </c>
      <c r="O46" s="2843">
        <f t="shared" si="16"/>
        <v>42522</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576</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532</v>
      </c>
      <c r="B49" s="651"/>
      <c r="C49" s="663" t="s">
        <v>577</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578</v>
      </c>
      <c r="B51" s="668" t="s">
        <v>535</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2571</v>
      </c>
      <c r="C63" s="711" t="s">
        <v>580</v>
      </c>
      <c r="D63" s="711" t="s">
        <v>581</v>
      </c>
      <c r="E63" s="711" t="s">
        <v>582</v>
      </c>
      <c r="F63" s="711" t="s">
        <v>583</v>
      </c>
      <c r="G63" s="711" t="s">
        <v>584</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2572</v>
      </c>
      <c r="C65" s="2633" t="s">
        <v>2573</v>
      </c>
      <c r="D65" s="2633" t="s">
        <v>2574</v>
      </c>
      <c r="E65" s="2633" t="s">
        <v>2575</v>
      </c>
      <c r="F65" s="2633" t="s">
        <v>2576</v>
      </c>
      <c r="G65" s="2633" t="s">
        <v>2577</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747</v>
      </c>
      <c r="C67" s="711" t="s">
        <v>580</v>
      </c>
      <c r="D67" s="711" t="s">
        <v>581</v>
      </c>
      <c r="E67" s="711" t="s">
        <v>582</v>
      </c>
      <c r="F67" s="711" t="s">
        <v>583</v>
      </c>
      <c r="G67" s="711" t="s">
        <v>584</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748</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552</v>
      </c>
      <c r="B77" s="668" t="s">
        <v>754</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820</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828</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830</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R22" sqref="R22"/>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4" t="s">
        <v>2314</v>
      </c>
      <c r="C1" s="3463" t="s">
        <v>2315</v>
      </c>
      <c r="D1" s="3464"/>
      <c r="E1" s="3464"/>
      <c r="F1" s="3464"/>
      <c r="G1" s="3464"/>
      <c r="H1" s="3464"/>
      <c r="I1" s="3464"/>
      <c r="J1" s="3464"/>
      <c r="K1" s="3464"/>
      <c r="L1" s="3464"/>
      <c r="M1" s="3464"/>
      <c r="N1" s="3464"/>
      <c r="O1" s="3464"/>
      <c r="P1" s="3464"/>
      <c r="Q1" s="3464"/>
      <c r="R1" s="3464"/>
      <c r="S1" s="3465"/>
      <c r="T1" s="2244" t="s">
        <v>2316</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ht="25.5">
      <c r="A2" s="2245"/>
      <c r="B2" s="952" t="s">
        <v>2317</v>
      </c>
      <c r="C2" s="953" t="str">
        <f t="shared" ref="C2:L2" si="0">C3&amp;"(含)"&amp;"-"&amp;D3</f>
        <v>0(含)-100</v>
      </c>
      <c r="D2" s="954" t="str">
        <f t="shared" si="0"/>
        <v>100(含)-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v>0</v>
      </c>
      <c r="D3" s="958">
        <v>100</v>
      </c>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8" t="s">
        <v>2941</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30" t="s">
        <v>2940</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30" t="s">
        <v>2939</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29"/>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8" t="s">
        <v>2954</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8" t="s">
        <v>2938</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8" t="s">
        <v>2937</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2318</v>
      </c>
      <c r="B17" s="2288" t="s">
        <v>2319</v>
      </c>
      <c r="C17" s="2289">
        <v>1</v>
      </c>
      <c r="D17" s="2290">
        <v>2</v>
      </c>
      <c r="E17" s="2290">
        <v>3</v>
      </c>
      <c r="F17" s="2290">
        <v>4</v>
      </c>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v>100</v>
      </c>
      <c r="D18" s="2302">
        <v>60</v>
      </c>
      <c r="E18" s="2302">
        <v>55</v>
      </c>
      <c r="F18" s="2302">
        <v>50</v>
      </c>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831</v>
      </c>
      <c r="B20" s="778">
        <f>S22</f>
        <v>154173</v>
      </c>
      <c r="C20" s="1996"/>
      <c r="D20" s="1996"/>
      <c r="E20" s="1996"/>
      <c r="F20" s="1996"/>
      <c r="G20" s="1996"/>
      <c r="H20" s="1996"/>
      <c r="I20" s="1996"/>
      <c r="J20" s="1996"/>
      <c r="K20" s="1996"/>
      <c r="L20" s="1996"/>
      <c r="M20" s="1996"/>
      <c r="N20" s="1996"/>
      <c r="O20" s="1996"/>
      <c r="P20" s="1996"/>
      <c r="Q20" s="1996"/>
      <c r="R20" s="2235"/>
      <c r="S20" s="2034"/>
    </row>
    <row r="21" spans="1:45" ht="15.75">
      <c r="A21" s="963" t="s">
        <v>832</v>
      </c>
      <c r="B21" s="778">
        <f>R22</f>
        <v>23083</v>
      </c>
      <c r="C21" s="1996"/>
      <c r="D21" s="1996"/>
      <c r="E21" s="1996"/>
      <c r="F21" s="1996"/>
      <c r="G21" s="1996"/>
      <c r="H21" s="1996"/>
      <c r="I21" s="1996"/>
      <c r="J21" s="1996"/>
      <c r="K21" s="1996"/>
      <c r="L21" s="1996"/>
      <c r="M21" s="1996"/>
      <c r="N21" s="1996"/>
      <c r="O21" s="1996"/>
      <c r="P21" s="1996"/>
      <c r="Q21" s="1996"/>
      <c r="R21" s="2235"/>
      <c r="S21" s="2034"/>
    </row>
    <row r="22" spans="1:45">
      <c r="A22" s="802" t="s">
        <v>833</v>
      </c>
      <c r="B22" s="53">
        <f>SUM(B24:B10000)</f>
        <v>66791.740000000005</v>
      </c>
      <c r="C22" s="3460" t="s">
        <v>20</v>
      </c>
      <c r="D22" s="3461"/>
      <c r="E22" s="3461"/>
      <c r="F22" s="3461"/>
      <c r="G22" s="3461"/>
      <c r="H22" s="3461"/>
      <c r="I22" s="3461"/>
      <c r="J22" s="3461"/>
      <c r="K22" s="3461"/>
      <c r="L22" s="3461"/>
      <c r="M22" s="3461"/>
      <c r="N22" s="3461"/>
      <c r="O22" s="3461"/>
      <c r="P22" s="3461"/>
      <c r="Q22" s="3462"/>
      <c r="R22" s="493">
        <f>ROUND(S22*10000/B22,0)</f>
        <v>23083</v>
      </c>
      <c r="S22" s="53">
        <f>SUM(S24:S10000)</f>
        <v>154173</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v>1</v>
      </c>
      <c r="B24" s="964">
        <f>'数据-汇总表'!F19/4</f>
        <v>16697.935000000001</v>
      </c>
      <c r="C24" s="965">
        <v>1</v>
      </c>
      <c r="D24" s="966"/>
      <c r="E24" s="965">
        <v>1</v>
      </c>
      <c r="F24" s="966"/>
      <c r="G24" s="965">
        <v>1</v>
      </c>
      <c r="H24" s="966"/>
      <c r="I24" s="965">
        <v>1</v>
      </c>
      <c r="J24" s="966"/>
      <c r="K24" s="965">
        <v>1</v>
      </c>
      <c r="L24" s="966"/>
      <c r="M24" s="965">
        <v>1</v>
      </c>
      <c r="N24" s="966"/>
      <c r="O24" s="965">
        <v>1</v>
      </c>
      <c r="P24" s="966">
        <v>1</v>
      </c>
      <c r="Q24" s="965">
        <v>1</v>
      </c>
      <c r="R24" s="967">
        <f>'不动产比较法-商业'!C48</f>
        <v>34842</v>
      </c>
      <c r="S24" s="965">
        <f t="shared" ref="S24:S54" si="11">ROUND(R24*B24/10000,0)</f>
        <v>58179</v>
      </c>
      <c r="T24" s="1979"/>
      <c r="U24" s="1979"/>
      <c r="V24" s="1979"/>
      <c r="W24" s="1979"/>
      <c r="X24" s="1979"/>
      <c r="Y24" s="1979"/>
      <c r="Z24" s="1979"/>
      <c r="AA24" s="1979"/>
      <c r="AB24" s="1979"/>
      <c r="AC24" s="1979"/>
      <c r="AD24" s="1979"/>
      <c r="AE24" s="1979"/>
      <c r="AF24" s="1979"/>
      <c r="AG24" s="1979"/>
      <c r="AH24" s="1979"/>
      <c r="AI24" s="1979"/>
    </row>
    <row r="25" spans="1:45">
      <c r="A25" s="968">
        <v>2</v>
      </c>
      <c r="B25" s="137">
        <f>B24</f>
        <v>16697.935000000001</v>
      </c>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v>2</v>
      </c>
      <c r="Q25" s="53">
        <f>(SUMIF($17:$17,P25,$18:$18)-SUMIF($17:$17,$P$24,$18:$18)+100)/100</f>
        <v>0.6</v>
      </c>
      <c r="R25" s="493">
        <f>IF(B25="",0,ROUND($R$24*C25*E25*G25*I25*K25*M25*O25*Q25,0))</f>
        <v>20905</v>
      </c>
      <c r="S25" s="802">
        <f t="shared" si="11"/>
        <v>34907</v>
      </c>
    </row>
    <row r="26" spans="1:45">
      <c r="A26" s="968">
        <v>3</v>
      </c>
      <c r="B26" s="137">
        <f>B24</f>
        <v>16697.935000000001</v>
      </c>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v>3</v>
      </c>
      <c r="Q26" s="53">
        <f t="shared" ref="Q26:Q89" si="19">(SUMIF($17:$17,P26,$18:$18)-SUMIF($17:$17,$P$24,$18:$18)+100)/100</f>
        <v>0.55000000000000004</v>
      </c>
      <c r="R26" s="493">
        <f t="shared" ref="R26:R89" si="20">IF(B26="",0,ROUND($R$24*C26*E26*G26*I26*K26*M26*O26*Q26,0))</f>
        <v>19163</v>
      </c>
      <c r="S26" s="802">
        <f t="shared" si="11"/>
        <v>31998</v>
      </c>
    </row>
    <row r="27" spans="1:45">
      <c r="A27" s="968">
        <v>4</v>
      </c>
      <c r="B27" s="137">
        <f>B24</f>
        <v>16697.935000000001</v>
      </c>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v>4</v>
      </c>
      <c r="Q27" s="53">
        <f t="shared" si="19"/>
        <v>0.5</v>
      </c>
      <c r="R27" s="493">
        <f t="shared" si="20"/>
        <v>17421</v>
      </c>
      <c r="S27" s="802">
        <f t="shared" si="11"/>
        <v>29089</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0</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0</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0</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0</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0</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0</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0</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0</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0</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0</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0</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0</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0</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0</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0</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0</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0</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0</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0</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0</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0</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0</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0</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0</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0</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0</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0</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0</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0</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0</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0</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0</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0</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0</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0</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0</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0</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0</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0</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0</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0</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0</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0</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0</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0</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0</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0</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0</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0</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0</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0</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0</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0</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0</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0</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0</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0</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0</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0</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0</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0</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0</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0</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0</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0</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0</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0</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0</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0</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0</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0</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0</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0</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0</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0</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0</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0</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0</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0</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0</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0</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0</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0</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0</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0</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0</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0</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0</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0</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0</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0</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0</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0</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0</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0</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0</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0</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0</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0</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0</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0</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0</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0</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0</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0</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0</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0</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0</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0</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0</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0</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0</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0</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0</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0</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0</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0</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0</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0</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0</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0</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0</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0</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0</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0</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0</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0</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0</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0</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0</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0</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0</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0</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0</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0</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0</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0</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0</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0</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0</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0</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0</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0</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0</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0</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0</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0</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0</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0</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0</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0</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0</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0</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0</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0</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0</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0</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0</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0</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0</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0</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0</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0</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0</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0</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0</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0</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0</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0</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0</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0</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0</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0</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0</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0</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0</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0</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0</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0</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0</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0</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0</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0</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0</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0</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0</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0</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0</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0</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0</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0</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0</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0</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0</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0</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0</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0</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0</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0</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0</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0</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0</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0</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0</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0</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0</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0</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0</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0</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0</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0</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0</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0</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0</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0</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0</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0</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0</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0</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0</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0</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0</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0</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0</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0</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0</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0</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0</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0</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0</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0</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0</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0</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0</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0</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0</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0</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0</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0</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0</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0</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0</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0</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0</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0</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0</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0</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0</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0</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0</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0</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0</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0</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0</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0</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0</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0</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0</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0</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0</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0</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0</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0</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0</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0</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0</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0</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0</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0</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0</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0</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0</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0</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0</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0</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0</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0</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0</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0</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0</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0</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0</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0</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0</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0</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0</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0</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0</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0</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0</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0</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0</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0</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0</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0</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0</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0</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0</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0</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0</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0</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0</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0</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0</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0</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0</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0</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0</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0</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0</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0</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0</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0</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0</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0</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0</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0</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0</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0</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0</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0</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0</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0</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0</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0</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0</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0</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0</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0</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0</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0</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0</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0</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0</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0</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0</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0</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0</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0</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0</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0</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0</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0</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0</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0</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0</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0</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0</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0</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0</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0</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0</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0</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0</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0</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0</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0</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0</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0</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0</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0</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0</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0</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0</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0</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0</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0</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0</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0</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0</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0</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0</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0</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0</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0</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0</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0</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0</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0</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0</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0</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0</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0</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0</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0</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0</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0</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0</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0</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0</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0</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0</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0</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0</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0</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0</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0</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0</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0</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0</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0</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0</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0</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0</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0</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0</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0</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0</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0</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0</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0</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0</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0</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0</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0</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0</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0</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0</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0</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0</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0</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0</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0</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0</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0</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0</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0</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0</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0</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0</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0</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0</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0</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0</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0</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0</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0</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0</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0</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0</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0</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0</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0</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0</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0</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0</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0</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0</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0</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0</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0</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0</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0</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0</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0</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0</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0</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0</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0</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0</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0</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0</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0</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0</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0</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0</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0</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0</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0</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0</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0</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0</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0</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0</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0</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0</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0</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0</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0</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0</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0</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0</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0</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0</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0</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0</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0</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0</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0</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0</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0</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0</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0</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0</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0</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0</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0</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dimension ref="A1:F74"/>
  <sheetViews>
    <sheetView topLeftCell="A304" workbookViewId="0">
      <selection activeCell="A409" sqref="A409"/>
    </sheetView>
  </sheetViews>
  <sheetFormatPr defaultRowHeight="13.5"/>
  <cols>
    <col min="1" max="1" width="18.25" customWidth="1"/>
    <col min="2" max="2" width="14.875" customWidth="1"/>
    <col min="5" max="5" width="14.75" customWidth="1"/>
    <col min="6" max="6" width="28.5" customWidth="1"/>
  </cols>
  <sheetData>
    <row r="1" spans="1:6" ht="22.5">
      <c r="A1" s="3140" t="s">
        <v>2956</v>
      </c>
    </row>
    <row r="2" spans="1:6">
      <c r="A2" t="s">
        <v>2957</v>
      </c>
      <c r="B2" t="s">
        <v>2958</v>
      </c>
      <c r="E2" t="s">
        <v>2987</v>
      </c>
      <c r="F2" s="3141">
        <v>42627</v>
      </c>
    </row>
    <row r="3" spans="1:6">
      <c r="A3" t="s">
        <v>2959</v>
      </c>
      <c r="B3" t="s">
        <v>2958</v>
      </c>
      <c r="E3" t="s">
        <v>2988</v>
      </c>
      <c r="F3" s="3141">
        <v>42652</v>
      </c>
    </row>
    <row r="4" spans="1:6">
      <c r="A4" t="s">
        <v>2960</v>
      </c>
      <c r="B4">
        <v>25</v>
      </c>
      <c r="E4" t="s">
        <v>2989</v>
      </c>
      <c r="F4" s="3141">
        <v>42652</v>
      </c>
    </row>
    <row r="5" spans="1:6">
      <c r="A5" t="s">
        <v>2961</v>
      </c>
      <c r="B5" t="s">
        <v>2962</v>
      </c>
      <c r="E5" t="s">
        <v>2990</v>
      </c>
      <c r="F5" s="3141">
        <v>42652</v>
      </c>
    </row>
    <row r="6" spans="1:6">
      <c r="A6" t="s">
        <v>2963</v>
      </c>
      <c r="B6" t="s">
        <v>2964</v>
      </c>
      <c r="E6" t="s">
        <v>2991</v>
      </c>
      <c r="F6" t="s">
        <v>2992</v>
      </c>
    </row>
    <row r="7" spans="1:6">
      <c r="A7" t="s">
        <v>2965</v>
      </c>
      <c r="B7" t="s">
        <v>2966</v>
      </c>
      <c r="E7" t="s">
        <v>2993</v>
      </c>
      <c r="F7" t="s">
        <v>2994</v>
      </c>
    </row>
    <row r="8" spans="1:6">
      <c r="A8" t="s">
        <v>2967</v>
      </c>
      <c r="B8" t="s">
        <v>2834</v>
      </c>
      <c r="E8" t="s">
        <v>2995</v>
      </c>
      <c r="F8" t="s">
        <v>2996</v>
      </c>
    </row>
    <row r="9" spans="1:6">
      <c r="A9" t="s">
        <v>2968</v>
      </c>
      <c r="B9">
        <v>1331.42</v>
      </c>
      <c r="E9" t="s">
        <v>2997</v>
      </c>
      <c r="F9" s="3142">
        <v>1E-4</v>
      </c>
    </row>
    <row r="10" spans="1:6">
      <c r="A10" t="s">
        <v>2969</v>
      </c>
      <c r="B10">
        <v>3328.55</v>
      </c>
      <c r="E10" t="s">
        <v>2998</v>
      </c>
      <c r="F10" t="s">
        <v>2999</v>
      </c>
    </row>
    <row r="11" spans="1:6">
      <c r="A11" t="s">
        <v>2970</v>
      </c>
      <c r="B11" t="s">
        <v>2971</v>
      </c>
      <c r="E11" t="s">
        <v>3000</v>
      </c>
      <c r="F11" t="s">
        <v>3001</v>
      </c>
    </row>
    <row r="12" spans="1:6">
      <c r="A12" t="s">
        <v>2972</v>
      </c>
      <c r="B12" t="s">
        <v>2973</v>
      </c>
      <c r="E12" t="s">
        <v>3002</v>
      </c>
      <c r="F12" s="3143">
        <v>9000.99</v>
      </c>
    </row>
    <row r="13" spans="1:6">
      <c r="A13" t="s">
        <v>2974</v>
      </c>
      <c r="B13" t="s">
        <v>2975</v>
      </c>
      <c r="E13" t="s">
        <v>3003</v>
      </c>
      <c r="F13" t="s">
        <v>3004</v>
      </c>
    </row>
    <row r="14" spans="1:6">
      <c r="A14" t="s">
        <v>2976</v>
      </c>
      <c r="B14" t="s">
        <v>2977</v>
      </c>
      <c r="E14" t="s">
        <v>3005</v>
      </c>
      <c r="F14" t="s">
        <v>3006</v>
      </c>
    </row>
    <row r="15" spans="1:6">
      <c r="A15" t="s">
        <v>2978</v>
      </c>
      <c r="B15" t="s">
        <v>2834</v>
      </c>
      <c r="E15" t="s">
        <v>3007</v>
      </c>
      <c r="F15" t="s">
        <v>3008</v>
      </c>
    </row>
    <row r="16" spans="1:6">
      <c r="A16" t="s">
        <v>2979</v>
      </c>
      <c r="B16" t="s">
        <v>2980</v>
      </c>
      <c r="E16" t="s">
        <v>3009</v>
      </c>
      <c r="F16" t="s">
        <v>3010</v>
      </c>
    </row>
    <row r="17" spans="1:6">
      <c r="A17" t="s">
        <v>2981</v>
      </c>
      <c r="B17" t="s">
        <v>2982</v>
      </c>
      <c r="E17" t="s">
        <v>3011</v>
      </c>
      <c r="F17" t="s">
        <v>2994</v>
      </c>
    </row>
    <row r="18" spans="1:6">
      <c r="A18" t="s">
        <v>2983</v>
      </c>
      <c r="B18" t="s">
        <v>2834</v>
      </c>
      <c r="E18" t="s">
        <v>3012</v>
      </c>
      <c r="F18" t="s">
        <v>2834</v>
      </c>
    </row>
    <row r="19" spans="1:6">
      <c r="A19" t="s">
        <v>2984</v>
      </c>
      <c r="B19" t="s">
        <v>2834</v>
      </c>
      <c r="E19" t="s">
        <v>3013</v>
      </c>
      <c r="F19" t="s">
        <v>3014</v>
      </c>
    </row>
    <row r="20" spans="1:6">
      <c r="A20" t="s">
        <v>2985</v>
      </c>
      <c r="B20" t="s">
        <v>2834</v>
      </c>
      <c r="E20" t="s">
        <v>3015</v>
      </c>
      <c r="F20" t="s">
        <v>3016</v>
      </c>
    </row>
    <row r="21" spans="1:6">
      <c r="A21" t="s">
        <v>2986</v>
      </c>
      <c r="B21" t="s">
        <v>2834</v>
      </c>
      <c r="E21" t="s">
        <v>3017</v>
      </c>
      <c r="F21" t="s">
        <v>3018</v>
      </c>
    </row>
    <row r="22" spans="1:6">
      <c r="E22" t="s">
        <v>3019</v>
      </c>
      <c r="F22" t="s">
        <v>3020</v>
      </c>
    </row>
    <row r="23" spans="1:6">
      <c r="E23" t="s">
        <v>3021</v>
      </c>
      <c r="F23" t="s">
        <v>3022</v>
      </c>
    </row>
    <row r="28" spans="1:6" ht="22.5">
      <c r="A28" s="3140" t="s">
        <v>3023</v>
      </c>
    </row>
    <row r="29" spans="1:6">
      <c r="A29" t="s">
        <v>2957</v>
      </c>
      <c r="B29" t="s">
        <v>3024</v>
      </c>
      <c r="E29" t="s">
        <v>2987</v>
      </c>
      <c r="F29" s="3141">
        <v>42051</v>
      </c>
    </row>
    <row r="30" spans="1:6">
      <c r="A30" t="s">
        <v>2959</v>
      </c>
      <c r="B30" t="s">
        <v>3024</v>
      </c>
      <c r="E30" t="s">
        <v>2988</v>
      </c>
      <c r="F30" s="3141">
        <v>42073</v>
      </c>
    </row>
    <row r="31" spans="1:6">
      <c r="A31" t="s">
        <v>2960</v>
      </c>
      <c r="B31">
        <v>1</v>
      </c>
      <c r="E31" t="s">
        <v>2989</v>
      </c>
      <c r="F31" s="3141">
        <v>42073</v>
      </c>
    </row>
    <row r="32" spans="1:6">
      <c r="A32" t="s">
        <v>2961</v>
      </c>
      <c r="B32" t="s">
        <v>3025</v>
      </c>
      <c r="E32" t="s">
        <v>2990</v>
      </c>
      <c r="F32" s="3141">
        <v>42073</v>
      </c>
    </row>
    <row r="33" spans="1:6">
      <c r="A33" t="s">
        <v>2963</v>
      </c>
      <c r="B33" t="s">
        <v>2964</v>
      </c>
      <c r="E33" t="s">
        <v>2991</v>
      </c>
      <c r="F33" t="s">
        <v>2992</v>
      </c>
    </row>
    <row r="34" spans="1:6">
      <c r="A34" t="s">
        <v>2965</v>
      </c>
      <c r="B34" t="s">
        <v>3026</v>
      </c>
      <c r="E34" t="s">
        <v>2993</v>
      </c>
      <c r="F34" t="s">
        <v>3031</v>
      </c>
    </row>
    <row r="35" spans="1:6">
      <c r="A35" t="s">
        <v>2967</v>
      </c>
      <c r="B35" t="s">
        <v>2834</v>
      </c>
      <c r="E35" t="s">
        <v>2995</v>
      </c>
      <c r="F35" t="s">
        <v>3032</v>
      </c>
    </row>
    <row r="36" spans="1:6">
      <c r="A36" t="s">
        <v>2968</v>
      </c>
      <c r="B36">
        <v>13766.67</v>
      </c>
      <c r="E36" t="s">
        <v>2997</v>
      </c>
      <c r="F36" s="3142">
        <v>1E-4</v>
      </c>
    </row>
    <row r="37" spans="1:6">
      <c r="A37" t="s">
        <v>2969</v>
      </c>
      <c r="B37">
        <v>44493.88</v>
      </c>
      <c r="E37" t="s">
        <v>2998</v>
      </c>
      <c r="F37" t="s">
        <v>3033</v>
      </c>
    </row>
    <row r="38" spans="1:6">
      <c r="A38" t="s">
        <v>2970</v>
      </c>
      <c r="B38" t="s">
        <v>3027</v>
      </c>
      <c r="E38" t="s">
        <v>3000</v>
      </c>
      <c r="F38" t="s">
        <v>3034</v>
      </c>
    </row>
    <row r="39" spans="1:6">
      <c r="A39" t="s">
        <v>2972</v>
      </c>
      <c r="B39" t="s">
        <v>3028</v>
      </c>
      <c r="E39" t="s">
        <v>3002</v>
      </c>
      <c r="F39">
        <v>7309</v>
      </c>
    </row>
    <row r="40" spans="1:6">
      <c r="A40" t="s">
        <v>2974</v>
      </c>
      <c r="B40" t="s">
        <v>3029</v>
      </c>
      <c r="E40" t="s">
        <v>3003</v>
      </c>
      <c r="F40" t="s">
        <v>3035</v>
      </c>
    </row>
    <row r="41" spans="1:6">
      <c r="A41" t="s">
        <v>2976</v>
      </c>
      <c r="B41" t="s">
        <v>2977</v>
      </c>
      <c r="E41" t="s">
        <v>3005</v>
      </c>
      <c r="F41" t="s">
        <v>3036</v>
      </c>
    </row>
    <row r="42" spans="1:6">
      <c r="A42" t="s">
        <v>2978</v>
      </c>
      <c r="B42" t="s">
        <v>2834</v>
      </c>
      <c r="E42" t="s">
        <v>3007</v>
      </c>
      <c r="F42" t="s">
        <v>3037</v>
      </c>
    </row>
    <row r="43" spans="1:6">
      <c r="A43" t="s">
        <v>2979</v>
      </c>
      <c r="B43" t="s">
        <v>3030</v>
      </c>
      <c r="E43" t="s">
        <v>3009</v>
      </c>
      <c r="F43" t="s">
        <v>3038</v>
      </c>
    </row>
    <row r="44" spans="1:6">
      <c r="A44" t="s">
        <v>2981</v>
      </c>
      <c r="B44" t="s">
        <v>2982</v>
      </c>
      <c r="E44" t="s">
        <v>3011</v>
      </c>
      <c r="F44" t="s">
        <v>3031</v>
      </c>
    </row>
    <row r="45" spans="1:6">
      <c r="A45" t="s">
        <v>2983</v>
      </c>
      <c r="B45" t="s">
        <v>2834</v>
      </c>
      <c r="E45" t="s">
        <v>3012</v>
      </c>
      <c r="F45" t="s">
        <v>2834</v>
      </c>
    </row>
    <row r="46" spans="1:6">
      <c r="A46" t="s">
        <v>2984</v>
      </c>
      <c r="B46" t="s">
        <v>2834</v>
      </c>
      <c r="E46" t="s">
        <v>3013</v>
      </c>
      <c r="F46" t="s">
        <v>3039</v>
      </c>
    </row>
    <row r="47" spans="1:6">
      <c r="A47" t="s">
        <v>2985</v>
      </c>
      <c r="B47" t="s">
        <v>2834</v>
      </c>
      <c r="E47" t="s">
        <v>3015</v>
      </c>
      <c r="F47" t="s">
        <v>3040</v>
      </c>
    </row>
    <row r="48" spans="1:6">
      <c r="A48" t="s">
        <v>2986</v>
      </c>
      <c r="B48" t="s">
        <v>2834</v>
      </c>
      <c r="E48" t="s">
        <v>3017</v>
      </c>
      <c r="F48" t="s">
        <v>3041</v>
      </c>
    </row>
    <row r="49" spans="1:6">
      <c r="E49" t="s">
        <v>3019</v>
      </c>
      <c r="F49" t="s">
        <v>3020</v>
      </c>
    </row>
    <row r="50" spans="1:6">
      <c r="E50" t="s">
        <v>3021</v>
      </c>
      <c r="F50" t="s">
        <v>2834</v>
      </c>
    </row>
    <row r="52" spans="1:6" ht="22.5">
      <c r="A52" s="3140" t="s">
        <v>3042</v>
      </c>
    </row>
    <row r="53" spans="1:6">
      <c r="A53" t="s">
        <v>2957</v>
      </c>
      <c r="B53" t="s">
        <v>3043</v>
      </c>
      <c r="E53" t="s">
        <v>2987</v>
      </c>
      <c r="F53" s="3141">
        <v>41901</v>
      </c>
    </row>
    <row r="54" spans="1:6">
      <c r="A54" t="s">
        <v>2959</v>
      </c>
      <c r="B54" t="s">
        <v>3043</v>
      </c>
      <c r="E54" t="s">
        <v>2988</v>
      </c>
      <c r="F54" s="3141">
        <v>41922</v>
      </c>
    </row>
    <row r="55" spans="1:6">
      <c r="A55" t="s">
        <v>2960</v>
      </c>
      <c r="B55" t="s">
        <v>3044</v>
      </c>
      <c r="E55" t="s">
        <v>2989</v>
      </c>
      <c r="F55" s="3141">
        <v>41922</v>
      </c>
    </row>
    <row r="56" spans="1:6">
      <c r="A56" t="s">
        <v>2961</v>
      </c>
      <c r="B56" t="s">
        <v>3045</v>
      </c>
      <c r="E56" t="s">
        <v>2990</v>
      </c>
      <c r="F56" s="3141">
        <v>41922</v>
      </c>
    </row>
    <row r="57" spans="1:6">
      <c r="A57" t="s">
        <v>2963</v>
      </c>
      <c r="B57" t="s">
        <v>2964</v>
      </c>
      <c r="E57" t="s">
        <v>2991</v>
      </c>
      <c r="F57" t="s">
        <v>2992</v>
      </c>
    </row>
    <row r="58" spans="1:6">
      <c r="A58" t="s">
        <v>2965</v>
      </c>
      <c r="B58" t="s">
        <v>3046</v>
      </c>
      <c r="E58" t="s">
        <v>2993</v>
      </c>
      <c r="F58" t="s">
        <v>3049</v>
      </c>
    </row>
    <row r="59" spans="1:6">
      <c r="A59" t="s">
        <v>2967</v>
      </c>
      <c r="B59" t="s">
        <v>2834</v>
      </c>
      <c r="E59" t="s">
        <v>2995</v>
      </c>
      <c r="F59" t="s">
        <v>3050</v>
      </c>
    </row>
    <row r="60" spans="1:6">
      <c r="A60" t="s">
        <v>2968</v>
      </c>
      <c r="B60">
        <v>7053.39</v>
      </c>
      <c r="E60" t="s">
        <v>2997</v>
      </c>
      <c r="F60" s="3142">
        <v>2.0000000000000001E-4</v>
      </c>
    </row>
    <row r="61" spans="1:6">
      <c r="A61" t="s">
        <v>2969</v>
      </c>
      <c r="B61">
        <v>3526.7</v>
      </c>
      <c r="E61" t="s">
        <v>2998</v>
      </c>
      <c r="F61" t="s">
        <v>3051</v>
      </c>
    </row>
    <row r="62" spans="1:6">
      <c r="A62" t="s">
        <v>2970</v>
      </c>
      <c r="B62" t="s">
        <v>3047</v>
      </c>
      <c r="E62" t="s">
        <v>3000</v>
      </c>
      <c r="F62" t="s">
        <v>3052</v>
      </c>
    </row>
    <row r="63" spans="1:6">
      <c r="A63" t="s">
        <v>2972</v>
      </c>
      <c r="B63" t="s">
        <v>3048</v>
      </c>
      <c r="E63" t="s">
        <v>3002</v>
      </c>
      <c r="F63" s="3143">
        <v>6034.77</v>
      </c>
    </row>
    <row r="64" spans="1:6">
      <c r="A64" t="s">
        <v>2974</v>
      </c>
      <c r="B64" t="s">
        <v>2834</v>
      </c>
      <c r="E64" t="s">
        <v>3003</v>
      </c>
      <c r="F64" t="s">
        <v>3053</v>
      </c>
    </row>
    <row r="65" spans="1:6">
      <c r="A65" t="s">
        <v>2976</v>
      </c>
      <c r="B65" t="s">
        <v>2834</v>
      </c>
      <c r="E65" t="s">
        <v>3005</v>
      </c>
      <c r="F65" t="s">
        <v>3054</v>
      </c>
    </row>
    <row r="66" spans="1:6">
      <c r="A66" t="s">
        <v>2978</v>
      </c>
      <c r="B66" t="s">
        <v>2834</v>
      </c>
      <c r="E66" t="s">
        <v>3007</v>
      </c>
      <c r="F66" t="s">
        <v>3055</v>
      </c>
    </row>
    <row r="67" spans="1:6">
      <c r="A67" t="s">
        <v>2979</v>
      </c>
      <c r="B67" t="s">
        <v>2834</v>
      </c>
      <c r="E67" t="s">
        <v>3009</v>
      </c>
      <c r="F67" t="s">
        <v>3056</v>
      </c>
    </row>
    <row r="68" spans="1:6">
      <c r="A68" t="s">
        <v>2981</v>
      </c>
      <c r="B68" t="s">
        <v>2982</v>
      </c>
      <c r="E68" t="s">
        <v>3011</v>
      </c>
      <c r="F68" t="s">
        <v>3057</v>
      </c>
    </row>
    <row r="69" spans="1:6">
      <c r="A69" t="s">
        <v>2983</v>
      </c>
      <c r="B69" t="s">
        <v>2834</v>
      </c>
      <c r="E69" t="s">
        <v>3012</v>
      </c>
      <c r="F69" t="s">
        <v>2834</v>
      </c>
    </row>
    <row r="70" spans="1:6">
      <c r="A70" t="s">
        <v>2984</v>
      </c>
      <c r="B70" t="s">
        <v>2834</v>
      </c>
      <c r="E70" t="s">
        <v>3013</v>
      </c>
      <c r="F70" t="s">
        <v>3058</v>
      </c>
    </row>
    <row r="71" spans="1:6">
      <c r="A71" t="s">
        <v>2985</v>
      </c>
      <c r="B71" t="s">
        <v>2834</v>
      </c>
      <c r="E71" t="s">
        <v>3015</v>
      </c>
      <c r="F71" t="s">
        <v>3059</v>
      </c>
    </row>
    <row r="72" spans="1:6">
      <c r="A72" t="s">
        <v>2986</v>
      </c>
      <c r="B72" t="s">
        <v>2834</v>
      </c>
      <c r="E72" t="s">
        <v>3017</v>
      </c>
      <c r="F72" t="s">
        <v>3060</v>
      </c>
    </row>
    <row r="73" spans="1:6">
      <c r="E73" t="s">
        <v>3019</v>
      </c>
      <c r="F73" t="s">
        <v>3020</v>
      </c>
    </row>
    <row r="74" spans="1:6">
      <c r="E74" t="s">
        <v>3021</v>
      </c>
      <c r="F74" t="s">
        <v>2834</v>
      </c>
    </row>
  </sheetData>
  <phoneticPr fontId="23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1908</v>
      </c>
    </row>
    <row r="2" spans="1:4">
      <c r="A2" s="1785"/>
    </row>
    <row r="3" spans="1:4" ht="18.75">
      <c r="A3" s="1803" t="str">
        <f>项目基本情况!B5&amp;"："</f>
        <v>新世界中国地产（海口）有限公司：</v>
      </c>
    </row>
    <row r="4" spans="1:4" ht="37.5">
      <c r="A4" s="1797" t="str">
        <f>"受贵公司委托，我公司对"&amp;项目基本情况!K2&amp;项目基本情况!B9&amp;"进行了预评估。"</f>
        <v>受贵公司委托，我公司对海口市海南省海口市海甸岛西北部1902地块1宗批发零售用地出让国有建设用地使用权抵押价格进行了预评估。</v>
      </c>
    </row>
    <row r="5" spans="1:4" ht="18.75">
      <c r="A5" s="1800" t="s">
        <v>1909</v>
      </c>
    </row>
    <row r="6" spans="1:4" ht="93.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新世界中国地产（海口）有限公司使用的、位于海口市海南省海口市海甸岛西北部1902地块1宗批发零售用地出让国有建设用地使用权。根据《国有土地使用证》[]，估价对象（分摊）出让国有建设用地使用权面积为70250.03平方米。根据《建设工程规划许可证》[]、《出让合同》[]，估价对象规划建筑面积为129001.58平方米。</v>
      </c>
    </row>
    <row r="7" spans="1:4" ht="93.75">
      <c r="A7" s="2912" t="s">
        <v>2764</v>
      </c>
    </row>
    <row r="8" spans="1:4" ht="18.75">
      <c r="A8" s="1800" t="s">
        <v>1910</v>
      </c>
    </row>
    <row r="9" spans="1:4" ht="75">
      <c r="A9" s="1802" t="str">
        <f>IF(项目基本情况!B8="抵押",IF(项目基本情况!B5=项目基本情况!B6,定义!C51,定义!B51),定义!D51)</f>
        <v>委托估价方在向金融机构（昌江黎族自治县农村信用合作联社）办理贷款手续过程中，特委托北京康正宏基房地产评估有限公司对估价对象进行评估。本次评估为确定标的物之抵押贷款额度提供参考依据而评估出让国有建设用地使用权抵押价格。</v>
      </c>
    </row>
    <row r="10" spans="1:4" ht="18.75">
      <c r="A10" s="1803" t="s">
        <v>2036</v>
      </c>
    </row>
    <row r="11" spans="1:4" ht="18.75">
      <c r="A11" s="1786" t="str">
        <f>TEXT(项目基本情况!D3,"yyyy年m月d日;;")&amp;IF(项目基本情况!B3=项目基本情况!D3,"（评估专业人员勘察现场之日）","")</f>
        <v>2017年6月26日</v>
      </c>
    </row>
    <row r="12" spans="1:4" ht="18.75">
      <c r="A12" s="1803" t="s">
        <v>2035</v>
      </c>
    </row>
    <row r="13" spans="1:4" ht="18.75">
      <c r="A13" s="1797" t="s">
        <v>2081</v>
      </c>
    </row>
    <row r="14" spans="1:4" ht="37.5">
      <c r="A14" s="1797" t="str">
        <f>"根据"&amp;项目基本情况!F12&amp;"，本次评估估价对象证载（地类）用途为"&amp;项目基本情况!B12&amp;"。"</f>
        <v>根据《国有土地使用证》[]，本次评估估价对象证载（地类）用途为批发零售用地。</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本次评估设定用途即为证载用途批发零售用地。</v>
      </c>
      <c r="C15" s="1787"/>
      <c r="D15" s="1788"/>
    </row>
    <row r="16" spans="1:4" ht="18.75">
      <c r="A16" s="1797" t="s">
        <v>2082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2083</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根据《国有土地使用证》[]，估价对象（分摊）出让国有建设用地使用权面积为70250.03平方米。根据《建设工程规划许可证》[]、《出让合同》[]，估价对象规划建筑面积为129001.58平方米。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2084</v>
      </c>
    </row>
    <row r="23" spans="1:1" ht="18.75">
      <c r="A23" s="2914" t="s">
        <v>2765</v>
      </c>
    </row>
    <row r="24" spans="1:1" ht="18.75">
      <c r="A24" s="1797" t="s">
        <v>2085</v>
      </c>
    </row>
    <row r="25" spans="1:1" ht="93.75">
      <c r="A25" s="1797" t="str">
        <f>定义!C53</f>
        <v>本次估价的“出让国有建设用地使用权价格”是指在估价对象土地所有权为国家所有，使用权性质为出让，在公开市场条件下、于估价期日2017年6月26日，在规划利用条件下、设定土地开发程度为红线外“七通”、宗地内场地，设定用途为批发零售用地，剩余土地使用年限为的出让国有建设用地使用权价格。</v>
      </c>
    </row>
    <row r="26" spans="1:1" ht="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7" t="str">
        <f>IF(项目基本情况!E9="——","",定义!C57)</f>
        <v/>
      </c>
    </row>
    <row r="29" spans="1:1" ht="18.75">
      <c r="A29" s="1803" t="s">
        <v>2037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2804</v>
      </c>
      <c r="C1" s="3043">
        <f>项目基本情况!D3</f>
        <v>42912</v>
      </c>
      <c r="H1" s="2977">
        <f>IF(C1&gt;C13,0,MATCH(C1,C$13:C$100,-1))+IF(SUMIF(C13:C100,C1,D13:D100)=0,13,12)</f>
        <v>13</v>
      </c>
      <c r="I1" s="2977">
        <f>MATCH(C2,H3:H7,1)+IF(SUMIF(H3:H7,C2,I3:I7)=0,2,1)</f>
        <v>5</v>
      </c>
      <c r="J1" s="3036">
        <f ca="1">MATCH(C3,H3:H7,1)+IF(SUMIF(H3:H7,C3,J3:J7)=0,2,1)</f>
        <v>2</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2835</v>
      </c>
      <c r="C2" s="3044">
        <f>'数据-取费表'!B22</f>
        <v>2.5</v>
      </c>
      <c r="D2" s="3039" t="s">
        <v>2805</v>
      </c>
      <c r="E2" s="3042">
        <f ca="1">INDIRECT("I"&amp;$I$1)/100</f>
        <v>4.7500000000000001E-2</v>
      </c>
      <c r="G2" s="2979"/>
      <c r="H2" s="2979"/>
      <c r="I2" s="2979" t="s">
        <v>2806</v>
      </c>
      <c r="K2" s="2979"/>
      <c r="L2" s="2979"/>
      <c r="M2" s="2979"/>
      <c r="N2" s="2979" t="s">
        <v>2807</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2837</v>
      </c>
      <c r="C3" s="3041">
        <f>'数据-取费表'!B19</f>
        <v>0</v>
      </c>
      <c r="D3" s="3039" t="s">
        <v>2805</v>
      </c>
      <c r="E3" s="3042">
        <f ca="1">INDIRECT("J"&amp;$J$1)/100</f>
        <v>0</v>
      </c>
      <c r="G3" s="2981" t="s">
        <v>2808</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2836</v>
      </c>
      <c r="C4" s="3042">
        <f ca="1">N4/100</f>
        <v>1.4999999999999999E-2</v>
      </c>
      <c r="G4" s="2987" t="s">
        <v>2809</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2810</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2811</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2812</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2813</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2814</v>
      </c>
      <c r="C10" s="3006"/>
      <c r="D10" s="3006"/>
      <c r="E10" s="3006"/>
      <c r="F10" s="3006"/>
      <c r="G10" s="3006"/>
      <c r="H10" s="3006"/>
      <c r="I10" s="2980"/>
      <c r="J10" s="2980"/>
      <c r="K10" s="3006"/>
      <c r="L10" s="3007" t="s">
        <v>2815</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2816</v>
      </c>
      <c r="C11" s="3011" t="s">
        <v>2817</v>
      </c>
      <c r="D11" s="3012" t="s">
        <v>2818</v>
      </c>
      <c r="E11" s="3013"/>
      <c r="F11" s="3012" t="s">
        <v>2819</v>
      </c>
      <c r="G11" s="3014"/>
      <c r="H11" s="3013"/>
      <c r="I11" s="3012" t="s">
        <v>2820</v>
      </c>
      <c r="J11" s="3013"/>
      <c r="K11" s="3009"/>
      <c r="L11" s="3010" t="s">
        <v>2816</v>
      </c>
      <c r="M11" s="3011" t="s">
        <v>2817</v>
      </c>
      <c r="N11" s="3010" t="s">
        <v>2821</v>
      </c>
      <c r="O11" s="3012" t="s">
        <v>2822</v>
      </c>
      <c r="P11" s="3014"/>
      <c r="Q11" s="3014"/>
      <c r="R11" s="3014"/>
      <c r="S11" s="3014"/>
      <c r="T11" s="3013"/>
      <c r="U11" s="3012" t="s">
        <v>2823</v>
      </c>
      <c r="V11" s="3014"/>
      <c r="W11" s="3013"/>
      <c r="X11" s="3010" t="s">
        <v>2824</v>
      </c>
      <c r="Y11" s="3010" t="s">
        <v>2825</v>
      </c>
      <c r="Z11" s="3010" t="s">
        <v>2826</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2827</v>
      </c>
      <c r="E12" s="3019" t="s">
        <v>2828</v>
      </c>
      <c r="F12" s="3019" t="s">
        <v>2829</v>
      </c>
      <c r="G12" s="3019" t="s">
        <v>2830</v>
      </c>
      <c r="H12" s="3019" t="s">
        <v>2812</v>
      </c>
      <c r="I12" s="3020" t="s">
        <v>2831</v>
      </c>
      <c r="J12" s="3020" t="s">
        <v>2831</v>
      </c>
      <c r="K12" s="3016"/>
      <c r="L12" s="3017"/>
      <c r="M12" s="3018"/>
      <c r="N12" s="3017"/>
      <c r="O12" s="3020" t="s">
        <v>2832</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2833</v>
      </c>
      <c r="C13" s="3024">
        <v>42301</v>
      </c>
      <c r="D13" s="3025">
        <v>4.3499999999999996</v>
      </c>
      <c r="E13" s="3025">
        <v>4.3499999999999996</v>
      </c>
      <c r="F13" s="3025">
        <v>4.75</v>
      </c>
      <c r="G13" s="3025">
        <v>4.75</v>
      </c>
      <c r="H13" s="3025">
        <v>4.9000000000000004</v>
      </c>
      <c r="I13" s="3025">
        <v>2.75</v>
      </c>
      <c r="J13" s="3025">
        <v>3.25</v>
      </c>
      <c r="K13" s="3022"/>
      <c r="L13" s="3023" t="s">
        <v>2833</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2834</v>
      </c>
      <c r="Y42" s="3029" t="s">
        <v>2834</v>
      </c>
      <c r="Z42" s="3029" t="s">
        <v>2834</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2834</v>
      </c>
      <c r="Y43" s="3029" t="s">
        <v>2834</v>
      </c>
      <c r="Z43" s="3029" t="s">
        <v>2834</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2834</v>
      </c>
      <c r="Y44" s="3029" t="s">
        <v>2834</v>
      </c>
      <c r="Z44" s="3029" t="s">
        <v>2834</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2834</v>
      </c>
      <c r="Y45" s="3029" t="s">
        <v>2834</v>
      </c>
      <c r="Z45" s="3029" t="s">
        <v>2834</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2834</v>
      </c>
      <c r="Y46" s="3029" t="s">
        <v>2834</v>
      </c>
      <c r="Z46" s="3029" t="s">
        <v>2834</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2834</v>
      </c>
      <c r="Y47" s="3029" t="s">
        <v>2834</v>
      </c>
      <c r="Z47" s="3029" t="s">
        <v>2834</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2834</v>
      </c>
      <c r="Y48" s="3029" t="s">
        <v>2834</v>
      </c>
      <c r="Z48" s="3029" t="s">
        <v>2834</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2834</v>
      </c>
      <c r="Y49" s="3029" t="s">
        <v>2834</v>
      </c>
      <c r="Z49" s="3029" t="s">
        <v>2834</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2834</v>
      </c>
      <c r="Y50" s="3029" t="s">
        <v>2834</v>
      </c>
      <c r="Z50" s="3029" t="s">
        <v>2834</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2834</v>
      </c>
      <c r="V51" s="3029" t="s">
        <v>2834</v>
      </c>
      <c r="W51" s="3029" t="s">
        <v>2834</v>
      </c>
      <c r="X51" s="3029" t="s">
        <v>2834</v>
      </c>
      <c r="Y51" s="3029" t="s">
        <v>2834</v>
      </c>
      <c r="Z51" s="3029" t="s">
        <v>2834</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2834</v>
      </c>
      <c r="J55" s="3029" t="s">
        <v>2834</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7" t="s">
        <v>2048</v>
      </c>
      <c r="B1" s="3177"/>
      <c r="C1" s="3177"/>
      <c r="D1" s="3177"/>
      <c r="E1" s="3177"/>
      <c r="F1" s="3177"/>
      <c r="G1" s="3177"/>
      <c r="H1" s="3177"/>
      <c r="I1" s="3177"/>
      <c r="J1" s="3177"/>
      <c r="K1" s="3177"/>
      <c r="L1" s="3177"/>
      <c r="M1" s="3177"/>
      <c r="N1" s="3177"/>
      <c r="O1" s="3177"/>
      <c r="P1" s="3177"/>
      <c r="Q1" s="3177"/>
      <c r="R1" s="3177"/>
    </row>
    <row r="2" spans="1:18">
      <c r="A2" s="1813" t="s">
        <v>2050</v>
      </c>
      <c r="B2" s="1813"/>
      <c r="C2" s="1813"/>
      <c r="D2" s="1813"/>
      <c r="E2" s="1813"/>
      <c r="F2" s="1813"/>
      <c r="G2" s="1813"/>
      <c r="H2" s="1813"/>
      <c r="I2" s="1814"/>
      <c r="J2" s="1814"/>
      <c r="K2" s="1815" t="str">
        <f>"估价期日："&amp;TEXT(项目基本情况!D3,"yyyy年m月d日;;")</f>
        <v>估价期日：2017年6月26日</v>
      </c>
      <c r="L2" s="1813"/>
      <c r="M2" s="1813"/>
      <c r="N2" s="1813"/>
      <c r="O2" s="1813"/>
      <c r="P2" s="1813"/>
      <c r="Q2" s="1813"/>
      <c r="R2" s="1815" t="str">
        <f>"估价期日的国有建设用地使用权性质："&amp;项目基本情况!B16</f>
        <v>估价期日的国有建设用地使用权性质：出让</v>
      </c>
    </row>
    <row r="3" spans="1:18" ht="23.25" customHeight="1">
      <c r="A3" s="3178" t="s">
        <v>2039</v>
      </c>
      <c r="B3" s="3178" t="s">
        <v>2747</v>
      </c>
      <c r="C3" s="3179" t="s">
        <v>2040</v>
      </c>
      <c r="D3" s="3178" t="s">
        <v>2751</v>
      </c>
      <c r="E3" s="3181" t="s">
        <v>2041</v>
      </c>
      <c r="F3" s="3181"/>
      <c r="G3" s="3181"/>
      <c r="H3" s="3181" t="s">
        <v>2042</v>
      </c>
      <c r="I3" s="3181"/>
      <c r="J3" s="3181"/>
      <c r="K3" s="3179" t="s">
        <v>2043</v>
      </c>
      <c r="L3" s="3179" t="s">
        <v>2044</v>
      </c>
      <c r="M3" s="3178" t="s">
        <v>2748</v>
      </c>
      <c r="N3" s="3180" t="str">
        <f>"（分摊）"&amp;项目基本情况!B16&amp;"国有建设用地使用权面积/㎡"</f>
        <v>（分摊）出让国有建设用地使用权面积/㎡</v>
      </c>
      <c r="O3" s="3178" t="s">
        <v>2073</v>
      </c>
      <c r="P3" s="3179" t="s">
        <v>2053</v>
      </c>
      <c r="Q3" s="3179" t="s">
        <v>2074</v>
      </c>
      <c r="R3" s="3179" t="s">
        <v>2045</v>
      </c>
    </row>
    <row r="4" spans="1:18" ht="36.75" customHeight="1">
      <c r="A4" s="3178"/>
      <c r="B4" s="3178"/>
      <c r="C4" s="3179"/>
      <c r="D4" s="3178"/>
      <c r="E4" s="2685" t="s">
        <v>2052</v>
      </c>
      <c r="F4" s="2685" t="s">
        <v>2760</v>
      </c>
      <c r="G4" s="2685" t="s">
        <v>2046</v>
      </c>
      <c r="H4" s="2685" t="s">
        <v>2047</v>
      </c>
      <c r="I4" s="2685" t="s">
        <v>2761</v>
      </c>
      <c r="J4" s="2685" t="s">
        <v>2046</v>
      </c>
      <c r="K4" s="3179"/>
      <c r="L4" s="3179"/>
      <c r="M4" s="3178"/>
      <c r="N4" s="3180"/>
      <c r="O4" s="3178"/>
      <c r="P4" s="3179"/>
      <c r="Q4" s="3179"/>
      <c r="R4" s="3179"/>
    </row>
    <row r="5" spans="1:18" ht="135" customHeight="1">
      <c r="A5" s="1949" t="s">
        <v>2671</v>
      </c>
      <c r="B5" s="2906" t="s">
        <v>2669</v>
      </c>
      <c r="C5" s="2684">
        <v>22</v>
      </c>
      <c r="D5" s="2683" t="s">
        <v>2670</v>
      </c>
      <c r="E5" s="1816" t="str">
        <f>项目基本情况!B12</f>
        <v>批发零售用地</v>
      </c>
      <c r="F5" s="2683">
        <v>258</v>
      </c>
      <c r="G5" s="1816" t="str">
        <f>项目基本情况!B13</f>
        <v>批发零售用地</v>
      </c>
      <c r="H5" s="2683">
        <v>1.5</v>
      </c>
      <c r="I5" s="2683">
        <v>1.5</v>
      </c>
      <c r="J5" s="2683">
        <v>1.5</v>
      </c>
      <c r="K5" s="1816" t="str">
        <f>"红线外"&amp;项目基本情况!T40&amp;"、宗地红线内"&amp;项目基本情况!B35</f>
        <v>红线外七通、宗地红线内</v>
      </c>
      <c r="L5" s="1816" t="str">
        <f>"红线外"&amp;项目基本情况!T40&amp;"、宗地红线内场地"&amp;项目基本情况!D36</f>
        <v>红线外七通、宗地红线内场地</v>
      </c>
      <c r="M5" s="1816">
        <f>IF(项目基本情况!B16="出让",项目基本情况!D20,"——")</f>
        <v>0</v>
      </c>
      <c r="N5" s="1816">
        <f>项目基本情况!C22</f>
        <v>70250.03</v>
      </c>
      <c r="O5" s="1816">
        <f>项目基本情况!C21</f>
        <v>129001.58</v>
      </c>
      <c r="P5" s="1816">
        <f ca="1">结果表!E42</f>
        <v>8024</v>
      </c>
      <c r="Q5" s="1816">
        <f ca="1">结果表!D42</f>
        <v>4370</v>
      </c>
      <c r="R5" s="1817">
        <f ca="1">结果表!C42</f>
        <v>56369</v>
      </c>
    </row>
    <row r="6" spans="1:18">
      <c r="A6" s="3182" t="s">
        <v>2005</v>
      </c>
      <c r="B6" s="3183"/>
      <c r="C6" s="3183"/>
      <c r="D6" s="3183"/>
      <c r="E6" s="3183"/>
      <c r="F6" s="3183"/>
      <c r="G6" s="3183"/>
      <c r="H6" s="3183"/>
      <c r="I6" s="3183"/>
      <c r="J6" s="3183"/>
      <c r="K6" s="3183"/>
      <c r="L6" s="3183"/>
      <c r="M6" s="3183"/>
      <c r="N6" s="3183"/>
      <c r="O6" s="3183"/>
      <c r="P6" s="3183"/>
      <c r="Q6" s="3184"/>
      <c r="R6" s="1818">
        <f ca="1">结果表!O39</f>
        <v>56369</v>
      </c>
    </row>
    <row r="7" spans="1:18">
      <c r="A7" s="3182" t="str">
        <f>IF(项目基本情况!E8="已注销及未注销","抵押担保权已注销时的抵押价格","——")</f>
        <v>——</v>
      </c>
      <c r="B7" s="3183"/>
      <c r="C7" s="3183"/>
      <c r="D7" s="3183"/>
      <c r="E7" s="3183"/>
      <c r="F7" s="3183"/>
      <c r="G7" s="3183"/>
      <c r="H7" s="3183"/>
      <c r="I7" s="3183"/>
      <c r="J7" s="3183"/>
      <c r="K7" s="3183"/>
      <c r="L7" s="3183"/>
      <c r="M7" s="3183"/>
      <c r="N7" s="3183"/>
      <c r="O7" s="3183"/>
      <c r="P7" s="3183"/>
      <c r="Q7" s="3184"/>
      <c r="R7" s="1818" t="str">
        <f>结果表!O40</f>
        <v>——</v>
      </c>
    </row>
    <row r="8" spans="1:18">
      <c r="A8" s="3182" t="str">
        <f>项目基本情况!E9</f>
        <v>——</v>
      </c>
      <c r="B8" s="3183"/>
      <c r="C8" s="3183"/>
      <c r="D8" s="3183"/>
      <c r="E8" s="3183"/>
      <c r="F8" s="3183"/>
      <c r="G8" s="3183"/>
      <c r="H8" s="3183"/>
      <c r="I8" s="3183"/>
      <c r="J8" s="3183"/>
      <c r="K8" s="3183"/>
      <c r="L8" s="3183"/>
      <c r="M8" s="3183"/>
      <c r="N8" s="3183"/>
      <c r="O8" s="3183"/>
      <c r="P8" s="3183"/>
      <c r="Q8" s="3184"/>
      <c r="R8" s="1818" t="str">
        <f>结果表!O41</f>
        <v>——</v>
      </c>
    </row>
    <row r="9" spans="1:18">
      <c r="A9" s="1819" t="s">
        <v>2051</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2038</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3" zoomScale="80" zoomScalePageLayoutView="80" workbookViewId="0">
      <selection activeCell="A15" sqref="A15:D15"/>
    </sheetView>
  </sheetViews>
  <sheetFormatPr defaultRowHeight="14.25"/>
  <cols>
    <col min="1" max="1" width="15.75" style="1808" customWidth="1"/>
    <col min="2" max="3" width="21.375" style="1808" customWidth="1"/>
    <col min="4" max="4" width="19.875" style="1808" customWidth="1"/>
    <col min="5" max="16384" width="9" style="1808"/>
  </cols>
  <sheetData>
    <row r="1" spans="1:4">
      <c r="A1" s="3185" t="s">
        <v>2075</v>
      </c>
      <c r="B1" s="3185"/>
      <c r="C1" s="3185"/>
      <c r="D1" s="3185"/>
    </row>
    <row r="2" spans="1:4" ht="47.25" customHeight="1">
      <c r="A2" s="3189" t="str">
        <f>"1.权利限制："&amp;项目基本情况!L24&amp;"未设定租赁等其他他项权利。"</f>
        <v>1.权利限制：根据估价对象《不动产权证书》原件、《国有土地使用权》复印件，截至估价期日，估价对象抵押权未见登记。未设定租赁等其他他项权利。</v>
      </c>
      <c r="B2" s="3189"/>
      <c r="C2" s="3189"/>
      <c r="D2" s="3189"/>
    </row>
    <row r="3" spans="1:4" ht="48" customHeight="1">
      <c r="A3" s="31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5"/>
      <c r="C3" s="3185"/>
      <c r="D3" s="3185"/>
    </row>
    <row r="4" spans="1:4" ht="36.75" customHeight="1">
      <c r="A4" s="3185" t="str">
        <f>"3.估价规划限制条件：详见"&amp;项目基本情况!E21&amp;"。"</f>
        <v>3.估价规划限制条件：详见《建设工程规划许可证》[]、《出让合同》[]。</v>
      </c>
      <c r="B4" s="3185"/>
      <c r="C4" s="3185"/>
      <c r="D4" s="3185"/>
    </row>
    <row r="5" spans="1:4">
      <c r="A5" s="3188" t="s">
        <v>2076</v>
      </c>
      <c r="B5" s="3188"/>
      <c r="C5" s="3188"/>
      <c r="D5" s="3188"/>
    </row>
    <row r="6" spans="1:4">
      <c r="A6" s="3185" t="s">
        <v>2054</v>
      </c>
      <c r="B6" s="3185"/>
      <c r="C6" s="3185"/>
      <c r="D6" s="3185"/>
    </row>
    <row r="7" spans="1:4" ht="33" customHeight="1">
      <c r="A7" s="3185" t="s">
        <v>2589</v>
      </c>
      <c r="B7" s="3185"/>
      <c r="C7" s="3185"/>
      <c r="D7" s="3185"/>
    </row>
    <row r="8" spans="1:4" ht="32.25" customHeight="1">
      <c r="A8" s="3185" t="str">
        <f>IF(项目基本情况!B8="抵押","2.本《评估意见函》仅供金融机构进行内部审核使用，不做其他目的之用。","")</f>
        <v>2.本《评估意见函》仅供金融机构进行内部审核使用，不做其他目的之用。</v>
      </c>
      <c r="B8" s="3185"/>
      <c r="C8" s="3185"/>
      <c r="D8" s="3185"/>
    </row>
    <row r="9" spans="1:4" ht="33.75" customHeight="1">
      <c r="A9" s="31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5"/>
      <c r="C9" s="3185"/>
      <c r="D9" s="3185"/>
    </row>
    <row r="10" spans="1:4">
      <c r="A10" s="3185" t="str">
        <f>IF(项目基本情况!B8="抵押","4.估价师所知悉的法定优先受偿款情况为：","")</f>
        <v>4.估价师所知悉的法定优先受偿款情况为：</v>
      </c>
      <c r="B10" s="3185"/>
      <c r="C10" s="3185"/>
      <c r="D10" s="3185"/>
    </row>
    <row r="11" spans="1:4" ht="37.5" customHeight="1">
      <c r="A11" s="318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7"/>
      <c r="C11" s="3187"/>
      <c r="D11" s="3187"/>
    </row>
    <row r="12" spans="1:4" ht="168" customHeight="1">
      <c r="A12" s="3188" t="s">
        <v>2078</v>
      </c>
      <c r="B12" s="3188"/>
      <c r="C12" s="3188"/>
      <c r="D12" s="3188"/>
    </row>
    <row r="13" spans="1:4">
      <c r="A13" s="3186" t="s">
        <v>2762</v>
      </c>
      <c r="B13" s="3186"/>
      <c r="C13" s="3186"/>
      <c r="D13" s="3186"/>
    </row>
    <row r="14" spans="1:4">
      <c r="A14" s="3187" t="str">
        <f>IF(项目基本情况!B8="抵押","综上，"&amp;结果表!K47,"")</f>
        <v>综上，本次评估不存在估价师知悉的法定优先受偿款</v>
      </c>
      <c r="B14" s="3187"/>
      <c r="C14" s="3187"/>
      <c r="D14" s="3187"/>
    </row>
    <row r="15" spans="1:4" ht="58.5" customHeight="1">
      <c r="A15" s="3185"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5"/>
      <c r="C15" s="3185"/>
      <c r="D15" s="3185"/>
    </row>
    <row r="16" spans="1:4" ht="70.5" customHeight="1">
      <c r="A16" s="3185"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5"/>
      <c r="C16" s="3185"/>
      <c r="D16" s="3185"/>
    </row>
    <row r="17" spans="1:4">
      <c r="A17" s="3185" t="s">
        <v>2718</v>
      </c>
      <c r="B17" s="3185"/>
      <c r="C17" s="3185"/>
      <c r="D17" s="3185"/>
    </row>
    <row r="18" spans="1:4">
      <c r="A18" s="3185" t="s">
        <v>2710</v>
      </c>
      <c r="B18" s="3185"/>
      <c r="C18" s="3185"/>
      <c r="D18" s="3185"/>
    </row>
    <row r="19" spans="1:4">
      <c r="A19" s="2907" t="s">
        <v>2711</v>
      </c>
      <c r="B19" s="2907" t="s">
        <v>2712</v>
      </c>
      <c r="C19" s="2907" t="s">
        <v>2713</v>
      </c>
      <c r="D19" s="2907" t="s">
        <v>2714</v>
      </c>
    </row>
    <row r="20" spans="1:4">
      <c r="A20" s="2907" t="str">
        <f>项目基本情况!B4</f>
        <v>刘梅</v>
      </c>
      <c r="B20" s="2907">
        <f ca="1">项目基本情况!C4</f>
        <v>2008110059</v>
      </c>
      <c r="C20" s="2909"/>
      <c r="D20" s="1806" t="s">
        <v>2719</v>
      </c>
    </row>
    <row r="21" spans="1:4">
      <c r="A21" s="2907" t="str">
        <f>项目基本情况!D4</f>
        <v>吴薇</v>
      </c>
      <c r="B21" s="2907">
        <f ca="1">项目基本情况!E4</f>
        <v>2002110125</v>
      </c>
      <c r="C21" s="2909"/>
      <c r="D21" s="1806" t="s">
        <v>2720</v>
      </c>
    </row>
    <row r="23" spans="1:4">
      <c r="A23" s="3185" t="s">
        <v>2715</v>
      </c>
      <c r="B23" s="3185"/>
      <c r="C23" s="3185"/>
      <c r="D23" s="3185"/>
    </row>
    <row r="24" spans="1:4">
      <c r="A24" s="2907" t="s">
        <v>2711</v>
      </c>
      <c r="B24" s="2907" t="s">
        <v>2716</v>
      </c>
      <c r="C24" s="2907" t="s">
        <v>2713</v>
      </c>
      <c r="D24" s="2907" t="s">
        <v>2714</v>
      </c>
    </row>
    <row r="25" spans="1:4">
      <c r="A25" s="2910" t="s">
        <v>2717</v>
      </c>
      <c r="B25" s="2907" t="s">
        <v>954</v>
      </c>
      <c r="C25" s="2909"/>
      <c r="D25" s="1806" t="s">
        <v>2720</v>
      </c>
    </row>
    <row r="29" spans="1:4">
      <c r="D29" s="2908" t="s">
        <v>2049</v>
      </c>
    </row>
    <row r="30" spans="1:4">
      <c r="D30" s="29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874</v>
      </c>
    </row>
    <row r="13" spans="1:7">
      <c r="A13" s="1174" t="s">
        <v>52</v>
      </c>
    </row>
    <row r="15" spans="1:7" ht="14.25">
      <c r="A15" s="3197" t="s">
        <v>53</v>
      </c>
      <c r="B15" s="3198" t="s">
        <v>848</v>
      </c>
      <c r="C15" s="3194"/>
    </row>
    <row r="16" spans="1:7" ht="14.25">
      <c r="A16" s="3197"/>
      <c r="B16" s="3195" t="s">
        <v>54</v>
      </c>
      <c r="C16" s="1175" t="s">
        <v>53</v>
      </c>
    </row>
    <row r="17" spans="1:3" ht="14.25">
      <c r="A17" s="3197"/>
      <c r="B17" s="3195"/>
      <c r="C17" s="1175" t="s">
        <v>55</v>
      </c>
    </row>
    <row r="18" spans="1:3" ht="14.25">
      <c r="A18" s="3197"/>
      <c r="B18" s="3195"/>
      <c r="C18" s="1175" t="s">
        <v>56</v>
      </c>
    </row>
    <row r="19" spans="1:3" ht="14.25">
      <c r="A19" s="3197"/>
      <c r="B19" s="3193" t="s">
        <v>57</v>
      </c>
      <c r="C19" s="3194"/>
    </row>
    <row r="20" spans="1:3" ht="14.25">
      <c r="A20" s="1176" t="s">
        <v>58</v>
      </c>
      <c r="B20" s="1177"/>
      <c r="C20" s="1178"/>
    </row>
    <row r="21" spans="1:3" ht="14.25">
      <c r="A21" s="3196" t="s">
        <v>59</v>
      </c>
      <c r="B21" s="3193" t="s">
        <v>60</v>
      </c>
      <c r="C21" s="3194"/>
    </row>
    <row r="22" spans="1:3" ht="14.25">
      <c r="A22" s="3196"/>
      <c r="B22" s="3193" t="s">
        <v>61</v>
      </c>
      <c r="C22" s="3194"/>
    </row>
    <row r="23" spans="1:3" ht="14.25">
      <c r="A23" s="3196"/>
      <c r="B23" s="3193" t="s">
        <v>62</v>
      </c>
      <c r="C23" s="3194"/>
    </row>
    <row r="24" spans="1:3" ht="14.25">
      <c r="A24" s="3196"/>
      <c r="B24" s="3199" t="s">
        <v>63</v>
      </c>
      <c r="C24" s="1179" t="s">
        <v>839</v>
      </c>
    </row>
    <row r="25" spans="1:3" ht="14.25">
      <c r="A25" s="3196"/>
      <c r="B25" s="3200"/>
      <c r="C25" s="1179" t="s">
        <v>840</v>
      </c>
    </row>
    <row r="26" spans="1:3" ht="14.25">
      <c r="A26" s="3196"/>
      <c r="B26" s="3200"/>
      <c r="C26" s="1179" t="s">
        <v>841</v>
      </c>
    </row>
    <row r="27" spans="1:3" ht="14.25">
      <c r="A27" s="3196"/>
      <c r="B27" s="3200"/>
      <c r="C27" s="1179" t="s">
        <v>842</v>
      </c>
    </row>
    <row r="28" spans="1:3" ht="14.25">
      <c r="A28" s="3196"/>
      <c r="B28" s="3200"/>
      <c r="C28" s="1179" t="s">
        <v>843</v>
      </c>
    </row>
    <row r="29" spans="1:3" ht="14.25">
      <c r="A29" s="3196"/>
      <c r="B29" s="3200"/>
      <c r="C29" s="1179" t="s">
        <v>844</v>
      </c>
    </row>
    <row r="30" spans="1:3" ht="14.25">
      <c r="A30" s="3196"/>
      <c r="B30" s="3200"/>
      <c r="C30" s="1179" t="s">
        <v>845</v>
      </c>
    </row>
    <row r="31" spans="1:3" ht="14.25">
      <c r="A31" s="3196"/>
      <c r="B31" s="3200"/>
      <c r="C31" s="1179" t="s">
        <v>846</v>
      </c>
    </row>
    <row r="32" spans="1:3" ht="14.25">
      <c r="A32" s="3196"/>
      <c r="B32" s="3200"/>
      <c r="C32" s="1179" t="s">
        <v>1649</v>
      </c>
    </row>
    <row r="33" spans="1:3" ht="14.25">
      <c r="A33" s="3196"/>
      <c r="B33" s="3190" t="s">
        <v>1655</v>
      </c>
      <c r="C33" s="1179" t="s">
        <v>1650</v>
      </c>
    </row>
    <row r="34" spans="1:3" ht="14.25">
      <c r="A34" s="3196"/>
      <c r="B34" s="3191"/>
      <c r="C34" s="1184" t="s">
        <v>1651</v>
      </c>
    </row>
    <row r="35" spans="1:3" ht="14.25">
      <c r="A35" s="3196"/>
      <c r="B35" s="3191"/>
      <c r="C35" s="1185" t="s">
        <v>1652</v>
      </c>
    </row>
    <row r="36" spans="1:3" ht="14.25">
      <c r="A36" s="3196"/>
      <c r="B36" s="3191"/>
      <c r="C36" s="1185" t="s">
        <v>1653</v>
      </c>
    </row>
    <row r="37" spans="1:3" ht="14.25">
      <c r="A37" s="3196"/>
      <c r="B37" s="3192"/>
      <c r="C37" s="1186" t="s">
        <v>1654</v>
      </c>
    </row>
    <row r="38" spans="1:3">
      <c r="A38" s="1180" t="s">
        <v>847</v>
      </c>
    </row>
    <row r="41" spans="1:3">
      <c r="A41" s="1180" t="s">
        <v>68</v>
      </c>
    </row>
    <row r="42" spans="1:3" ht="14.25">
      <c r="A42" s="1181" t="s">
        <v>855</v>
      </c>
    </row>
    <row r="43" spans="1:3" ht="14.25">
      <c r="A43" s="1182" t="s">
        <v>69</v>
      </c>
    </row>
    <row r="44" spans="1:3" ht="14.25">
      <c r="A44" s="1181" t="s">
        <v>854</v>
      </c>
    </row>
    <row r="45" spans="1:3" ht="14.25">
      <c r="A45" s="1183" t="s">
        <v>856</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E21" sqref="E21"/>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1911</v>
      </c>
      <c r="B2" s="1663">
        <f ca="1">TODAY()</f>
        <v>42913</v>
      </c>
      <c r="C2" s="2349" t="s">
        <v>1912</v>
      </c>
      <c r="D2" s="2350"/>
    </row>
    <row r="3" spans="1:6" ht="20.25" customHeight="1">
      <c r="A3" s="2352" t="s">
        <v>1913</v>
      </c>
      <c r="B3" s="2353" t="s">
        <v>1914</v>
      </c>
      <c r="C3" s="2353" t="s">
        <v>1915</v>
      </c>
      <c r="D3" s="2354" t="s">
        <v>1916</v>
      </c>
      <c r="E3" s="2353" t="s">
        <v>1917</v>
      </c>
      <c r="F3" s="2353" t="s">
        <v>1915</v>
      </c>
    </row>
    <row r="4" spans="1:6" ht="20.25" customHeight="1">
      <c r="A4" s="2353" t="s">
        <v>1918</v>
      </c>
      <c r="B4" s="2353">
        <f ca="1">IF(C4&lt;B2,"已过期",1119970066)</f>
        <v>1119970066</v>
      </c>
      <c r="C4" s="3045">
        <v>43849</v>
      </c>
      <c r="D4" s="2353" t="s">
        <v>1918</v>
      </c>
      <c r="E4" s="2353">
        <f ca="1">IF(F4&lt;B2,"已过期",96010014)</f>
        <v>96010014</v>
      </c>
      <c r="F4" s="3046">
        <v>47118</v>
      </c>
    </row>
    <row r="5" spans="1:6" ht="20.25" customHeight="1">
      <c r="A5" s="2353" t="s">
        <v>1919</v>
      </c>
      <c r="B5" s="2353">
        <f ca="1">IF(C5&lt;B2,"已过期",1119970074)</f>
        <v>1119970074</v>
      </c>
      <c r="C5" s="3045">
        <v>43849</v>
      </c>
      <c r="D5" s="2353" t="s">
        <v>1919</v>
      </c>
      <c r="E5" s="2353">
        <f ca="1">IF(F5&lt;B2,"已过期",2002110027)</f>
        <v>2002110027</v>
      </c>
      <c r="F5" s="3046">
        <v>46752</v>
      </c>
    </row>
    <row r="6" spans="1:6" ht="20.25" customHeight="1">
      <c r="A6" s="2353" t="s">
        <v>1920</v>
      </c>
      <c r="B6" s="2353">
        <f ca="1">IF(C6&lt;B2,"已过期",1119970111)</f>
        <v>1119970111</v>
      </c>
      <c r="C6" s="3045">
        <v>43849</v>
      </c>
      <c r="D6" s="2353" t="s">
        <v>1920</v>
      </c>
      <c r="E6" s="2353">
        <f ca="1">IF(F6&lt;B2,"已过期",94010078)</f>
        <v>94010078</v>
      </c>
      <c r="F6" s="3046">
        <v>46387</v>
      </c>
    </row>
    <row r="7" spans="1:6" ht="20.25" customHeight="1">
      <c r="A7" s="2353" t="s">
        <v>1921</v>
      </c>
      <c r="B7" s="2353">
        <f ca="1">IF(C7&lt;B2,"已过期",1120050019)</f>
        <v>1120050019</v>
      </c>
      <c r="C7" s="3045">
        <v>43359</v>
      </c>
      <c r="D7" s="2353" t="s">
        <v>1921</v>
      </c>
      <c r="E7" s="2353">
        <f ca="1">IF(F7&lt;B2,"已过期",2002110030)</f>
        <v>2002110030</v>
      </c>
      <c r="F7" s="3046">
        <v>46387</v>
      </c>
    </row>
    <row r="8" spans="1:6" ht="20.25" customHeight="1">
      <c r="A8" s="2353" t="s">
        <v>1922</v>
      </c>
      <c r="B8" s="2353">
        <f ca="1">IF(C8&lt;B2,"已过期",1120000080)</f>
        <v>1120000080</v>
      </c>
      <c r="C8" s="3045">
        <v>43849</v>
      </c>
      <c r="D8" s="2353" t="s">
        <v>1922</v>
      </c>
      <c r="E8" s="2353">
        <f ca="1">IF(F8&lt;B2,"已过期",2000110082)</f>
        <v>2000110082</v>
      </c>
      <c r="F8" s="3046">
        <v>46387</v>
      </c>
    </row>
    <row r="9" spans="1:6" ht="20.25" customHeight="1">
      <c r="A9" s="2353" t="s">
        <v>1923</v>
      </c>
      <c r="B9" s="2353">
        <f ca="1">IF(C9&lt;B2,"已过期",1419970001)</f>
        <v>1419970001</v>
      </c>
      <c r="C9" s="3045">
        <v>43867</v>
      </c>
      <c r="D9" s="2353" t="s">
        <v>1923</v>
      </c>
      <c r="E9" s="2353">
        <f ca="1">IF(F9&lt;B2,"已过期",2002110125)</f>
        <v>2002110125</v>
      </c>
      <c r="F9" s="3046">
        <v>47118</v>
      </c>
    </row>
    <row r="10" spans="1:6" ht="20.25" customHeight="1">
      <c r="A10" s="2353" t="s">
        <v>1924</v>
      </c>
      <c r="B10" s="2353">
        <f ca="1">IF(C10&lt;B2,"已过期",1120060040)</f>
        <v>1120060040</v>
      </c>
      <c r="C10" s="3045">
        <v>43483</v>
      </c>
      <c r="D10" s="2353" t="s">
        <v>1924</v>
      </c>
      <c r="E10" s="2353">
        <f ca="1">IF(F10&lt;B2,"已过期",2004110096)</f>
        <v>2004110096</v>
      </c>
      <c r="F10" s="3046">
        <v>47118</v>
      </c>
    </row>
    <row r="11" spans="1:6" ht="20.25" customHeight="1">
      <c r="A11" s="2353" t="s">
        <v>1925</v>
      </c>
      <c r="B11" s="2353">
        <f ca="1">IF(C11&lt;B2,"已过期",1120100036)</f>
        <v>1120100036</v>
      </c>
      <c r="C11" s="3045">
        <v>43622</v>
      </c>
      <c r="D11" s="2353" t="s">
        <v>1925</v>
      </c>
      <c r="E11" s="2353">
        <f ca="1">IF(F11&lt;B2,"已过期",2010110070)</f>
        <v>2010110070</v>
      </c>
      <c r="F11" s="3046">
        <v>47907</v>
      </c>
    </row>
    <row r="12" spans="1:6" ht="20.25" customHeight="1">
      <c r="A12" s="2353"/>
      <c r="B12" s="2353"/>
      <c r="C12" s="3045"/>
      <c r="D12" s="2353"/>
      <c r="E12" s="2353"/>
      <c r="F12" s="2353"/>
    </row>
    <row r="13" spans="1:6" ht="20.25" customHeight="1">
      <c r="A13" s="2353" t="s">
        <v>1926</v>
      </c>
      <c r="B13" s="2353">
        <f ca="1">IF(C13&lt;B2,"已过期",1120070131)</f>
        <v>1120070131</v>
      </c>
      <c r="C13" s="3045">
        <v>43814</v>
      </c>
      <c r="D13" s="2353" t="s">
        <v>1926</v>
      </c>
      <c r="E13" s="2353">
        <v>2014110011</v>
      </c>
      <c r="F13" s="3046">
        <v>49302</v>
      </c>
    </row>
    <row r="14" spans="1:6" ht="20.25" customHeight="1">
      <c r="A14" s="2353" t="s">
        <v>1927</v>
      </c>
      <c r="B14" s="2353">
        <f ca="1">IF(C14&lt;B2,"已过期",1120130020)</f>
        <v>1120130020</v>
      </c>
      <c r="C14" s="3045">
        <v>43622</v>
      </c>
      <c r="D14" s="2353"/>
      <c r="E14" s="2353"/>
      <c r="F14" s="2353"/>
    </row>
    <row r="15" spans="1:6" ht="20.25" customHeight="1">
      <c r="A15" s="2353" t="s">
        <v>2588</v>
      </c>
      <c r="B15" s="2353">
        <v>1120070085</v>
      </c>
      <c r="C15" s="3045">
        <v>43814</v>
      </c>
      <c r="D15" s="2353" t="s">
        <v>2588</v>
      </c>
      <c r="E15" s="2353">
        <v>2004110128</v>
      </c>
      <c r="F15" s="3046">
        <v>47118</v>
      </c>
    </row>
    <row r="16" spans="1:6" ht="20.25" customHeight="1">
      <c r="A16" s="2353" t="s">
        <v>1928</v>
      </c>
      <c r="B16" s="2353">
        <f ca="1">IF(C16&lt;B2,"已过期",1120140022)</f>
        <v>1120140022</v>
      </c>
      <c r="C16" s="3045">
        <v>42987</v>
      </c>
      <c r="D16" s="2353" t="s">
        <v>1928</v>
      </c>
      <c r="E16" s="2353">
        <f ca="1">IF(F16&lt;B2,"已过期",2008110059)</f>
        <v>2008110059</v>
      </c>
      <c r="F16" s="3046">
        <v>47177</v>
      </c>
    </row>
    <row r="17" spans="1:7" ht="20.25" customHeight="1">
      <c r="A17" s="2353" t="s">
        <v>1929</v>
      </c>
      <c r="B17" s="2353">
        <f ca="1">IF(C17&lt;B2,"已过期",1120140020)</f>
        <v>1120140020</v>
      </c>
      <c r="C17" s="3045">
        <v>42987</v>
      </c>
      <c r="D17" s="2353"/>
      <c r="E17" s="2353"/>
      <c r="F17" s="3046"/>
    </row>
    <row r="18" spans="1:7" ht="20.25" customHeight="1">
      <c r="A18" s="2353" t="s">
        <v>1930</v>
      </c>
      <c r="B18" s="2353">
        <f ca="1">IF(C18&lt;B2,"已过期",1120140024)</f>
        <v>1120140024</v>
      </c>
      <c r="C18" s="3045">
        <v>42987</v>
      </c>
      <c r="D18" s="2353" t="s">
        <v>1930</v>
      </c>
      <c r="E18" s="2353">
        <f ca="1">IF(F18&lt;B2,"已过期",2011110048)</f>
        <v>2011110048</v>
      </c>
      <c r="F18" s="3046">
        <v>48302</v>
      </c>
    </row>
    <row r="19" spans="1:7" ht="20.25" customHeight="1">
      <c r="A19" s="2353" t="s">
        <v>1931</v>
      </c>
      <c r="B19" s="2353">
        <f ca="1">IF(C19&lt;B2,"已过期",1120140019)</f>
        <v>1120140019</v>
      </c>
      <c r="C19" s="3045">
        <v>42987</v>
      </c>
      <c r="D19" s="2353"/>
      <c r="E19" s="2353"/>
      <c r="F19" s="2353"/>
    </row>
    <row r="20" spans="1:7" ht="20.25" customHeight="1">
      <c r="A20" s="2353"/>
      <c r="B20" s="2353"/>
      <c r="C20" s="3045"/>
      <c r="D20" s="2353"/>
      <c r="E20" s="2353"/>
      <c r="F20" s="2353"/>
    </row>
    <row r="21" spans="1:7" ht="20.25" customHeight="1">
      <c r="A21" s="2353"/>
      <c r="B21" s="2353"/>
      <c r="C21" s="3045"/>
      <c r="D21" s="2353" t="s">
        <v>1932</v>
      </c>
      <c r="E21" s="2353">
        <f ca="1">IF(F21&lt;B2,"已过期",2011110090)</f>
        <v>2011110090</v>
      </c>
      <c r="F21" s="3046">
        <v>48302</v>
      </c>
    </row>
    <row r="22" spans="1:7" ht="20.25" customHeight="1">
      <c r="A22" s="2353" t="s">
        <v>1933</v>
      </c>
      <c r="B22" s="2353">
        <f ca="1">IF(C22&lt;B2,"已过期",1120020033)</f>
        <v>1120020033</v>
      </c>
      <c r="C22" s="3045">
        <v>43304</v>
      </c>
      <c r="D22" s="2353" t="s">
        <v>1933</v>
      </c>
      <c r="E22" s="2353">
        <f ca="1">IF(F22&lt;B2,"已过期",2000110137)</f>
        <v>2000110137</v>
      </c>
      <c r="F22" s="3046">
        <v>46387</v>
      </c>
    </row>
    <row r="23" spans="1:7" ht="20.25" customHeight="1">
      <c r="A23" s="2353" t="s">
        <v>1934</v>
      </c>
      <c r="B23" s="2353">
        <f ca="1">IF(C23&lt;B2,"已过期",1120130048)</f>
        <v>1120130048</v>
      </c>
      <c r="C23" s="3045">
        <v>43686</v>
      </c>
      <c r="D23" s="2353"/>
      <c r="E23" s="2353"/>
      <c r="F23" s="2353"/>
    </row>
    <row r="24" spans="1:7" s="2357" customFormat="1" ht="20.25" customHeight="1">
      <c r="A24" s="2355" t="s">
        <v>2063</v>
      </c>
      <c r="B24" s="2355" t="s">
        <v>2063</v>
      </c>
      <c r="C24" s="3045"/>
      <c r="D24" s="3047" t="s">
        <v>2063</v>
      </c>
      <c r="E24" s="2355" t="s">
        <v>2063</v>
      </c>
      <c r="F24" s="2356"/>
    </row>
    <row r="25" spans="1:7" ht="20.25" customHeight="1">
      <c r="A25" s="3201" t="s">
        <v>1935</v>
      </c>
      <c r="B25" s="3201"/>
      <c r="C25" s="3201"/>
      <c r="D25" s="3201"/>
      <c r="E25" s="3201"/>
      <c r="F25" s="3201"/>
      <c r="G25" s="3201"/>
    </row>
    <row r="26" spans="1:7" ht="20.25" customHeight="1">
      <c r="A26" s="3202" t="s">
        <v>1936</v>
      </c>
      <c r="B26" s="3202"/>
      <c r="C26" s="3202"/>
      <c r="D26" s="3202" t="s">
        <v>1937</v>
      </c>
      <c r="E26" s="3202"/>
      <c r="F26" s="3202"/>
    </row>
    <row r="27" spans="1:7" s="2361" customFormat="1" ht="20.25" customHeight="1">
      <c r="A27" s="2358" t="s">
        <v>1938</v>
      </c>
      <c r="B27" s="2359" t="s">
        <v>1939</v>
      </c>
      <c r="C27" s="2359" t="s">
        <v>1940</v>
      </c>
      <c r="D27" s="2360" t="s">
        <v>1938</v>
      </c>
      <c r="E27" s="2359" t="s">
        <v>1939</v>
      </c>
      <c r="F27" s="2359" t="s">
        <v>1940</v>
      </c>
    </row>
    <row r="28" spans="1:7" s="2361" customFormat="1" ht="20.25" customHeight="1">
      <c r="A28" s="2362" t="s">
        <v>1941</v>
      </c>
      <c r="B28" s="2362" t="s">
        <v>1942</v>
      </c>
      <c r="C28" s="2363">
        <v>43725</v>
      </c>
      <c r="D28" s="2362" t="s">
        <v>1943</v>
      </c>
      <c r="E28" s="2362" t="s">
        <v>1944</v>
      </c>
      <c r="F28" s="2364">
        <v>44377</v>
      </c>
    </row>
    <row r="29" spans="1:7" s="2361" customFormat="1" ht="20.25" customHeight="1">
      <c r="A29" s="2362"/>
      <c r="B29" s="2362"/>
      <c r="C29" s="2365"/>
      <c r="D29" s="2362" t="s">
        <v>1945</v>
      </c>
      <c r="E29" s="2366" t="s">
        <v>2313</v>
      </c>
      <c r="F29" s="2367">
        <v>42916</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4" sqref="B24"/>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858</v>
      </c>
      <c r="B1" s="5" t="s">
        <v>132</v>
      </c>
      <c r="C1" s="1556"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8" t="s">
        <v>2559</v>
      </c>
      <c r="R1" s="2617" t="s">
        <v>2553</v>
      </c>
      <c r="S1" s="6" t="s">
        <v>146</v>
      </c>
      <c r="T1" s="7" t="s">
        <v>147</v>
      </c>
      <c r="U1" s="6" t="s">
        <v>148</v>
      </c>
      <c r="V1" s="6" t="s">
        <v>149</v>
      </c>
      <c r="W1" s="1007" t="s">
        <v>876</v>
      </c>
    </row>
    <row r="2" spans="1:23">
      <c r="A2" s="8" t="s">
        <v>73</v>
      </c>
      <c r="B2" s="8" t="s">
        <v>150</v>
      </c>
      <c r="C2" s="1557" t="s">
        <v>1712</v>
      </c>
      <c r="D2" s="9" t="s">
        <v>74</v>
      </c>
      <c r="E2" s="9" t="s">
        <v>127</v>
      </c>
      <c r="F2" s="9" t="s">
        <v>128</v>
      </c>
      <c r="G2" s="9">
        <v>40</v>
      </c>
      <c r="H2" s="9" t="s">
        <v>129</v>
      </c>
      <c r="I2" s="9" t="s">
        <v>130</v>
      </c>
      <c r="J2" s="9" t="s">
        <v>131</v>
      </c>
      <c r="K2" s="9" t="s">
        <v>75</v>
      </c>
      <c r="L2" s="9" t="s">
        <v>75</v>
      </c>
      <c r="M2" s="9" t="s">
        <v>75</v>
      </c>
      <c r="N2" s="9" t="s">
        <v>75</v>
      </c>
      <c r="O2" s="9" t="s">
        <v>75</v>
      </c>
      <c r="P2" s="1009" t="s">
        <v>882</v>
      </c>
      <c r="Q2" s="9" t="s">
        <v>75</v>
      </c>
      <c r="R2" s="1009" t="s">
        <v>2554</v>
      </c>
      <c r="S2" s="9" t="s">
        <v>75</v>
      </c>
      <c r="T2" s="9" t="s">
        <v>76</v>
      </c>
      <c r="U2" s="9" t="s">
        <v>75</v>
      </c>
      <c r="V2" s="9" t="s">
        <v>77</v>
      </c>
      <c r="W2" s="9" t="s">
        <v>877</v>
      </c>
    </row>
    <row r="3" spans="1:23">
      <c r="A3" s="8" t="s">
        <v>78</v>
      </c>
      <c r="B3" s="10" t="s">
        <v>151</v>
      </c>
      <c r="C3" s="1558" t="s">
        <v>1713</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2555</v>
      </c>
      <c r="S3" s="9" t="s">
        <v>84</v>
      </c>
      <c r="T3" s="9" t="s">
        <v>85</v>
      </c>
      <c r="U3" s="9" t="s">
        <v>84</v>
      </c>
      <c r="V3" s="9" t="s">
        <v>86</v>
      </c>
      <c r="W3" s="9" t="s">
        <v>878</v>
      </c>
    </row>
    <row r="4" spans="1:23">
      <c r="A4" s="8" t="s">
        <v>87</v>
      </c>
      <c r="B4" s="8" t="s">
        <v>152</v>
      </c>
      <c r="C4" s="1557" t="s">
        <v>1714</v>
      </c>
      <c r="D4" s="9" t="s">
        <v>2003</v>
      </c>
      <c r="E4" s="9" t="s">
        <v>88</v>
      </c>
      <c r="F4" s="9" t="s">
        <v>89</v>
      </c>
      <c r="G4" s="9">
        <v>70</v>
      </c>
      <c r="H4" s="9" t="s">
        <v>90</v>
      </c>
      <c r="I4" s="9" t="s">
        <v>91</v>
      </c>
      <c r="K4" s="9" t="s">
        <v>92</v>
      </c>
      <c r="L4" s="9" t="s">
        <v>92</v>
      </c>
      <c r="M4" s="9" t="s">
        <v>92</v>
      </c>
      <c r="N4" s="9" t="s">
        <v>92</v>
      </c>
      <c r="O4" s="9" t="s">
        <v>92</v>
      </c>
      <c r="P4" s="1009" t="s">
        <v>763</v>
      </c>
      <c r="Q4" s="9" t="s">
        <v>92</v>
      </c>
      <c r="R4" s="1009" t="s">
        <v>2556</v>
      </c>
      <c r="S4" s="9" t="s">
        <v>92</v>
      </c>
      <c r="T4" s="9" t="s">
        <v>93</v>
      </c>
      <c r="U4" s="9" t="s">
        <v>92</v>
      </c>
      <c r="W4" s="9" t="s">
        <v>879</v>
      </c>
    </row>
    <row r="5" spans="1:23">
      <c r="A5" s="8" t="s">
        <v>94</v>
      </c>
      <c r="B5" s="8" t="s">
        <v>153</v>
      </c>
      <c r="C5" s="1557" t="s">
        <v>1715</v>
      </c>
      <c r="F5" s="9" t="s">
        <v>95</v>
      </c>
      <c r="H5" s="9" t="s">
        <v>70</v>
      </c>
      <c r="I5" s="9" t="s">
        <v>96</v>
      </c>
      <c r="K5" s="9" t="s">
        <v>97</v>
      </c>
      <c r="L5" s="9" t="s">
        <v>97</v>
      </c>
      <c r="M5" s="9" t="s">
        <v>97</v>
      </c>
      <c r="N5" s="9" t="s">
        <v>97</v>
      </c>
      <c r="O5" s="9" t="s">
        <v>97</v>
      </c>
      <c r="P5" s="1009" t="s">
        <v>547</v>
      </c>
      <c r="Q5" s="9" t="s">
        <v>97</v>
      </c>
      <c r="R5" s="1009" t="s">
        <v>2557</v>
      </c>
      <c r="S5" s="9" t="s">
        <v>97</v>
      </c>
      <c r="T5" s="9" t="s">
        <v>98</v>
      </c>
      <c r="U5" s="9" t="s">
        <v>97</v>
      </c>
      <c r="W5" s="9" t="s">
        <v>880</v>
      </c>
    </row>
    <row r="6" spans="1:23">
      <c r="A6" s="8" t="s">
        <v>99</v>
      </c>
      <c r="B6" s="1152" t="s">
        <v>1643</v>
      </c>
      <c r="C6" s="1559" t="s">
        <v>1716</v>
      </c>
      <c r="F6" s="9" t="s">
        <v>71</v>
      </c>
      <c r="H6" s="9" t="s">
        <v>72</v>
      </c>
      <c r="I6" s="9" t="s">
        <v>100</v>
      </c>
      <c r="K6" s="9" t="s">
        <v>101</v>
      </c>
      <c r="L6" s="9" t="s">
        <v>101</v>
      </c>
      <c r="M6" s="9" t="s">
        <v>101</v>
      </c>
      <c r="N6" s="9" t="s">
        <v>101</v>
      </c>
      <c r="O6" s="9" t="s">
        <v>101</v>
      </c>
      <c r="P6" s="1009" t="s">
        <v>883</v>
      </c>
      <c r="Q6" s="9" t="s">
        <v>101</v>
      </c>
      <c r="R6" s="1009" t="s">
        <v>2558</v>
      </c>
      <c r="S6" s="9" t="s">
        <v>101</v>
      </c>
      <c r="T6" s="9"/>
      <c r="U6" s="9" t="s">
        <v>101</v>
      </c>
      <c r="W6" s="9" t="s">
        <v>881</v>
      </c>
    </row>
    <row r="7" spans="1:23">
      <c r="A7" s="8" t="s">
        <v>102</v>
      </c>
      <c r="B7" s="8" t="s">
        <v>103</v>
      </c>
      <c r="C7" s="1557" t="s">
        <v>1717</v>
      </c>
      <c r="F7" s="9" t="s">
        <v>154</v>
      </c>
      <c r="H7" s="9" t="s">
        <v>104</v>
      </c>
      <c r="I7" s="9" t="s">
        <v>105</v>
      </c>
    </row>
    <row r="8" spans="1:23">
      <c r="A8" s="8" t="s">
        <v>106</v>
      </c>
      <c r="B8" s="8" t="s">
        <v>107</v>
      </c>
      <c r="C8" s="1557" t="s">
        <v>1718</v>
      </c>
      <c r="F8" s="9" t="s">
        <v>155</v>
      </c>
      <c r="H8" s="9"/>
      <c r="I8" s="9" t="s">
        <v>108</v>
      </c>
    </row>
    <row r="9" spans="1:23">
      <c r="A9" s="8" t="s">
        <v>109</v>
      </c>
      <c r="B9" s="8" t="s">
        <v>156</v>
      </c>
      <c r="C9" s="1557" t="s">
        <v>1719</v>
      </c>
      <c r="F9" s="9" t="s">
        <v>110</v>
      </c>
      <c r="H9" s="9"/>
    </row>
    <row r="10" spans="1:23">
      <c r="A10" s="8" t="s">
        <v>111</v>
      </c>
      <c r="B10" s="8" t="s">
        <v>157</v>
      </c>
      <c r="C10" s="1557" t="s">
        <v>1720</v>
      </c>
      <c r="F10" s="9" t="s">
        <v>6</v>
      </c>
    </row>
    <row r="11" spans="1:23">
      <c r="A11" s="8" t="s">
        <v>112</v>
      </c>
      <c r="B11" s="8" t="s">
        <v>158</v>
      </c>
      <c r="C11" s="1557" t="s">
        <v>1721</v>
      </c>
    </row>
    <row r="12" spans="1:23">
      <c r="A12" s="8" t="s">
        <v>113</v>
      </c>
      <c r="B12" s="8" t="s">
        <v>159</v>
      </c>
      <c r="C12" s="1557" t="s">
        <v>1722</v>
      </c>
    </row>
    <row r="13" spans="1:23">
      <c r="A13" s="8" t="s">
        <v>114</v>
      </c>
      <c r="B13" s="8" t="s">
        <v>160</v>
      </c>
      <c r="C13" s="1557" t="s">
        <v>1723</v>
      </c>
    </row>
    <row r="14" spans="1:23">
      <c r="A14" s="8" t="s">
        <v>115</v>
      </c>
      <c r="B14" s="8" t="s">
        <v>161</v>
      </c>
      <c r="C14" s="1560" t="s">
        <v>1900</v>
      </c>
    </row>
    <row r="15" spans="1:23">
      <c r="A15" s="8" t="s">
        <v>116</v>
      </c>
      <c r="B15" s="8" t="s">
        <v>1684</v>
      </c>
      <c r="C15" s="1560"/>
    </row>
    <row r="16" spans="1:23">
      <c r="A16" s="8" t="s">
        <v>117</v>
      </c>
      <c r="B16" s="8" t="s">
        <v>1685</v>
      </c>
      <c r="C16" s="1560"/>
    </row>
    <row r="17" spans="1:3">
      <c r="A17" s="8" t="s">
        <v>118</v>
      </c>
      <c r="B17" s="8" t="s">
        <v>1686</v>
      </c>
      <c r="C17" s="1560"/>
    </row>
    <row r="18" spans="1:3">
      <c r="A18" s="8" t="s">
        <v>119</v>
      </c>
      <c r="B18" s="3163" t="s">
        <v>3162</v>
      </c>
      <c r="C18" s="1560"/>
    </row>
    <row r="19" spans="1:3">
      <c r="A19" s="8" t="s">
        <v>120</v>
      </c>
      <c r="B19" s="8" t="s">
        <v>1644</v>
      </c>
      <c r="C19" s="1560"/>
    </row>
    <row r="20" spans="1:3">
      <c r="A20" s="8" t="s">
        <v>121</v>
      </c>
      <c r="B20" s="8" t="s">
        <v>1644</v>
      </c>
      <c r="C20" s="1560"/>
    </row>
    <row r="21" spans="1:3">
      <c r="A21" s="8" t="s">
        <v>122</v>
      </c>
      <c r="B21" s="8" t="s">
        <v>1644</v>
      </c>
      <c r="C21" s="1560"/>
    </row>
    <row r="22" spans="1:3">
      <c r="A22" s="8" t="s">
        <v>123</v>
      </c>
      <c r="B22" s="8" t="s">
        <v>1644</v>
      </c>
      <c r="C22" s="1560"/>
    </row>
    <row r="23" spans="1:3">
      <c r="A23" s="8" t="s">
        <v>124</v>
      </c>
      <c r="B23" s="8" t="s">
        <v>1644</v>
      </c>
      <c r="C23" s="1560"/>
    </row>
    <row r="24" spans="1:3">
      <c r="A24" s="8" t="s">
        <v>12</v>
      </c>
      <c r="B24" s="8" t="s">
        <v>1644</v>
      </c>
      <c r="C24" s="1560"/>
    </row>
    <row r="25" spans="1:3">
      <c r="A25" s="8" t="s">
        <v>125</v>
      </c>
      <c r="B25" s="8" t="s">
        <v>1644</v>
      </c>
      <c r="C25" s="1560"/>
    </row>
    <row r="26" spans="1:3">
      <c r="A26" s="8" t="s">
        <v>126</v>
      </c>
      <c r="B26" s="8" t="s">
        <v>1644</v>
      </c>
      <c r="C26" s="1560"/>
    </row>
    <row r="27" spans="1:3">
      <c r="A27" s="8" t="s">
        <v>1644</v>
      </c>
      <c r="B27" s="8" t="s">
        <v>1644</v>
      </c>
      <c r="C27" s="1560"/>
    </row>
    <row r="28" spans="1:3">
      <c r="A28" s="8" t="s">
        <v>1644</v>
      </c>
      <c r="B28" s="8" t="s">
        <v>1644</v>
      </c>
      <c r="C28" s="1560"/>
    </row>
    <row r="29" spans="1:3">
      <c r="A29" s="8" t="s">
        <v>1644</v>
      </c>
      <c r="B29" s="8" t="s">
        <v>1644</v>
      </c>
      <c r="C29" s="1560"/>
    </row>
    <row r="30" spans="1:3">
      <c r="A30" s="8" t="s">
        <v>1644</v>
      </c>
      <c r="B30" s="8" t="s">
        <v>1644</v>
      </c>
      <c r="C30" s="1560"/>
    </row>
    <row r="31" spans="1:3">
      <c r="A31" s="8" t="s">
        <v>1644</v>
      </c>
      <c r="B31" s="8" t="s">
        <v>1644</v>
      </c>
      <c r="C31" s="1560"/>
    </row>
    <row r="32" spans="1:3">
      <c r="A32" s="8" t="s">
        <v>1644</v>
      </c>
      <c r="B32" s="8" t="s">
        <v>1644</v>
      </c>
      <c r="C32" s="1560"/>
    </row>
    <row r="33" spans="1:3">
      <c r="A33" s="8" t="s">
        <v>1644</v>
      </c>
      <c r="B33" s="8" t="s">
        <v>1644</v>
      </c>
      <c r="C33" s="1560"/>
    </row>
    <row r="34" spans="1:3">
      <c r="A34" s="8" t="s">
        <v>1644</v>
      </c>
      <c r="B34" s="8" t="s">
        <v>1644</v>
      </c>
      <c r="C34" s="1560"/>
    </row>
    <row r="35" spans="1:3">
      <c r="A35" s="8" t="s">
        <v>1644</v>
      </c>
      <c r="B35" s="8" t="s">
        <v>1644</v>
      </c>
      <c r="C35" s="1560"/>
    </row>
    <row r="36" spans="1:3">
      <c r="A36" s="8" t="s">
        <v>1644</v>
      </c>
      <c r="B36" s="8" t="s">
        <v>1644</v>
      </c>
      <c r="C36" s="1560"/>
    </row>
    <row r="37" spans="1:3">
      <c r="A37" s="8" t="s">
        <v>1644</v>
      </c>
      <c r="B37" s="8" t="s">
        <v>1644</v>
      </c>
      <c r="C37" s="1560"/>
    </row>
    <row r="38" spans="1:3">
      <c r="A38" s="8" t="s">
        <v>1644</v>
      </c>
      <c r="B38" s="8" t="s">
        <v>1644</v>
      </c>
      <c r="C38" s="1560"/>
    </row>
    <row r="39" spans="1:3">
      <c r="A39" s="8" t="s">
        <v>1644</v>
      </c>
      <c r="B39" s="8" t="s">
        <v>1644</v>
      </c>
      <c r="C39" s="1560"/>
    </row>
    <row r="40" spans="1:3">
      <c r="A40" s="8" t="s">
        <v>1644</v>
      </c>
      <c r="B40" s="8" t="s">
        <v>1644</v>
      </c>
      <c r="C40" s="1560"/>
    </row>
    <row r="41" spans="1:3">
      <c r="A41" s="8" t="s">
        <v>1644</v>
      </c>
      <c r="B41" s="8" t="s">
        <v>1644</v>
      </c>
      <c r="C41" s="1560"/>
    </row>
    <row r="42" spans="1:3">
      <c r="A42" s="8" t="s">
        <v>1644</v>
      </c>
      <c r="B42" s="8" t="s">
        <v>1644</v>
      </c>
      <c r="C42" s="1560"/>
    </row>
    <row r="43" spans="1:3">
      <c r="A43" s="8" t="s">
        <v>1644</v>
      </c>
      <c r="B43" s="8" t="s">
        <v>1644</v>
      </c>
      <c r="C43" s="1560"/>
    </row>
    <row r="44" spans="1:3">
      <c r="A44" s="8" t="s">
        <v>1644</v>
      </c>
      <c r="B44" s="8" t="s">
        <v>1644</v>
      </c>
      <c r="C44" s="1560"/>
    </row>
    <row r="45" spans="1:3">
      <c r="A45" s="8" t="s">
        <v>1644</v>
      </c>
      <c r="B45" s="8" t="s">
        <v>1644</v>
      </c>
      <c r="C45" s="1560"/>
    </row>
    <row r="46" spans="1:3">
      <c r="A46" s="8" t="s">
        <v>1644</v>
      </c>
      <c r="B46" s="8" t="s">
        <v>1644</v>
      </c>
      <c r="C46" s="1560"/>
    </row>
    <row r="47" spans="1:3">
      <c r="A47" s="8" t="s">
        <v>1644</v>
      </c>
      <c r="B47" s="8" t="s">
        <v>1644</v>
      </c>
      <c r="C47" s="1560"/>
    </row>
    <row r="48" spans="1:3">
      <c r="A48" s="8" t="s">
        <v>1644</v>
      </c>
      <c r="B48" s="8" t="s">
        <v>1644</v>
      </c>
      <c r="C48" s="1560"/>
    </row>
    <row r="49" spans="1:5">
      <c r="A49" s="8" t="s">
        <v>1644</v>
      </c>
      <c r="B49" s="8" t="s">
        <v>1644</v>
      </c>
      <c r="C49" s="1560"/>
    </row>
    <row r="50" spans="1:5">
      <c r="A50" s="8" t="s">
        <v>1644</v>
      </c>
      <c r="B50" s="8" t="s">
        <v>1644</v>
      </c>
      <c r="C50" s="1560"/>
    </row>
    <row r="51" spans="1:5">
      <c r="A51" s="1771" t="s">
        <v>1951</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昌江黎族自治县农村信用合作联社）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新世界中国地产（海口）有限公司拟使用海口市海南省海口市海甸岛西北部1902地块1宗批发零售用地出让国有建设用地使用权作为抵押担保物，向昌江黎族自治县农村信用合作联社办理贷款手续。昌江黎族自治县农村信用合作联社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1995</v>
      </c>
      <c r="B52" s="1774" t="s">
        <v>1996</v>
      </c>
      <c r="C52" s="1772" t="s">
        <v>1997</v>
      </c>
      <c r="D52" s="1772" t="s">
        <v>1998</v>
      </c>
      <c r="E52" s="1773"/>
    </row>
    <row r="53" spans="1:5">
      <c r="A53" s="3203" t="s">
        <v>1999</v>
      </c>
      <c r="B53" s="1772" t="s">
        <v>2006</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26日，在规划利用条件下、设定土地开发程度为红线外“七通”、宗地内场地，设定用途为批发零售用地，剩余土地使用年限为的出让国有建设用地使用权价格。</v>
      </c>
      <c r="D53" s="1773"/>
      <c r="E53" s="1773"/>
    </row>
    <row r="54" spans="1:5">
      <c r="A54" s="3203"/>
      <c r="B54" s="1772" t="s">
        <v>2007</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203"/>
      <c r="B55" s="1772" t="s">
        <v>2000</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203"/>
      <c r="B56" s="1772" t="s">
        <v>2001</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203"/>
      <c r="B57" s="1772" t="s">
        <v>2002</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2059</v>
      </c>
      <c r="B58" s="1772" t="s">
        <v>2060</v>
      </c>
      <c r="C58" s="11" t="s">
        <v>2061</v>
      </c>
      <c r="D58" s="1322"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130</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不动产比较法-商业</vt:lpstr>
      <vt:lpstr>酒店收入计算</vt:lpstr>
      <vt:lpstr>成本逼近法</vt:lpstr>
      <vt:lpstr>不动产比较法-住宅</vt:lpstr>
      <vt:lpstr>不动产比较法-办公</vt:lpstr>
      <vt:lpstr>不动产比较法-工业</vt:lpstr>
      <vt:lpstr>不动产比较法-车位</vt:lpstr>
      <vt:lpstr>不动产比较法-仓储</vt:lpstr>
      <vt:lpstr>典型户型修正</vt:lpstr>
      <vt:lpstr>案例</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2017-06-27T01:55:29Z</dcterms:modified>
</cp:coreProperties>
</file>