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1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地价!$A$1:$V$76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地价!$A$3:$A$27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C8" i="63" l="1"/>
  <c r="G16" i="69" l="1"/>
  <c r="E42" i="69"/>
  <c r="H16" i="69"/>
  <c r="V7" i="67" l="1"/>
  <c r="U7" i="67"/>
  <c r="T7" i="67"/>
  <c r="S7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6" i="67" l="1"/>
  <c r="P6" i="67"/>
  <c r="O6" i="67"/>
  <c r="N6" i="67"/>
  <c r="Q7" i="67" l="1"/>
  <c r="P7" i="67"/>
  <c r="O7" i="67"/>
  <c r="N7" i="67"/>
  <c r="L4" i="67" l="1"/>
  <c r="K4" i="67"/>
  <c r="J4" i="67"/>
  <c r="I4" i="67"/>
  <c r="Q8" i="67"/>
  <c r="P8" i="67"/>
  <c r="O8" i="67"/>
  <c r="N8" i="67"/>
  <c r="B8" i="67" s="1"/>
  <c r="B7" i="67" s="1"/>
  <c r="B6" i="67" s="1"/>
  <c r="Q9" i="67"/>
  <c r="F9" i="67"/>
  <c r="F8" i="67"/>
  <c r="F7" i="67" s="1"/>
  <c r="F6" i="67" s="1"/>
  <c r="P9" i="67"/>
  <c r="E9" i="67"/>
  <c r="E8" i="67"/>
  <c r="E7" i="67" s="1"/>
  <c r="E6" i="67" s="1"/>
  <c r="O9" i="67"/>
  <c r="C9" i="67"/>
  <c r="C8" i="67"/>
  <c r="C7" i="67" s="1"/>
  <c r="D8" i="67"/>
  <c r="N9" i="67"/>
  <c r="B9" i="67"/>
  <c r="D12" i="67"/>
  <c r="Q10" i="67"/>
  <c r="P10" i="67"/>
  <c r="O10" i="67"/>
  <c r="N10" i="67"/>
  <c r="Q11" i="67"/>
  <c r="P11" i="67"/>
  <c r="O11" i="67"/>
  <c r="N11" i="67"/>
  <c r="N12" i="67"/>
  <c r="O12" i="67"/>
  <c r="P12" i="67"/>
  <c r="Q12" i="67"/>
  <c r="B15" i="59"/>
  <c r="C24" i="64" s="1"/>
  <c r="N13" i="67"/>
  <c r="O13" i="67"/>
  <c r="P13" i="67"/>
  <c r="Q13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F14" i="68"/>
  <c r="N14" i="67"/>
  <c r="O14" i="67"/>
  <c r="P14" i="67"/>
  <c r="Q14" i="67"/>
  <c r="N15" i="67"/>
  <c r="O15" i="67"/>
  <c r="P15" i="67"/>
  <c r="Q15" i="67"/>
  <c r="C14" i="67"/>
  <c r="C13" i="67"/>
  <c r="B15" i="67"/>
  <c r="S15" i="67"/>
  <c r="F15" i="67"/>
  <c r="V15" i="67"/>
  <c r="E15" i="67"/>
  <c r="U15" i="67"/>
  <c r="C15" i="67"/>
  <c r="T15" i="67"/>
  <c r="D13" i="67"/>
  <c r="D14" i="67"/>
  <c r="E14" i="67"/>
  <c r="E13" i="67"/>
  <c r="E11" i="67"/>
  <c r="B14" i="67"/>
  <c r="B13" i="67"/>
  <c r="B11" i="67"/>
  <c r="F14" i="67"/>
  <c r="F13" i="67"/>
  <c r="F11" i="67"/>
  <c r="D15" i="67"/>
  <c r="B10" i="67"/>
  <c r="S11" i="67"/>
  <c r="F10" i="67"/>
  <c r="V11" i="67"/>
  <c r="E10" i="67"/>
  <c r="U11" i="67"/>
  <c r="C11" i="67"/>
  <c r="T11" i="67"/>
  <c r="D76" i="67"/>
  <c r="D72" i="67"/>
  <c r="D68" i="67"/>
  <c r="D64" i="67"/>
  <c r="D60" i="67"/>
  <c r="D56" i="67"/>
  <c r="D52" i="67"/>
  <c r="D48" i="67"/>
  <c r="D44" i="67"/>
  <c r="D40" i="67"/>
  <c r="D36" i="67"/>
  <c r="D35" i="67"/>
  <c r="D32" i="67"/>
  <c r="D28" i="67"/>
  <c r="D24" i="67"/>
  <c r="D20" i="67"/>
  <c r="D16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F71" i="67"/>
  <c r="E71" i="67"/>
  <c r="C71" i="67"/>
  <c r="D71" i="67"/>
  <c r="B71" i="67"/>
  <c r="F70" i="67"/>
  <c r="E70" i="67"/>
  <c r="C70" i="67"/>
  <c r="D70" i="67"/>
  <c r="B70" i="67"/>
  <c r="F69" i="67"/>
  <c r="E69" i="67"/>
  <c r="C69" i="67"/>
  <c r="D69" i="67"/>
  <c r="B69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F55" i="67"/>
  <c r="V55" i="67"/>
  <c r="E55" i="67"/>
  <c r="U55" i="67"/>
  <c r="C55" i="67"/>
  <c r="T55" i="67"/>
  <c r="B55" i="67"/>
  <c r="S55" i="67"/>
  <c r="F54" i="67"/>
  <c r="Q54" i="67"/>
  <c r="E54" i="67"/>
  <c r="P54" i="67"/>
  <c r="C54" i="67"/>
  <c r="O54" i="67"/>
  <c r="B54" i="67"/>
  <c r="N54" i="67"/>
  <c r="F53" i="67"/>
  <c r="Q53" i="67"/>
  <c r="E53" i="67"/>
  <c r="P53" i="67"/>
  <c r="C53" i="67"/>
  <c r="O53" i="67"/>
  <c r="B53" i="67"/>
  <c r="N53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T35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D34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D11" i="67"/>
  <c r="C10" i="67"/>
  <c r="D17" i="67"/>
  <c r="D19" i="67"/>
  <c r="D21" i="67"/>
  <c r="D23" i="67"/>
  <c r="D25" i="67"/>
  <c r="D27" i="67"/>
  <c r="D29" i="67"/>
  <c r="D31" i="67"/>
  <c r="D33" i="67"/>
  <c r="D37" i="67"/>
  <c r="D39" i="67"/>
  <c r="D41" i="67"/>
  <c r="D43" i="67"/>
  <c r="D45" i="67"/>
  <c r="D47" i="67"/>
  <c r="D49" i="67"/>
  <c r="D51" i="67"/>
  <c r="D53" i="67"/>
  <c r="D55" i="67"/>
  <c r="D59" i="67"/>
  <c r="D63" i="67"/>
  <c r="D67" i="67"/>
  <c r="D18" i="67"/>
  <c r="D22" i="67"/>
  <c r="D26" i="67"/>
  <c r="D30" i="67"/>
  <c r="D38" i="67"/>
  <c r="D42" i="67"/>
  <c r="D46" i="67"/>
  <c r="D50" i="67"/>
  <c r="D54" i="67"/>
  <c r="N55" i="67"/>
  <c r="P55" i="67"/>
  <c r="O55" i="67"/>
  <c r="Q55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0" i="67"/>
  <c r="D9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B7" i="64"/>
  <c r="D14" i="64" s="1"/>
  <c r="B5" i="64"/>
  <c r="C25" i="64" s="1"/>
  <c r="B10" i="64"/>
  <c r="D30" i="64" s="1"/>
  <c r="B9" i="64"/>
  <c r="D29" i="64" s="1"/>
  <c r="C15" i="64"/>
  <c r="E14" i="64"/>
  <c r="D20" i="64"/>
  <c r="D28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C19" i="43"/>
  <c r="A16" i="43"/>
  <c r="J71" i="63"/>
  <c r="I71" i="63" s="1"/>
  <c r="D8" i="63"/>
  <c r="D20" i="63"/>
  <c r="L1" i="60"/>
  <c r="K1" i="60"/>
  <c r="M1" i="60" s="1"/>
  <c r="C7" i="63" s="1"/>
  <c r="F47" i="63"/>
  <c r="F45" i="63"/>
  <c r="G45" i="63" s="1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 s="1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 s="1"/>
  <c r="J73" i="63"/>
  <c r="I73" i="63" s="1"/>
  <c r="D53" i="63"/>
  <c r="D51" i="63"/>
  <c r="I2" i="43"/>
  <c r="H6" i="44" s="1"/>
  <c r="D1" i="43"/>
  <c r="G2" i="43"/>
  <c r="D17" i="43" s="1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63" i="63"/>
  <c r="D63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9" i="59" s="1"/>
  <c r="F10" i="9" s="1"/>
  <c r="B8" i="59"/>
  <c r="C11" i="3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9" i="43"/>
  <c r="H9" i="44"/>
  <c r="F35" i="43"/>
  <c r="I17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M11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6" i="43"/>
  <c r="M5" i="43"/>
  <c r="F48" i="43"/>
  <c r="H56" i="43" s="1"/>
  <c r="H16" i="44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2" i="63"/>
  <c r="H7" i="65"/>
  <c r="G5" i="65"/>
  <c r="H6" i="65"/>
  <c r="G8" i="65"/>
  <c r="H5" i="65"/>
  <c r="G4" i="65"/>
  <c r="G7" i="65"/>
  <c r="G6" i="65"/>
  <c r="H4" i="65"/>
  <c r="H8" i="65"/>
  <c r="D19" i="63" l="1"/>
  <c r="F16" i="59"/>
  <c r="F8" i="9" s="1"/>
  <c r="F18" i="59"/>
  <c r="F9" i="9" s="1"/>
  <c r="D5" i="68"/>
  <c r="D6" i="68"/>
  <c r="D7" i="68"/>
  <c r="D8" i="68"/>
  <c r="H7" i="39"/>
  <c r="F7" i="39"/>
  <c r="S7" i="39" s="1"/>
  <c r="I2" i="65"/>
  <c r="J20" i="43"/>
  <c r="H14" i="44"/>
  <c r="N4" i="43"/>
  <c r="N11" i="43"/>
  <c r="M12" i="43"/>
  <c r="M4" i="43"/>
  <c r="M10" i="43"/>
  <c r="M3" i="43"/>
  <c r="N6" i="43"/>
  <c r="H7" i="44"/>
  <c r="I1" i="65"/>
  <c r="F29" i="59"/>
  <c r="E19" i="64"/>
  <c r="W12" i="39"/>
  <c r="AA12" i="39"/>
  <c r="F36" i="43"/>
  <c r="J17" i="43"/>
  <c r="F37" i="43"/>
  <c r="F34" i="43"/>
  <c r="F38" i="43"/>
  <c r="H114" i="43"/>
  <c r="E42" i="63"/>
  <c r="B40" i="63" s="1"/>
  <c r="E51" i="63"/>
  <c r="B49" i="63" s="1"/>
  <c r="E60" i="63"/>
  <c r="B58" i="63" s="1"/>
  <c r="C15" i="63" s="1"/>
  <c r="E20" i="64"/>
  <c r="D17" i="64"/>
  <c r="E17" i="64"/>
  <c r="D16" i="64"/>
  <c r="O17" i="43"/>
  <c r="M17" i="43"/>
  <c r="E17" i="43"/>
  <c r="N17" i="43"/>
  <c r="L17" i="43"/>
  <c r="G17" i="43" s="1"/>
  <c r="E16" i="64"/>
  <c r="D19" i="64"/>
  <c r="F11" i="39"/>
  <c r="J11" i="39"/>
  <c r="H11" i="39"/>
  <c r="C7" i="68"/>
  <c r="C6" i="68"/>
  <c r="C5" i="68"/>
  <c r="C8" i="68"/>
  <c r="G3" i="43"/>
  <c r="B11" i="64"/>
  <c r="C21" i="64" s="1"/>
  <c r="D27" i="64"/>
  <c r="G3" i="63"/>
  <c r="J1" i="65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H73" i="43"/>
  <c r="N9" i="43"/>
  <c r="H15" i="44"/>
  <c r="M2" i="43"/>
  <c r="C6" i="43" s="1"/>
  <c r="N7" i="43"/>
  <c r="N1" i="43"/>
  <c r="M7" i="43"/>
  <c r="N2" i="43"/>
  <c r="F70" i="43" s="1"/>
  <c r="H72" i="43" s="1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D7" i="67"/>
  <c r="C6" i="67"/>
  <c r="D6" i="67" s="1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I19" i="43"/>
  <c r="H54" i="43"/>
  <c r="H48" i="43"/>
  <c r="H52" i="43"/>
  <c r="O3" i="59"/>
  <c r="F28" i="59" s="1"/>
  <c r="F33" i="59" s="1"/>
  <c r="B17" i="9" s="1"/>
  <c r="S9" i="39"/>
  <c r="H16" i="63"/>
  <c r="I3" i="63"/>
  <c r="I3" i="65"/>
  <c r="D5" i="65"/>
  <c r="E7" i="65"/>
  <c r="D7" i="65"/>
  <c r="D4" i="65"/>
  <c r="D6" i="65"/>
  <c r="E4" i="65"/>
  <c r="E6" i="65"/>
  <c r="E8" i="65"/>
  <c r="D8" i="65"/>
  <c r="E5" i="65"/>
  <c r="F5" i="9" l="1"/>
  <c r="U7" i="39"/>
  <c r="AB7" i="39"/>
  <c r="T47" i="39" s="1"/>
  <c r="G47" i="39" s="1"/>
  <c r="G51" i="39" s="1"/>
  <c r="H51" i="39" s="1"/>
  <c r="H77" i="43"/>
  <c r="H75" i="43"/>
  <c r="H76" i="43"/>
  <c r="E52" i="39"/>
  <c r="F52" i="39" s="1"/>
  <c r="R48" i="39"/>
  <c r="C47" i="39" s="1"/>
  <c r="H87" i="43"/>
  <c r="H85" i="43"/>
  <c r="C16" i="43"/>
  <c r="C5" i="43" s="1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W11" i="39"/>
  <c r="AC11" i="39"/>
  <c r="E13" i="63"/>
  <c r="G13" i="63"/>
  <c r="G12" i="63"/>
  <c r="F13" i="63"/>
  <c r="H13" i="63"/>
  <c r="H12" i="63"/>
  <c r="B80" i="63"/>
  <c r="E12" i="63"/>
  <c r="F12" i="63" s="1"/>
  <c r="AB11" i="39"/>
  <c r="U11" i="39"/>
  <c r="AA11" i="39"/>
  <c r="S11" i="39"/>
  <c r="K4" i="65"/>
  <c r="K3" i="65"/>
  <c r="K2" i="65"/>
  <c r="K1" i="65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48" i="39"/>
  <c r="B3" i="39" s="1"/>
  <c r="C20" i="63"/>
  <c r="C21" i="63"/>
  <c r="E21" i="63" s="1"/>
  <c r="G3" i="65"/>
  <c r="E20" i="43"/>
  <c r="G1" i="65"/>
  <c r="G2" i="65"/>
  <c r="D22" i="43" l="1"/>
  <c r="D5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B83" i="63"/>
  <c r="B85" i="63"/>
  <c r="B84" i="63"/>
  <c r="B81" i="63" s="1"/>
  <c r="D14" i="63" s="1"/>
  <c r="B82" i="63"/>
  <c r="H110" i="43"/>
  <c r="H106" i="43"/>
  <c r="H107" i="43"/>
  <c r="H105" i="43"/>
  <c r="H103" i="43"/>
  <c r="H104" i="43"/>
  <c r="H108" i="43"/>
  <c r="L108" i="43"/>
  <c r="L110" i="43"/>
  <c r="L105" i="43"/>
  <c r="L107" i="43"/>
  <c r="L106" i="43"/>
  <c r="L104" i="43"/>
  <c r="L103" i="43"/>
  <c r="C108" i="43"/>
  <c r="C110" i="43"/>
  <c r="C105" i="43"/>
  <c r="C103" i="43"/>
  <c r="C104" i="43"/>
  <c r="C107" i="43"/>
  <c r="C106" i="43"/>
  <c r="M107" i="43"/>
  <c r="M110" i="43"/>
  <c r="M108" i="43"/>
  <c r="M106" i="43"/>
  <c r="M103" i="43"/>
  <c r="M105" i="43"/>
  <c r="M104" i="43"/>
  <c r="D13" i="63"/>
  <c r="D12" i="63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3" i="43"/>
  <c r="J107" i="43"/>
  <c r="N110" i="43"/>
  <c r="N103" i="43"/>
  <c r="N107" i="43"/>
  <c r="N105" i="43"/>
  <c r="N104" i="43"/>
  <c r="N108" i="43"/>
  <c r="N106" i="43"/>
  <c r="K107" i="43"/>
  <c r="K105" i="43"/>
  <c r="K110" i="43"/>
  <c r="K103" i="43"/>
  <c r="K108" i="43"/>
  <c r="K106" i="43"/>
  <c r="K104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D119" i="43"/>
  <c r="E119" i="43" s="1"/>
  <c r="F119" i="43" s="1"/>
  <c r="I118" i="43"/>
  <c r="J118" i="43" s="1"/>
  <c r="K118" i="43" s="1"/>
  <c r="L118" i="43" s="1"/>
  <c r="M118" i="43" s="1"/>
  <c r="G119" i="43"/>
  <c r="H119" i="43" s="1"/>
  <c r="F108" i="43"/>
  <c r="F105" i="43"/>
  <c r="F103" i="43"/>
  <c r="F106" i="43"/>
  <c r="F110" i="43"/>
  <c r="F107" i="43"/>
  <c r="F104" i="43"/>
  <c r="G104" i="43"/>
  <c r="G108" i="43"/>
  <c r="G110" i="43"/>
  <c r="G106" i="43"/>
  <c r="G107" i="43"/>
  <c r="G103" i="43"/>
  <c r="G105" i="43"/>
  <c r="G21" i="59"/>
  <c r="G12" i="9" s="1"/>
  <c r="S20" i="43"/>
  <c r="P20" i="43"/>
  <c r="R20" i="43"/>
  <c r="G20" i="43" s="1"/>
  <c r="C20" i="43" s="1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F22" i="59"/>
  <c r="F13" i="9" s="1"/>
  <c r="B4" i="63"/>
  <c r="E20" i="63"/>
  <c r="F21" i="59" l="1"/>
  <c r="F11" i="59" s="1"/>
  <c r="C11" i="63"/>
  <c r="C18" i="63" s="1"/>
  <c r="C23" i="43"/>
  <c r="C19" i="63"/>
  <c r="E19" i="63" s="1"/>
  <c r="C116" i="43"/>
  <c r="D114" i="43" s="1"/>
  <c r="J22" i="43" s="1"/>
  <c r="C21" i="43" s="1"/>
  <c r="C29" i="43" s="1"/>
  <c r="B3" i="43" s="1"/>
  <c r="B17" i="59"/>
  <c r="B18" i="59" s="1"/>
  <c r="G56" i="39"/>
  <c r="F58" i="39"/>
  <c r="E41" i="43"/>
  <c r="C41" i="43" s="1"/>
  <c r="C39" i="43" s="1"/>
  <c r="C37" i="43"/>
  <c r="C33" i="43"/>
  <c r="C34" i="43"/>
  <c r="C35" i="43"/>
  <c r="C36" i="43"/>
  <c r="C28" i="64"/>
  <c r="C30" i="64"/>
  <c r="B3" i="64"/>
  <c r="F12" i="9" l="1"/>
  <c r="F14" i="9" s="1"/>
  <c r="B3" i="63"/>
  <c r="F6" i="59" s="1"/>
  <c r="C22" i="63"/>
  <c r="B5" i="63" s="1"/>
  <c r="F7" i="59" s="1"/>
  <c r="E18" i="63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s="1"/>
  <c r="F5" i="59" l="1"/>
  <c r="B5" i="9" s="1"/>
  <c r="H58" i="39"/>
  <c r="I56" i="39"/>
  <c r="G38" i="43"/>
  <c r="I38" i="43" s="1"/>
  <c r="E30" i="43"/>
  <c r="B4" i="43"/>
  <c r="C26" i="43"/>
  <c r="B2" i="43" s="1"/>
  <c r="F8" i="59" l="1"/>
  <c r="C27" i="43"/>
  <c r="J56" i="39"/>
  <c r="I58" i="39"/>
  <c r="B11" i="9" l="1"/>
  <c r="F10" i="59"/>
  <c r="B13" i="9" s="1"/>
  <c r="F9" i="59"/>
  <c r="J58" i="39"/>
  <c r="K56" i="39"/>
  <c r="B12" i="9" l="1"/>
  <c r="B14" i="9" s="1"/>
  <c r="F4" i="59"/>
  <c r="F24" i="59" s="1"/>
  <c r="K58" i="39"/>
  <c r="L56" i="39"/>
  <c r="F25" i="59" l="1"/>
  <c r="F35" i="59"/>
  <c r="B18" i="9" s="1"/>
  <c r="C11" i="68" s="1"/>
  <c r="B15" i="9"/>
  <c r="L58" i="39"/>
  <c r="M56" i="39"/>
  <c r="F36" i="59" l="1"/>
  <c r="B19" i="9" s="1"/>
  <c r="J14" i="69" s="1"/>
  <c r="B16" i="9"/>
  <c r="H16" i="9" s="1"/>
  <c r="N56" i="39"/>
  <c r="M58" i="39"/>
  <c r="J16" i="69" l="1"/>
  <c r="H19" i="9"/>
  <c r="B11" i="68"/>
  <c r="O56" i="39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<sst xmlns="http://schemas.openxmlformats.org/spreadsheetml/2006/main" count="3956" uniqueCount="1797">
  <si>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</si>
  <si>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</si>
  <si>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</si>
  <si>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</si>
  <si>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</si>
  <si>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</si>
  <si>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</si>
  <si>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</si>
  <si>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</si>
  <si>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</si>
  <si>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</si>
  <si>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</si>
  <si>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</si>
  <si>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</si>
  <si>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</si>
  <si>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</si>
  <si>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</si>
  <si>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</si>
  <si>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</si>
  <si>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</si>
  <si>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</si>
  <si>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</si>
  <si>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</si>
  <si>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</si>
  <si>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</si>
  <si>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</si>
  <si>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</si>
  <si>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</si>
  <si>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</si>
  <si>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</si>
  <si>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</si>
  <si>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</si>
  <si>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</si>
  <si>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</si>
  <si>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</si>
  <si>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</si>
  <si>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</si>
  <si>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</si>
  <si>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</si>
  <si>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</si>
  <si>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</si>
  <si>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</si>
  <si>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</si>
  <si>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</si>
  <si>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</si>
  <si>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</si>
  <si>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</si>
  <si>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</si>
  <si>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</si>
  <si>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</si>
  <si>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</si>
  <si>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</si>
  <si>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</si>
  <si>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</si>
  <si>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</si>
  <si>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</si>
  <si>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</si>
  <si>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</si>
  <si>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</si>
  <si>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</si>
  <si>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</si>
  <si>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</si>
  <si>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</si>
  <si>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</si>
  <si>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</si>
  <si>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</si>
  <si>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</si>
  <si>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</si>
  <si>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</si>
  <si>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</si>
  <si>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</si>
  <si>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</si>
  <si>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</si>
  <si>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</si>
  <si>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</si>
  <si>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</si>
  <si>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</si>
  <si>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</si>
  <si>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</si>
  <si>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</si>
  <si>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</si>
  <si>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</si>
  <si>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</si>
  <si>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</si>
  <si>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</si>
  <si>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</si>
  <si>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</si>
  <si>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</si>
  <si>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</si>
  <si>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</si>
  <si>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</si>
  <si>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</si>
  <si>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</si>
  <si>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</si>
  <si>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</si>
  <si>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</si>
  <si>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</si>
  <si>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</si>
  <si>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</si>
  <si>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</si>
  <si>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</si>
  <si>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</si>
  <si>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</si>
  <si>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</si>
  <si>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</si>
  <si>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</si>
  <si>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</si>
  <si>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</si>
  <si>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</si>
  <si>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</si>
  <si>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</si>
  <si>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</si>
  <si>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</si>
  <si>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</si>
  <si>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</si>
  <si>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</si>
  <si>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</si>
  <si>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</si>
  <si>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</si>
  <si>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</si>
  <si>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</si>
  <si>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</si>
  <si>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</si>
  <si>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</si>
  <si>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</si>
  <si>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</si>
  <si>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</si>
  <si>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</si>
  <si>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</si>
  <si>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</si>
  <si>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</si>
  <si>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</si>
  <si>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</si>
  <si>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</si>
  <si>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</si>
  <si>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</si>
  <si>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</si>
  <si>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</si>
  <si>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</si>
  <si>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</si>
  <si>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</si>
  <si>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</si>
  <si>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</si>
  <si>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</si>
  <si>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</si>
  <si>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</si>
  <si>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</si>
  <si>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</si>
  <si>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</si>
  <si>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</si>
  <si>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</si>
  <si>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</si>
  <si>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</si>
  <si>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</si>
  <si>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</si>
  <si>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</si>
  <si>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</si>
  <si>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</si>
  <si>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</si>
  <si>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</si>
  <si>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</si>
  <si>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</si>
  <si>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</si>
  <si>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</si>
  <si>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</si>
  <si>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</si>
  <si>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</si>
  <si>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</si>
  <si>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</si>
  <si>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</si>
  <si>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</si>
  <si>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</si>
  <si>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</si>
  <si>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</si>
  <si>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</si>
  <si>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</si>
  <si>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</si>
  <si>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</si>
  <si>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</si>
  <si>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</si>
  <si>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</si>
  <si>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</si>
  <si>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</si>
  <si>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</si>
  <si>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</si>
  <si>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</si>
  <si>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</si>
  <si>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</si>
  <si>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</si>
  <si>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</si>
  <si>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</si>
  <si>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</si>
  <si>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</si>
  <si>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</si>
  <si>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</si>
  <si>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</si>
  <si>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</si>
  <si>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</si>
  <si>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</si>
  <si>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</si>
  <si>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</si>
  <si>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</si>
  <si>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</si>
  <si>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</si>
  <si>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</si>
  <si>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</si>
  <si>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</si>
  <si>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</si>
  <si>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</si>
  <si>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</si>
  <si>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</si>
  <si>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</si>
  <si>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</si>
  <si>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</si>
  <si>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</si>
  <si>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</si>
  <si>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</si>
  <si>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</si>
  <si>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</si>
  <si>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</si>
  <si>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</si>
  <si>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</si>
  <si>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</si>
  <si>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</si>
  <si>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</si>
  <si>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</si>
  <si>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</si>
  <si>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</si>
  <si>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</si>
  <si>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</si>
  <si>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</si>
  <si>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</si>
  <si>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</si>
  <si>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</si>
  <si>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</si>
  <si>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</si>
  <si>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</si>
  <si>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</si>
  <si>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</si>
  <si>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</si>
  <si>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</si>
  <si>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</si>
  <si>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</si>
  <si>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</si>
  <si>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</si>
  <si>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</si>
  <si>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</si>
  <si>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</si>
  <si>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</si>
  <si>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</si>
  <si>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</si>
  <si>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</si>
  <si>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</si>
  <si>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</si>
  <si>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</si>
  <si>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</si>
  <si>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</si>
  <si>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</si>
  <si>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</si>
  <si>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</si>
  <si>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</si>
  <si>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</si>
  <si>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</si>
  <si>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</si>
  <si>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</si>
  <si>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</si>
  <si>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</si>
  <si>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</si>
  <si>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</si>
  <si>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</si>
  <si>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</si>
  <si>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</si>
  <si>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</si>
  <si>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</si>
  <si>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</si>
  <si>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</si>
  <si>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</si>
  <si>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</si>
  <si>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</si>
  <si>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</si>
  <si>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</si>
  <si>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</si>
  <si>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</si>
  <si>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</si>
  <si>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</si>
  <si>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</si>
  <si>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</si>
  <si>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</si>
  <si>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</si>
  <si>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</si>
  <si>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</si>
  <si>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</si>
  <si>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</si>
  <si>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</si>
  <si>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</si>
  <si>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</si>
  <si>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</si>
  <si>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</si>
  <si>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</si>
  <si>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</si>
  <si>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</si>
  <si>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</si>
  <si>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</si>
  <si>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</si>
  <si>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</si>
  <si>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</si>
  <si>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</si>
  <si>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</si>
  <si>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</si>
  <si>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</si>
  <si>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</si>
  <si>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</si>
  <si>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</si>
  <si>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</si>
  <si>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</si>
  <si>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</si>
  <si>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</si>
  <si>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</si>
  <si>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</si>
  <si>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</si>
  <si>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</si>
  <si>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</si>
  <si>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</si>
  <si>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</si>
  <si>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</si>
  <si>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</si>
  <si>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</si>
  <si>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</si>
  <si>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</si>
  <si>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</si>
  <si>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</si>
  <si>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</si>
  <si>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</si>
  <si>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</si>
  <si>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</si>
  <si>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</si>
  <si>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</si>
  <si>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</si>
  <si>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</si>
  <si>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</si>
  <si>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</si>
  <si>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</si>
  <si>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</si>
  <si>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</si>
  <si>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</si>
  <si>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</si>
  <si>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</si>
  <si>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</si>
  <si>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</si>
  <si>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</si>
  <si>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</si>
  <si>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</si>
  <si>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</si>
  <si>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</si>
  <si>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</si>
  <si>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</si>
  <si>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</si>
  <si>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</si>
  <si>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</si>
  <si>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</si>
  <si>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</si>
  <si>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</si>
  <si>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</si>
  <si>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</si>
  <si>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</si>
  <si>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</si>
  <si>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</si>
  <si>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</si>
  <si>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</si>
  <si>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</si>
  <si>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</si>
  <si>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</si>
  <si>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</si>
  <si>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</si>
  <si>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</si>
  <si>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</si>
  <si>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</si>
  <si>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</si>
  <si>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</si>
  <si>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</si>
  <si>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</si>
  <si>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</si>
  <si>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</si>
  <si>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</si>
  <si>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</si>
  <si>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</si>
  <si>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</si>
  <si>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</si>
  <si>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</si>
  <si>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</si>
  <si>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</si>
  <si>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</si>
  <si>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</si>
  <si>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</si>
  <si>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</si>
  <si>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</si>
  <si>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</si>
  <si>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</si>
  <si>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</si>
  <si>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</si>
  <si>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</si>
  <si>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</si>
  <si>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</si>
  <si>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</si>
  <si>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</si>
  <si>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</si>
  <si>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</si>
  <si>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</si>
  <si>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</si>
  <si>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</si>
  <si>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</si>
  <si>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</si>
  <si>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</si>
  <si>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</si>
  <si>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</si>
  <si>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</si>
  <si>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</si>
  <si>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</si>
  <si>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</si>
  <si>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</si>
  <si>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</si>
  <si>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</si>
  <si>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</si>
  <si>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</si>
  <si>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</si>
  <si>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</si>
  <si>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</si>
  <si>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</si>
  <si>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</si>
  <si>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</si>
  <si>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</si>
  <si>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</si>
  <si>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</si>
  <si>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</si>
  <si>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</si>
  <si>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</si>
  <si>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</si>
  <si>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</si>
  <si>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</si>
  <si>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</si>
  <si>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</si>
  <si>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</si>
  <si>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</si>
  <si>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</si>
  <si>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</si>
  <si>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</si>
  <si>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</si>
  <si>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</si>
  <si>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</si>
  <si>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</si>
  <si>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</si>
  <si>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</si>
  <si>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</si>
  <si>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</si>
  <si>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</si>
  <si>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</si>
  <si>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</si>
  <si>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</si>
  <si>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</si>
  <si>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</si>
  <si>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</si>
  <si>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</si>
  <si>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</si>
  <si>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</si>
  <si>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</si>
  <si>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</si>
  <si>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</si>
  <si>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</si>
  <si>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</si>
  <si>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</si>
  <si>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</si>
  <si>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</si>
  <si>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</si>
  <si>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</si>
  <si>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</si>
  <si>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</si>
  <si>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</si>
  <si>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</si>
  <si>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</si>
  <si>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</si>
  <si>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</si>
  <si>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</si>
  <si>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</si>
  <si>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</si>
  <si>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</si>
  <si>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</si>
  <si>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</si>
  <si>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</si>
  <si>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</si>
  <si>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</si>
  <si>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</si>
  <si>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</si>
  <si>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</si>
  <si>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</si>
  <si>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</si>
  <si>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</si>
  <si>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</si>
  <si>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</si>
  <si>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</si>
  <si>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</si>
  <si>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</si>
  <si>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</si>
  <si>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</si>
  <si>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</si>
  <si>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</si>
  <si>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</si>
  <si>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</si>
  <si>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</si>
  <si>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</si>
  <si>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</si>
  <si>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</si>
  <si>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</si>
  <si>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</si>
  <si>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</si>
  <si>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</si>
  <si>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</si>
  <si>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</si>
  <si>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</si>
  <si>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</si>
  <si>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</si>
  <si>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</si>
  <si>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</si>
  <si>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</si>
  <si>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</si>
  <si>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</si>
  <si>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</si>
  <si>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</si>
  <si>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</si>
  <si>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</si>
  <si>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</si>
  <si>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</si>
  <si>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</si>
  <si>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</si>
  <si>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</si>
  <si>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</si>
  <si>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</si>
  <si>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</si>
  <si>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</si>
  <si>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</si>
  <si>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</si>
  <si>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</si>
  <si>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</si>
  <si>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</si>
  <si>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</si>
  <si>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</si>
  <si>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</si>
  <si>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</si>
  <si>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</si>
  <si>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</si>
  <si>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</si>
  <si>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</si>
  <si>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</si>
  <si>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</si>
  <si>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</si>
  <si>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</si>
  <si>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</si>
  <si>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</si>
  <si>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</si>
  <si>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</si>
  <si>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</si>
  <si>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</si>
  <si>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</si>
  <si>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</si>
  <si>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</si>
  <si>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</si>
  <si>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</si>
  <si>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</si>
  <si>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</si>
  <si>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</si>
  <si>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</si>
  <si>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</si>
  <si>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</si>
  <si>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</si>
  <si>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</si>
  <si>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</si>
  <si>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</si>
  <si>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</si>
  <si>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</si>
  <si>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</si>
  <si>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</si>
  <si>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</si>
  <si>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</si>
  <si>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</si>
  <si>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</si>
  <si>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</si>
  <si>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</si>
  <si>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</si>
  <si>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</si>
  <si>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</si>
  <si>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</si>
  <si>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</si>
  <si>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</si>
  <si>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</si>
  <si>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</si>
  <si>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</si>
  <si>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</si>
  <si>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</si>
  <si>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</si>
  <si>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</si>
  <si>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</si>
  <si>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</si>
  <si>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</si>
  <si>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</si>
  <si>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</si>
  <si>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</si>
  <si>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</si>
  <si>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</si>
  <si>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</si>
  <si>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</si>
  <si>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</si>
  <si>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</si>
  <si>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</si>
  <si>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</si>
  <si>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</si>
  <si>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</si>
  <si>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</si>
  <si>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</si>
  <si>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</si>
  <si>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</si>
  <si>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</si>
  <si>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</si>
  <si>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</si>
  <si>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</si>
  <si>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</si>
  <si>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</si>
  <si>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</si>
  <si>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</si>
  <si>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</si>
  <si>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</si>
  <si>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</si>
  <si>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</si>
  <si>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</si>
  <si>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</si>
  <si>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</si>
  <si>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</si>
  <si>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</si>
  <si>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</si>
  <si>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</si>
  <si>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</si>
  <si>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</si>
  <si>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</si>
  <si>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</si>
  <si>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</si>
  <si>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</si>
  <si>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</si>
  <si>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</si>
  <si>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</si>
  <si>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</si>
  <si>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</si>
  <si>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</si>
  <si>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</si>
  <si>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</si>
  <si>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</si>
  <si>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</si>
  <si>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</si>
  <si>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</si>
  <si>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</si>
  <si>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</si>
  <si>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</si>
  <si>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</si>
  <si>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</si>
  <si>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</si>
  <si>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</si>
  <si>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</si>
  <si>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</si>
  <si>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</si>
  <si>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</si>
  <si>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</si>
  <si>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</si>
  <si>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</si>
  <si>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</si>
  <si>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</si>
  <si>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</si>
  <si>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</si>
  <si>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</si>
  <si>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</si>
  <si>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</si>
  <si>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</si>
  <si>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</si>
  <si>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</si>
  <si>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</si>
  <si>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</si>
  <si>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</si>
  <si>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</si>
  <si>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</si>
  <si>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</si>
  <si>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</si>
  <si>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</si>
  <si>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</si>
  <si>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</si>
  <si>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</si>
  <si>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</si>
  <si>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</si>
  <si>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</si>
  <si>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</si>
  <si>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</si>
  <si>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</si>
  <si>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</si>
  <si>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</si>
  <si>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</si>
  <si>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</si>
  <si>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</si>
  <si>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</si>
  <si>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</si>
  <si>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</si>
  <si>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</si>
  <si>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</si>
  <si>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</si>
  <si>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</si>
  <si>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</si>
  <si>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</si>
  <si>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</si>
  <si>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</si>
  <si>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</si>
  <si>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</si>
  <si>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</si>
  <si>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</si>
  <si>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</si>
  <si>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</si>
  <si>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</si>
  <si>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</si>
  <si>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</si>
  <si>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</si>
  <si>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</si>
  <si>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</si>
  <si>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</si>
  <si>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</si>
  <si>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</si>
  <si>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</si>
  <si>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</si>
  <si>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</si>
  <si>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</si>
  <si>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</si>
  <si>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</si>
  <si>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</si>
  <si>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</si>
  <si>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</si>
  <si>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</si>
  <si>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</si>
  <si>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</si>
  <si>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</si>
  <si>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</si>
  <si>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</si>
  <si>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</si>
  <si>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</si>
  <si>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</si>
  <si>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</si>
  <si>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</si>
  <si>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</si>
  <si>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</si>
  <si>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</si>
  <si>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</si>
  <si>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</si>
  <si>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</si>
  <si>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</si>
  <si>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</si>
  <si>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</si>
  <si>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</si>
  <si>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</si>
  <si>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</si>
  <si>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</si>
  <si>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</si>
  <si>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</si>
  <si>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</si>
  <si>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</si>
  <si>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</si>
  <si>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</si>
  <si>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</si>
  <si>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</si>
  <si>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</si>
  <si>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</si>
  <si>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</si>
  <si>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</si>
  <si>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</si>
  <si>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</si>
  <si>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</si>
  <si>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</si>
  <si>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</si>
  <si>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</si>
  <si>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</si>
  <si>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</si>
  <si>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</si>
  <si>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</si>
  <si>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</si>
  <si>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</si>
  <si>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</si>
  <si>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</si>
  <si>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</si>
  <si>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</si>
  <si>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</si>
  <si>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</si>
  <si>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</si>
  <si>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</si>
  <si>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</si>
  <si>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</si>
  <si>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</si>
  <si>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</si>
  <si>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</si>
  <si>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</si>
  <si>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</si>
  <si>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</si>
  <si>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</si>
  <si>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</si>
  <si>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</si>
  <si>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</si>
  <si>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</si>
  <si>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</si>
  <si>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</si>
  <si>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</si>
  <si>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</si>
  <si>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</si>
  <si>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</si>
  <si>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</si>
  <si>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</si>
  <si>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</si>
  <si>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</si>
  <si>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</si>
  <si>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</si>
  <si>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</si>
  <si>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</si>
  <si>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</si>
  <si>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</si>
  <si>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</si>
  <si>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</si>
  <si>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</si>
  <si>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</si>
  <si>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</si>
  <si>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</si>
  <si>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</si>
  <si>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</si>
  <si>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</si>
  <si>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</si>
  <si>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</si>
  <si>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</si>
  <si>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</si>
  <si>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</si>
  <si>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</si>
  <si>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</si>
  <si>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</si>
  <si>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</si>
  <si>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</si>
  <si>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</si>
  <si>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</si>
  <si>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</si>
  <si>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</si>
  <si>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</si>
  <si>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</si>
  <si>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</si>
  <si>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</si>
  <si>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</si>
  <si>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</si>
  <si>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</si>
  <si>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</si>
  <si>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</si>
  <si>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</si>
  <si>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</si>
  <si>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</si>
  <si>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</si>
  <si>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</si>
  <si>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</si>
  <si>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</si>
  <si>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</si>
  <si>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</si>
  <si>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</si>
  <si>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</si>
  <si>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</si>
  <si>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</si>
  <si>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</si>
  <si>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</si>
  <si>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</si>
  <si>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</si>
  <si>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</si>
  <si>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</si>
  <si>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</si>
  <si>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</si>
  <si>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</si>
  <si>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</si>
  <si>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</si>
  <si>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</si>
  <si>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</si>
  <si>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</si>
  <si>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</si>
  <si>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</si>
  <si>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</si>
  <si>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</si>
  <si>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</si>
  <si>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</si>
  <si>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</si>
  <si>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</si>
  <si>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</si>
  <si>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</si>
  <si>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</si>
  <si>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</si>
  <si>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</si>
  <si>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</si>
  <si>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</si>
  <si>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</si>
  <si>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</si>
  <si>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</si>
  <si>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</si>
  <si>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</si>
  <si>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</si>
  <si>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</si>
  <si>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</si>
  <si>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</si>
  <si>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</si>
  <si>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</si>
  <si>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</si>
  <si>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</si>
  <si>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</si>
  <si>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</si>
  <si>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</si>
  <si>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</si>
  <si>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</si>
  <si>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</si>
  <si>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</si>
  <si>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</si>
  <si>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</si>
  <si>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</si>
  <si>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</si>
  <si>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</si>
  <si>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</si>
  <si>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</si>
  <si>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</si>
  <si>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</si>
  <si>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</si>
  <si>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</si>
  <si>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</si>
  <si>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</si>
  <si>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</si>
  <si>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</si>
  <si>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</si>
  <si>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</si>
  <si>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</si>
  <si>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</si>
  <si>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</si>
  <si>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</si>
  <si>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</si>
  <si>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</si>
  <si>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</si>
  <si>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</si>
  <si>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</si>
  <si>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</si>
  <si>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</si>
  <si>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</si>
  <si>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</si>
  <si>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</si>
  <si>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</si>
  <si>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</si>
  <si>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</si>
  <si>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</si>
  <si>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</si>
  <si>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</si>
  <si>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</si>
  <si>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</si>
  <si>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</si>
  <si>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</si>
  <si>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</si>
  <si>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</si>
  <si>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</si>
  <si>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</si>
  <si>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</si>
  <si>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</si>
  <si>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</si>
  <si>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</si>
  <si>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</si>
  <si>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</si>
  <si>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</si>
  <si>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</si>
  <si>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</si>
  <si>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</si>
  <si>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</si>
  <si>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</si>
  <si>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</si>
  <si>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</si>
  <si>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</si>
  <si>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</si>
  <si>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</si>
  <si>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</si>
  <si>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</si>
  <si>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</si>
  <si>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</si>
  <si>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</si>
  <si>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</si>
  <si>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</si>
  <si>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</si>
  <si>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</si>
  <si>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</si>
  <si>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</si>
  <si>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</si>
  <si>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</si>
  <si>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</si>
  <si>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</si>
  <si>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</si>
  <si>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</si>
  <si>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</si>
  <si>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</si>
  <si>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</si>
  <si>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</si>
  <si>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</si>
  <si>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</si>
  <si>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</si>
  <si>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</si>
  <si>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</si>
  <si>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</si>
  <si>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</si>
  <si>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</si>
  <si>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</si>
  <si>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</si>
  <si>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</si>
  <si>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</si>
  <si>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</si>
  <si>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</si>
  <si>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</si>
  <si>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</si>
  <si>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</si>
  <si>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</si>
  <si>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</si>
  <si>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</si>
  <si>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</si>
  <si>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</si>
  <si>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</si>
  <si>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</si>
  <si>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</si>
  <si>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</si>
  <si>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</si>
  <si>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</si>
  <si>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</si>
  <si>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</si>
  <si>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</si>
  <si>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</si>
  <si>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</si>
  <si>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</si>
  <si>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</si>
  <si>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</si>
  <si>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</si>
  <si>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</si>
  <si>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</si>
  <si>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</si>
  <si>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</si>
  <si>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</si>
  <si>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</si>
  <si>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</si>
  <si>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</si>
  <si>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</si>
  <si>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</si>
  <si>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</si>
  <si>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</si>
  <si>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</si>
  <si>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</si>
  <si>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</si>
  <si>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</si>
  <si>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</si>
  <si>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</si>
  <si>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</si>
  <si>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</si>
  <si>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</si>
  <si>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</si>
  <si>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</si>
  <si>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</si>
  <si>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</si>
  <si>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</si>
  <si>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</si>
  <si>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</si>
  <si>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</si>
  <si>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</si>
  <si>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</si>
  <si>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</si>
  <si>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</si>
  <si>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</si>
  <si>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</si>
  <si>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</si>
  <si>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</si>
  <si>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</si>
  <si>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</si>
  <si>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</si>
  <si>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</si>
  <si>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</si>
  <si>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</si>
  <si>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</si>
  <si>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</si>
  <si>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</si>
  <si>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</si>
  <si>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</si>
  <si>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</si>
  <si>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</si>
  <si>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</si>
  <si>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</si>
  <si>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</si>
  <si>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</si>
  <si>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</si>
  <si>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</si>
  <si>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</si>
  <si>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</si>
  <si>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</si>
  <si>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</si>
  <si>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</si>
  <si>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</si>
  <si>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</si>
  <si>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</si>
  <si>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</si>
  <si>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</si>
  <si>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</si>
  <si>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</si>
  <si>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</si>
  <si>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</si>
  <si>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</si>
  <si>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</si>
  <si>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</si>
  <si>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</si>
  <si>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</si>
  <si>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</si>
  <si>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</si>
  <si>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</si>
  <si>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</si>
  <si>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</si>
  <si>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</si>
  <si>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</si>
  <si>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</si>
  <si>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</si>
  <si>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</si>
  <si>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</si>
  <si>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</si>
  <si>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</si>
  <si>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</si>
  <si>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</si>
  <si>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</si>
  <si>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</si>
  <si>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</si>
  <si>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</si>
  <si>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</si>
  <si>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</si>
  <si>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</si>
  <si>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</si>
  <si>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</si>
  <si>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</si>
  <si>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</si>
  <si>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</si>
  <si>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</si>
  <si>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</si>
  <si>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</si>
  <si>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</si>
  <si>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</si>
  <si>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</si>
  <si>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</si>
  <si>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</si>
  <si>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</si>
  <si>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</si>
  <si>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</si>
  <si>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</si>
  <si>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</si>
  <si>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</si>
  <si>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</si>
  <si>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</si>
  <si>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</si>
  <si>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</si>
  <si>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</si>
  <si>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</si>
  <si>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</si>
  <si>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</si>
  <si>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</si>
  <si>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</si>
  <si>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</si>
  <si>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</si>
  <si>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</si>
  <si>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</si>
  <si>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</si>
  <si>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</si>
  <si>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</si>
  <si>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</si>
  <si>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</si>
  <si>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</si>
  <si>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</si>
  <si>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</si>
  <si>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</si>
  <si>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</si>
  <si>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</si>
  <si>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</si>
  <si>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</si>
  <si>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</si>
  <si>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</si>
  <si>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</si>
  <si>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</si>
  <si>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</si>
  <si>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</si>
  <si>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</si>
  <si>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</si>
  <si>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</si>
  <si>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</si>
  <si>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</si>
  <si>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</si>
  <si>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</si>
  <si>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</si>
  <si>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</si>
  <si>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</si>
  <si>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</si>
  <si>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</si>
  <si>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</si>
  <si>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</si>
  <si>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</si>
  <si>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</si>
  <si>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</si>
  <si>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</si>
  <si>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</si>
  <si>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</si>
  <si>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</si>
  <si>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</si>
  <si>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</si>
  <si>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</si>
  <si>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</si>
  <si>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</si>
  <si>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</si>
  <si>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</si>
  <si>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</si>
  <si>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</si>
  <si>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</si>
  <si>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</si>
  <si>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</si>
  <si>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</si>
  <si>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</si>
  <si>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</si>
  <si>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</si>
  <si>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</si>
  <si>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</si>
  <si>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</si>
  <si>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</si>
  <si>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</si>
  <si>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</si>
  <si>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</si>
  <si>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</si>
  <si>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</si>
  <si>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</si>
  <si>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</si>
  <si>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</si>
  <si>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</si>
  <si>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</si>
  <si>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</si>
  <si>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</si>
  <si>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</si>
  <si>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</si>
  <si>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</si>
  <si>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</si>
  <si>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</si>
  <si>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</si>
  <si>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</si>
  <si>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</si>
  <si>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</si>
  <si>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</si>
  <si>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</si>
  <si>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</si>
  <si>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</si>
  <si>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</si>
  <si>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</si>
  <si>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</si>
  <si>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</si>
  <si>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</si>
  <si>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</si>
  <si>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</si>
  <si>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</si>
  <si>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</si>
  <si>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</si>
  <si>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</si>
  <si>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</si>
  <si>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</si>
  <si>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</si>
  <si>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</si>
  <si>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</si>
  <si>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</si>
  <si>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</si>
  <si>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</si>
  <si>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</si>
  <si>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</si>
  <si>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</si>
  <si>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</si>
  <si>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</si>
  <si>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</si>
  <si>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</si>
  <si>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</si>
  <si>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</si>
  <si>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</si>
  <si>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</si>
  <si>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</si>
  <si>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</si>
  <si>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</si>
  <si>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</si>
  <si>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</si>
  <si>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</si>
  <si>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</si>
  <si>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</si>
  <si>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</si>
  <si>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</si>
  <si>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</si>
  <si>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</si>
  <si>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</si>
  <si>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</si>
  <si>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</si>
  <si>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</si>
  <si>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</si>
  <si>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</si>
  <si>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</si>
  <si>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</si>
  <si>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</si>
  <si>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</si>
  <si>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</si>
  <si>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</si>
  <si>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</si>
  <si>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</si>
  <si>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</si>
  <si>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</si>
  <si>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</si>
  <si>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</si>
  <si>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</si>
  <si>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</si>
  <si>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</si>
  <si>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</si>
  <si>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</si>
  <si>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</si>
  <si>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</si>
  <si>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</si>
  <si>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</si>
  <si>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</si>
  <si>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</si>
  <si>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</si>
  <si>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</si>
  <si>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</si>
  <si>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</si>
  <si>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</si>
  <si>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</si>
  <si>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</si>
  <si>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</si>
  <si>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</si>
  <si>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</si>
  <si>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</si>
  <si>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</si>
  <si>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</si>
  <si>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</si>
  <si>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</si>
  <si>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</si>
  <si>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</si>
  <si>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</si>
  <si>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</si>
  <si>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</si>
  <si>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</si>
  <si>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</si>
  <si>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</si>
  <si>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</si>
  <si>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</si>
  <si>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</si>
  <si>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</si>
  <si>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</si>
  <si>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</si>
  <si>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</si>
  <si>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</si>
  <si>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</si>
  <si>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</si>
  <si>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</si>
  <si>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</si>
  <si>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</si>
  <si>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</si>
  <si>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</si>
  <si>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</si>
  <si>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</si>
  <si>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</si>
  <si>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</si>
  <si>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</si>
  <si>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</si>
  <si>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</si>
  <si>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</si>
  <si>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</si>
  <si>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</si>
  <si>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</si>
  <si>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</si>
  <si>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</si>
  <si>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</si>
  <si>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</si>
  <si>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</si>
  <si>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</si>
  <si>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</si>
  <si>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</si>
  <si>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</si>
  <si>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</si>
  <si>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</si>
  <si>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</si>
  <si>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</si>
  <si>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</si>
  <si>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</si>
  <si>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</si>
  <si>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</si>
  <si>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</si>
  <si>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</si>
  <si>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</si>
  <si>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</si>
  <si>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</si>
  <si>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</si>
  <si>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</si>
  <si>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</si>
  <si>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</si>
  <si>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</si>
  <si>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</si>
  <si>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</si>
  <si>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</si>
  <si>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</si>
  <si>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</si>
  <si>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</si>
  <si>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</si>
  <si>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</si>
  <si>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</si>
  <si>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</si>
  <si>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</si>
  <si>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</si>
  <si>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</si>
  <si>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</si>
  <si>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</si>
  <si>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</si>
  <si>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</si>
  <si>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</si>
  <si>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</si>
  <si>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</si>
  <si>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</si>
  <si>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</si>
  <si>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</si>
  <si>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</si>
  <si>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</si>
  <si>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</si>
  <si>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</si>
  <si>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</si>
  <si>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</si>
  <si>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</si>
  <si>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</si>
  <si>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</si>
  <si>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</si>
  <si>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</si>
  <si>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</si>
  <si>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</si>
  <si>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</si>
  <si>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</si>
  <si>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</si>
  <si>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</si>
  <si>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</si>
  <si>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</si>
  <si>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</si>
  <si>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</si>
  <si>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</si>
  <si>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</si>
  <si>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</si>
  <si>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</si>
  <si>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</si>
  <si>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</si>
  <si>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</si>
  <si>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</si>
  <si>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</si>
  <si>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</si>
  <si>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</si>
  <si>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</si>
  <si>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</si>
  <si>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</si>
  <si>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</si>
  <si>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</si>
  <si>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</si>
  <si>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</si>
  <si>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</si>
  <si>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</si>
  <si>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</si>
  <si>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</si>
  <si>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</si>
  <si>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</si>
  <si>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</si>
  <si>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</si>
  <si>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</si>
  <si>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</si>
  <si>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</si>
  <si>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</si>
  <si>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</si>
  <si>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</si>
  <si>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</si>
  <si>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</si>
  <si>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</si>
  <si>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</si>
  <si>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</si>
  <si>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</si>
  <si>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</si>
  <si>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</si>
  <si>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</si>
  <si>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</si>
  <si>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</si>
  <si>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</si>
  <si>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</si>
  <si>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</si>
  <si>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</si>
  <si>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</si>
  <si>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</si>
  <si>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</si>
  <si>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</si>
  <si>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</si>
  <si>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</si>
  <si>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</si>
  <si>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</si>
  <si>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</si>
  <si>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</si>
  <si>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</si>
  <si>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</si>
  <si>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</si>
  <si>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</si>
  <si>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</si>
  <si>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</si>
  <si>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</si>
  <si>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</si>
  <si>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</si>
  <si>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</si>
  <si>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</si>
  <si>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</si>
  <si>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</si>
  <si>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</si>
  <si>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</si>
  <si>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</si>
  <si>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</si>
  <si>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</si>
  <si>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</si>
  <si>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</si>
  <si>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</si>
  <si>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</si>
  <si>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</si>
  <si>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</si>
  <si>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</si>
  <si>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</si>
  <si>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</si>
  <si>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</si>
  <si>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</si>
  <si>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</si>
  <si>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</si>
  <si>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</si>
  <si>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</si>
  <si>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</si>
  <si>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</si>
  <si>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</si>
  <si>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</si>
  <si>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</si>
  <si>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</si>
  <si>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</si>
  <si>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</si>
  <si>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</si>
  <si>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</si>
  <si>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</si>
  <si>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</si>
  <si>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</si>
  <si>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</si>
  <si>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</si>
  <si>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</si>
  <si>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</si>
  <si>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</si>
  <si>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</si>
  <si>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</si>
  <si>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</si>
  <si>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</si>
  <si>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</si>
  <si>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</si>
  <si>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</si>
  <si>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</si>
  <si>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</si>
  <si>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</si>
  <si>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</si>
  <si>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</si>
  <si>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</si>
  <si>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</si>
  <si>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</si>
  <si>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</si>
  <si>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</si>
  <si>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</si>
  <si>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</si>
  <si>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</si>
  <si>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</si>
  <si>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</si>
  <si>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</si>
  <si>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</si>
  <si>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</si>
  <si>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</si>
  <si>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</si>
  <si>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</si>
  <si>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</si>
  <si>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</si>
  <si>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</si>
  <si>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</si>
  <si>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</si>
  <si>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</si>
  <si>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</si>
  <si>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</si>
  <si>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</si>
  <si>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</si>
  <si>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</si>
  <si>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</si>
  <si>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</si>
  <si>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</si>
  <si>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</si>
  <si>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</si>
  <si>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</si>
  <si>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</si>
  <si>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</si>
  <si>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</si>
  <si>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</si>
  <si>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</si>
  <si>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</si>
  <si>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</si>
  <si>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</si>
  <si>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</si>
  <si>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</si>
  <si>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</si>
  <si>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</si>
  <si>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</si>
  <si>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</si>
  <si>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</si>
  <si>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</si>
  <si>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</si>
  <si>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</si>
  <si>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</si>
  <si>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</si>
  <si>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</si>
  <si>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</si>
  <si>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</si>
  <si>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</si>
  <si>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</si>
  <si>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</si>
  <si>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</si>
  <si>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</si>
  <si>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</si>
  <si>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</si>
  <si>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</si>
  <si>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</si>
  <si>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</si>
  <si>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</si>
  <si>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</si>
  <si>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</si>
  <si>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</si>
  <si>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</si>
  <si>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</si>
  <si>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</si>
  <si>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</si>
  <si>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</si>
  <si>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</si>
  <si>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</si>
  <si>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</si>
  <si>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</si>
  <si>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</si>
  <si>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</si>
  <si>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</si>
  <si>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</si>
  <si>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</si>
  <si>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</si>
  <si>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</si>
  <si>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</si>
  <si>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</si>
  <si>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</si>
  <si>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</si>
  <si>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</si>
  <si>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</si>
  <si>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</si>
  <si>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</si>
  <si>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</si>
  <si>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</si>
  <si>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</si>
  <si>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</si>
  <si>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</si>
  <si>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</si>
  <si>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</si>
  <si>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</si>
  <si>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</si>
  <si>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</si>
  <si>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</si>
  <si>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</si>
  <si>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</si>
  <si>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</si>
  <si>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</si>
  <si>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</si>
  <si>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</si>
  <si>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</si>
  <si>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</si>
  <si>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</si>
  <si>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</si>
  <si>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</si>
  <si>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</si>
  <si>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</si>
  <si>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</si>
  <si>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</si>
  <si>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</si>
  <si>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</si>
  <si>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</si>
  <si>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</si>
  <si>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</si>
  <si>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</si>
  <si>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</si>
  <si>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</si>
  <si>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</si>
  <si>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</si>
  <si>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</si>
  <si>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</si>
  <si>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</si>
  <si>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</si>
  <si>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</si>
  <si>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</si>
  <si>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</si>
  <si>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</si>
  <si>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</si>
  <si>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</si>
  <si>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</si>
  <si>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</si>
  <si>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</si>
  <si>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</si>
  <si>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</si>
  <si>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</si>
  <si>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</si>
  <si>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</si>
  <si>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</si>
  <si>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</si>
  <si>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</si>
  <si>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</si>
  <si>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</si>
  <si>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</si>
  <si>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</si>
  <si>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</si>
  <si>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</si>
  <si>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</si>
  <si>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</si>
  <si>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</si>
  <si>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</si>
  <si>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</si>
  <si>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</si>
  <si>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</si>
  <si>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</si>
  <si>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</si>
  <si>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</si>
  <si>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</si>
  <si>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</si>
  <si>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</si>
  <si>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</si>
  <si>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</si>
  <si>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</si>
  <si>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</si>
  <si>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</si>
  <si>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</si>
  <si>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</si>
  <si>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</si>
  <si>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</si>
  <si>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</si>
  <si>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</si>
  <si>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</si>
  <si>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</si>
  <si>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</si>
  <si>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</si>
  <si>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</si>
  <si>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</si>
  <si>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</si>
  <si>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</si>
  <si>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</si>
  <si>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</si>
  <si>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</si>
  <si>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</si>
  <si>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</si>
  <si>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</si>
  <si>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</si>
  <si>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</si>
  <si>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</si>
  <si>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</si>
  <si>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</si>
  <si>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</si>
  <si>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</si>
  <si>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</si>
  <si>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</si>
  <si>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</si>
  <si>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</si>
  <si>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</si>
  <si>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</si>
  <si>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</si>
  <si>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</si>
  <si>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</si>
  <si>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</si>
  <si>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2019-2</t>
    <phoneticPr fontId="108" type="noConversion"/>
  </si>
  <si>
    <t>2019-1</t>
    <phoneticPr fontId="3" type="noConversion"/>
  </si>
  <si>
    <t>级别开发程度</t>
    <phoneticPr fontId="3" type="noConversion"/>
  </si>
  <si>
    <t>2014修正</t>
    <phoneticPr fontId="66" type="noConversion"/>
  </si>
  <si>
    <t>钢混</t>
  </si>
  <si>
    <t>住宅/居住</t>
  </si>
  <si>
    <t>居住用地（指二类居住用地）</t>
  </si>
  <si>
    <t>地上</t>
  </si>
  <si>
    <t>四环路内</t>
  </si>
  <si>
    <t>较好</t>
  </si>
  <si>
    <t>好</t>
  </si>
  <si>
    <t>市区</t>
  </si>
  <si>
    <t>房号</t>
    <phoneticPr fontId="108" type="noConversion"/>
  </si>
  <si>
    <t>合计</t>
    <phoneticPr fontId="108" type="noConversion"/>
  </si>
  <si>
    <t>建筑面积（㎡）</t>
    <phoneticPr fontId="108" type="noConversion"/>
  </si>
  <si>
    <t>住宅用途建筑面积</t>
    <phoneticPr fontId="108" type="noConversion"/>
  </si>
  <si>
    <t>商业用途建筑面积</t>
    <phoneticPr fontId="108" type="noConversion"/>
  </si>
  <si>
    <t>六通一平</t>
  </si>
  <si>
    <t>住宅</t>
    <phoneticPr fontId="108" type="noConversion"/>
  </si>
  <si>
    <t>商业</t>
    <phoneticPr fontId="108" type="noConversion"/>
  </si>
  <si>
    <t>设定容积率</t>
  </si>
  <si>
    <t>2007-2</t>
  </si>
  <si>
    <t>扣毛地价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</si>
</sst>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1" fillId="0" borderId="0">
      <alignment vertical="center"/>
    </xf>
  </cellStyleXfs>
  <cellXfs count="189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1" fillId="5" borderId="129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29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1" xfId="8" applyFont="1" applyFill="1" applyBorder="1" applyAlignment="1" applyProtection="1">
      <alignment horizontal="center" vertical="center" wrapText="1"/>
    </xf>
    <xf numFmtId="0" fontId="151" fillId="13" borderId="132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3" xfId="8" applyFont="1" applyFill="1" applyBorder="1" applyAlignment="1" applyProtection="1">
      <alignment horizontal="center" vertical="center" wrapText="1"/>
    </xf>
    <xf numFmtId="0" fontId="151" fillId="12" borderId="134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5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6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8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0" xfId="8" applyNumberFormat="1" applyFont="1" applyFill="1" applyBorder="1" applyAlignment="1">
      <alignment horizontal="center" vertical="center" wrapText="1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0" fontId="85" fillId="13" borderId="143" xfId="8" applyFont="1" applyFill="1" applyBorder="1" applyAlignment="1">
      <alignment horizontal="center" vertical="center" wrapText="1"/>
    </xf>
    <xf numFmtId="0" fontId="85" fillId="12" borderId="142" xfId="8" applyFont="1" applyFill="1" applyBorder="1" applyAlignment="1">
      <alignment horizontal="center" vertical="center" wrapText="1"/>
    </xf>
    <xf numFmtId="0" fontId="85" fillId="12" borderId="144" xfId="8" applyFont="1" applyFill="1" applyBorder="1" applyAlignment="1">
      <alignment horizontal="center" vertical="center" wrapText="1"/>
    </xf>
    <xf numFmtId="0" fontId="84" fillId="0" borderId="139" xfId="8" applyFont="1" applyBorder="1">
      <alignment vertical="center"/>
    </xf>
    <xf numFmtId="0" fontId="85" fillId="0" borderId="139" xfId="8" applyFont="1" applyBorder="1" applyAlignment="1">
      <alignment horizontal="center" vertical="center"/>
    </xf>
    <xf numFmtId="10" fontId="84" fillId="0" borderId="139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0" borderId="149" xfId="8" applyNumberFormat="1" applyFont="1" applyBorder="1">
      <alignment vertical="center"/>
    </xf>
    <xf numFmtId="10" fontId="84" fillId="6" borderId="139" xfId="8" applyNumberFormat="1" applyFont="1" applyFill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14" borderId="139" xfId="8" applyNumberFormat="1" applyFont="1" applyFill="1" applyBorder="1">
      <alignment vertical="center"/>
    </xf>
    <xf numFmtId="10" fontId="84" fillId="14" borderId="149" xfId="8" applyNumberFormat="1" applyFont="1" applyFill="1" applyBorder="1">
      <alignment vertical="center"/>
    </xf>
    <xf numFmtId="10" fontId="84" fillId="14" borderId="151" xfId="8" applyNumberFormat="1" applyFont="1" applyFill="1" applyBorder="1">
      <alignment vertical="center"/>
    </xf>
    <xf numFmtId="180" fontId="84" fillId="0" borderId="139" xfId="8" applyNumberFormat="1" applyFont="1" applyBorder="1" applyAlignment="1">
      <alignment horizontal="center" vertical="center"/>
    </xf>
    <xf numFmtId="0" fontId="84" fillId="6" borderId="139" xfId="8" applyFont="1" applyFill="1" applyBorder="1">
      <alignment vertical="center"/>
    </xf>
    <xf numFmtId="181" fontId="84" fillId="0" borderId="139" xfId="8" applyNumberFormat="1" applyFont="1" applyBorder="1">
      <alignment vertical="center"/>
    </xf>
    <xf numFmtId="10" fontId="84" fillId="6" borderId="149" xfId="8" applyNumberFormat="1" applyFont="1" applyFill="1" applyBorder="1">
      <alignment vertical="center"/>
    </xf>
    <xf numFmtId="0" fontId="151" fillId="13" borderId="152" xfId="8" applyFont="1" applyFill="1" applyBorder="1" applyAlignment="1">
      <alignment horizontal="center" vertical="center" wrapText="1"/>
    </xf>
    <xf numFmtId="0" fontId="151" fillId="12" borderId="153" xfId="8" applyFont="1" applyFill="1" applyBorder="1" applyAlignment="1">
      <alignment horizontal="center" vertical="center" wrapText="1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39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39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39" xfId="8" applyFont="1" applyFill="1" applyBorder="1" applyAlignment="1">
      <alignment horizontal="center" vertical="center"/>
    </xf>
    <xf numFmtId="0" fontId="155" fillId="15" borderId="146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0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horizontal="center" vertical="center"/>
    </xf>
    <xf numFmtId="181" fontId="84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2" fillId="5" borderId="1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horizontal="center" vertical="center" wrapText="1"/>
      <protection locked="0"/>
    </xf>
    <xf numFmtId="0" fontId="164" fillId="5" borderId="21" xfId="7" applyFont="1" applyFill="1" applyBorder="1" applyAlignment="1" applyProtection="1">
      <alignment horizontal="left" vertical="center" wrapText="1"/>
    </xf>
    <xf numFmtId="0" fontId="151" fillId="12" borderId="116" xfId="9" applyFont="1" applyFill="1" applyBorder="1" applyAlignment="1" applyProtection="1">
      <alignment horizontal="center" vertical="center" wrapText="1"/>
    </xf>
    <xf numFmtId="0" fontId="151" fillId="12" borderId="117" xfId="9" applyFont="1" applyFill="1" applyBorder="1" applyAlignment="1" applyProtection="1">
      <alignment horizontal="center" vertical="center" wrapText="1"/>
    </xf>
    <xf numFmtId="0" fontId="127" fillId="5" borderId="3" xfId="0" applyFont="1" applyFill="1" applyBorder="1" applyAlignment="1" applyProtection="1">
      <alignment vertical="center" wrapText="1"/>
    </xf>
    <xf numFmtId="0" fontId="135" fillId="5" borderId="42" xfId="0" applyFont="1" applyFill="1" applyBorder="1" applyAlignment="1" applyProtection="1">
      <alignment horizontal="center" vertical="center" wrapText="1"/>
    </xf>
    <xf numFmtId="0" fontId="135" fillId="5" borderId="68" xfId="0" applyFont="1" applyFill="1" applyBorder="1" applyAlignment="1" applyProtection="1">
      <alignment horizontal="left" vertical="center" wrapText="1"/>
    </xf>
    <xf numFmtId="0" fontId="50" fillId="5" borderId="69" xfId="0" applyFont="1" applyFill="1" applyBorder="1" applyAlignment="1" applyProtection="1">
      <alignment horizontal="center" vertical="center" wrapText="1"/>
    </xf>
    <xf numFmtId="0" fontId="110" fillId="5" borderId="69" xfId="0" applyFont="1" applyFill="1" applyBorder="1" applyAlignment="1" applyProtection="1">
      <alignment vertical="center"/>
    </xf>
    <xf numFmtId="0" fontId="135" fillId="5" borderId="40" xfId="0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30" xfId="0" applyFont="1" applyFill="1" applyBorder="1" applyAlignment="1" applyProtection="1">
      <alignment vertical="center" wrapText="1"/>
    </xf>
    <xf numFmtId="0" fontId="110" fillId="5" borderId="29" xfId="0" applyFont="1" applyFill="1" applyBorder="1" applyAlignment="1" applyProtection="1">
      <alignment horizontal="center" vertical="center" wrapText="1"/>
    </xf>
    <xf numFmtId="0" fontId="84" fillId="5" borderId="70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left" vertical="center"/>
    </xf>
    <xf numFmtId="0" fontId="52" fillId="5" borderId="69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center" vertical="center" wrapText="1"/>
    </xf>
    <xf numFmtId="0" fontId="52" fillId="5" borderId="68" xfId="0" applyFont="1" applyFill="1" applyBorder="1" applyAlignment="1" applyProtection="1">
      <alignment horizontal="center" vertical="center" wrapText="1"/>
    </xf>
    <xf numFmtId="0" fontId="52" fillId="5" borderId="70" xfId="0" applyFont="1" applyFill="1" applyBorder="1" applyAlignment="1" applyProtection="1">
      <alignment horizontal="center" vertical="center" wrapText="1"/>
    </xf>
    <xf numFmtId="0" fontId="110" fillId="5" borderId="44" xfId="0" applyFont="1" applyFill="1" applyBorder="1" applyAlignment="1" applyProtection="1">
      <alignment horizontal="center" vertical="center" wrapText="1"/>
    </xf>
    <xf numFmtId="0" fontId="110" fillId="6" borderId="59" xfId="0" applyFont="1" applyFill="1" applyBorder="1" applyAlignment="1" applyProtection="1">
      <alignment horizontal="right" vertical="center" wrapText="1"/>
      <protection locked="0"/>
    </xf>
    <xf numFmtId="0" fontId="110" fillId="5" borderId="54" xfId="0" applyFont="1" applyFill="1" applyBorder="1" applyAlignment="1" applyProtection="1">
      <alignment horizontal="center" vertical="center" wrapText="1"/>
    </xf>
    <xf numFmtId="0" fontId="73" fillId="0" borderId="80" xfId="0" applyFont="1" applyFill="1" applyBorder="1" applyAlignment="1" applyProtection="1">
      <alignment horizontal="center" vertical="center" wrapText="1"/>
      <protection locked="0"/>
    </xf>
    <xf numFmtId="0" fontId="7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110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10" fillId="5" borderId="156" xfId="0" applyFont="1" applyFill="1" applyBorder="1" applyAlignment="1" applyProtection="1">
      <alignment horizontal="center" vertical="center" wrapText="1"/>
    </xf>
    <xf numFmtId="0" fontId="110" fillId="5" borderId="157" xfId="0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5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4" fillId="12" borderId="146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5" fillId="0" borderId="130" xfId="8" applyFont="1" applyBorder="1" applyAlignment="1">
      <alignment horizontal="center" vertical="center"/>
    </xf>
    <xf numFmtId="0" fontId="151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3" t="s">
        <v>168</v>
      </c>
      <c r="B15" s="663" t="s">
        <v>253</v>
      </c>
    </row>
    <row r="16" spans="1:7" ht="13.5">
      <c r="A16" s="1764"/>
      <c r="B16" s="664" t="s">
        <v>169</v>
      </c>
    </row>
    <row r="17" spans="1:2" ht="13.5">
      <c r="A17" s="180" t="s">
        <v>170</v>
      </c>
      <c r="B17" s="665"/>
    </row>
    <row r="18" spans="1:2" ht="13.5">
      <c r="A18" s="1762" t="s">
        <v>171</v>
      </c>
      <c r="B18" s="663" t="s">
        <v>1400</v>
      </c>
    </row>
    <row r="19" spans="1:2" ht="13.5">
      <c r="A19" s="1762"/>
      <c r="B19" s="663" t="s">
        <v>1401</v>
      </c>
    </row>
    <row r="20" spans="1:2" ht="13.5">
      <c r="A20" s="1762"/>
      <c r="B20" s="663" t="s">
        <v>1402</v>
      </c>
    </row>
    <row r="21" spans="1:2" ht="13.5">
      <c r="A21" s="1762"/>
      <c r="B21" s="500" t="s">
        <v>172</v>
      </c>
    </row>
    <row r="22" spans="1:2" ht="13.5">
      <c r="A22" s="1762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800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0"/>
      <c r="B19" s="1800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0"/>
      <c r="B20" s="1800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0"/>
      <c r="B21" s="1800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0"/>
      <c r="B22" s="1800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0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0"/>
      <c r="B24" s="1800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0"/>
      <c r="B25" s="1800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0"/>
      <c r="B26" s="1800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0"/>
      <c r="B27" s="1800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0"/>
      <c r="B28" s="1800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0"/>
      <c r="B29" s="1800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0"/>
      <c r="B30" s="1800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0"/>
      <c r="B31" s="1800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0"/>
      <c r="B32" s="1800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0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0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0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0"/>
      <c r="B36" s="1800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0"/>
      <c r="B37" s="1800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0"/>
      <c r="B38" s="1800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0"/>
      <c r="B39" s="1800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0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0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0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0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0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0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0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0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0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0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0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0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0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0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0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0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0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0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0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0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0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0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0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0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0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0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0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0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0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0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0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0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0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0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0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0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0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0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0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0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0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0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0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0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0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0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0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0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0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0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K29" sqref="K29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主表!B7</f>
        <v>49651.21</v>
      </c>
      <c r="I1" s="723" t="s">
        <v>1354</v>
      </c>
      <c r="J1" s="523">
        <f>主表!B6</f>
        <v>0</v>
      </c>
      <c r="AE1" s="728"/>
      <c r="AF1" s="728"/>
    </row>
    <row r="2" spans="1:36" ht="24">
      <c r="A2" s="683" t="s">
        <v>913</v>
      </c>
      <c r="B2" s="630" t="s">
        <v>1570</v>
      </c>
      <c r="C2" s="729" t="s">
        <v>984</v>
      </c>
      <c r="D2" s="730" t="s">
        <v>987</v>
      </c>
      <c r="E2" s="731" t="str">
        <f>主表!B12</f>
        <v>住宅/居住</v>
      </c>
      <c r="F2" s="730" t="s">
        <v>689</v>
      </c>
      <c r="G2" s="732" t="str">
        <f>主表!B10</f>
        <v>二级</v>
      </c>
      <c r="H2" s="731" t="s">
        <v>1364</v>
      </c>
      <c r="I2" s="1338" t="s">
        <v>1781</v>
      </c>
      <c r="J2" s="733"/>
      <c r="AE2" s="728"/>
      <c r="AF2" s="728"/>
    </row>
    <row r="3" spans="1:36" ht="24">
      <c r="A3" s="684" t="s">
        <v>916</v>
      </c>
      <c r="B3" s="1425">
        <f>C18</f>
        <v>7224</v>
      </c>
      <c r="C3" s="729" t="s">
        <v>917</v>
      </c>
      <c r="D3" s="730" t="s">
        <v>256</v>
      </c>
      <c r="E3" s="734" t="s">
        <v>1780</v>
      </c>
      <c r="F3" s="1486" t="s">
        <v>1794</v>
      </c>
      <c r="G3" s="238">
        <f>IF(F3="容积率",主表!B8,主表!B9)</f>
        <v>16.48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1579</v>
      </c>
      <c r="B4" s="630">
        <f>C20</f>
        <v>1394</v>
      </c>
      <c r="C4" s="1424" t="s">
        <v>1581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1580</v>
      </c>
      <c r="B5" s="1423">
        <f>C22</f>
        <v>2890</v>
      </c>
      <c r="C5" s="1426" t="s">
        <v>1582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4780</v>
      </c>
      <c r="D7" s="747" t="s">
        <v>1545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>
        <f>1500*0.4</f>
        <v>600</v>
      </c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32" t="s">
        <v>932</v>
      </c>
      <c r="B9" s="1619" t="s">
        <v>935</v>
      </c>
      <c r="C9" s="1620">
        <f>IF(OR(H9&gt;=DATE(2014,8,28),H9&lt;DATE(2002,12,10)),0,ROUND(I9/F9,4))</f>
        <v>2.0769000000000002</v>
      </c>
      <c r="D9" s="1621" t="s">
        <v>265</v>
      </c>
      <c r="E9" s="1622">
        <v>37257</v>
      </c>
      <c r="F9" s="1623">
        <f>ROUND(SUMIF(地价!B3:F3,E2,地价!B75:F75),0)</f>
        <v>104</v>
      </c>
      <c r="G9" s="1624" t="s">
        <v>266</v>
      </c>
      <c r="H9" s="1625">
        <f>主表!B4</f>
        <v>39212</v>
      </c>
      <c r="I9" s="1626">
        <f>ROUND(SUMPRODUCT((地价!A25:A75=YEAR(H9)&amp;"-"&amp;ROUNDUP(MONTH(H9)/3,0))*(地价!B3:F3=E2)*(地价!B25:F75)),0)</f>
        <v>216</v>
      </c>
      <c r="J9" s="786"/>
      <c r="AE9" s="728"/>
      <c r="AF9" s="728"/>
    </row>
    <row r="10" spans="1:36" ht="16.5" thickBot="1">
      <c r="A10" s="1627" t="s">
        <v>934</v>
      </c>
      <c r="B10" s="1628" t="s">
        <v>202</v>
      </c>
      <c r="C10" s="1629">
        <f>ROUND(POWER(1+E10,H10-G10)*(POWER(1+E10,G10)-1)/(POWER(1+E10,H10)-1),4)</f>
        <v>0.99150000000000005</v>
      </c>
      <c r="D10" s="1508" t="s">
        <v>939</v>
      </c>
      <c r="E10" s="1509">
        <v>4.4999999999999998E-2</v>
      </c>
      <c r="F10" s="1630" t="s">
        <v>1651</v>
      </c>
      <c r="G10" s="1631">
        <f>IF(F10="剩余土地使用年限",主表!B15,主表!B16)</f>
        <v>66.3</v>
      </c>
      <c r="H10" s="1631">
        <f>IF(E2="住宅/居住",70,IF(E2="商业",40,50))</f>
        <v>70</v>
      </c>
      <c r="I10" s="1618"/>
      <c r="J10" s="1632"/>
      <c r="AE10" s="728"/>
      <c r="AF10" s="728"/>
    </row>
    <row r="11" spans="1:36" ht="15">
      <c r="A11" s="761" t="s">
        <v>936</v>
      </c>
      <c r="B11" s="762" t="s">
        <v>941</v>
      </c>
      <c r="C11" s="1339">
        <f>IF(E2="工业",1,IF(G3&gt;10,D14,IF(D11="郊区",D13,D12)))</f>
        <v>0.65710000000000002</v>
      </c>
      <c r="D11" s="1515" t="s">
        <v>1785</v>
      </c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1502</v>
      </c>
      <c r="D12" s="1504" t="str">
        <f>IF(E12=G12,F12,IF(G3&lt;=10,ROUND(F12+(H12-F12)*(G3-E12)/(G12-E12),4),"——"))</f>
        <v>——</v>
      </c>
      <c r="E12" s="1506">
        <f>ROUNDDOWN(G3,1)</f>
        <v>16.399999999999999</v>
      </c>
      <c r="F12" s="1507" t="str">
        <f>IF(G3&lt;=10,SUMPRODUCT(('2002容积率修正'!A3:A102=E12)*('2002容积率修正'!B2:D2=E2)*('2002容积率修正'!B3:D102)),"——")</f>
        <v>——</v>
      </c>
      <c r="G12" s="1505">
        <f>ROUNDUP(G3,1)</f>
        <v>16.5</v>
      </c>
      <c r="H12" s="635" t="str">
        <f>IF(G3&lt;=10,SUMPRODUCT(('2002容积率修正'!A3:A102=G12)*('2002容积率修正'!B2:D2=E2)*('2002容积率修正'!B3:D102)),"——")</f>
        <v>——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1502</v>
      </c>
      <c r="D13" s="1504" t="str">
        <f>IF(E12=G12,F12,IF(G3&lt;=10,ROUND(F12+(H12-F12)*(G3-E12)/(G12-E12),4),"——"))</f>
        <v>——</v>
      </c>
      <c r="E13" s="1506">
        <f>ROUNDDOWN(G3,1)</f>
        <v>16.399999999999999</v>
      </c>
      <c r="F13" s="1507" t="str">
        <f>IF(G3&lt;=10,SUMPRODUCT(('2002容积率修正'!A3:A102=E13)*('2002容积率修正'!E2:G2=E2)*('2002容积率修正'!E3:G102)),"——")</f>
        <v>——</v>
      </c>
      <c r="G13" s="1505">
        <f>ROUNDUP(G3,1)</f>
        <v>16.5</v>
      </c>
      <c r="H13" s="635" t="str">
        <f>IF(G3&lt;=10,SUMPRODUCT(('2002容积率修正'!A3:A102=G13)*('2002容积率修正'!E2:G2=E2)*('2002容积率修正'!E3:G102)),"——")</f>
        <v>——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>
        <f>IF(G3&gt;10,B81,"——")</f>
        <v>0.65710000000000002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1.1281000000000001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7" t="s">
        <v>1337</v>
      </c>
      <c r="B16" s="1628" t="s">
        <v>1346</v>
      </c>
      <c r="C16" s="1758">
        <v>0.99</v>
      </c>
      <c r="D16" s="1633" t="s">
        <v>1350</v>
      </c>
      <c r="E16" s="1510" t="s">
        <v>929</v>
      </c>
      <c r="F16" s="1511" t="s">
        <v>1791</v>
      </c>
      <c r="G16" s="1634" t="s">
        <v>931</v>
      </c>
      <c r="H16" s="1635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6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1503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822" t="s">
        <v>1351</v>
      </c>
      <c r="B18" s="777" t="s">
        <v>1338</v>
      </c>
      <c r="C18" s="643">
        <f>ROUND(C7*C9*C10*C11*C15*C16,0)</f>
        <v>7224</v>
      </c>
      <c r="D18" s="644">
        <f>H1</f>
        <v>49651.21</v>
      </c>
      <c r="E18" s="645">
        <f>ROUND(C18*D18,0)</f>
        <v>358680341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823"/>
      <c r="B19" s="782" t="s">
        <v>1341</v>
      </c>
      <c r="C19" s="635">
        <f>ROUND(C7*C9*C10*C11*C15*C16*G3,0)</f>
        <v>119044</v>
      </c>
      <c r="D19" s="644">
        <f>J1</f>
        <v>0</v>
      </c>
      <c r="E19" s="645">
        <f>ROUND(C19*D19,0)</f>
        <v>0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824" t="s">
        <v>1352</v>
      </c>
      <c r="B20" s="764" t="s">
        <v>1339</v>
      </c>
      <c r="C20" s="649">
        <f>ROUND(IF(G3&gt;=I3,C8*C9*C10*C15,C8*C9*C10*C15*G3),0)</f>
        <v>1394</v>
      </c>
      <c r="D20" s="650">
        <f>H1</f>
        <v>49651.21</v>
      </c>
      <c r="E20" s="651">
        <f>ROUND(C20*D20,0)</f>
        <v>69213787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824"/>
      <c r="B21" s="787" t="s">
        <v>1340</v>
      </c>
      <c r="C21" s="652">
        <f>ROUND(IF(G3&lt;I3,C8*C9*C10*C15,C8*C9*C10*C15*G3),0)</f>
        <v>22970</v>
      </c>
      <c r="D21" s="653">
        <f>J1</f>
        <v>0</v>
      </c>
      <c r="E21" s="654">
        <f t="shared" ref="E21" si="0">ROUND(C21*D21,0)</f>
        <v>0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7" t="s">
        <v>1361</v>
      </c>
      <c r="B22" s="791"/>
      <c r="C22" s="640">
        <f>ROUND(IF(D22="四环路内",C18*0.4,C18*0.6),0)</f>
        <v>2890</v>
      </c>
      <c r="D22" s="792" t="s">
        <v>1782</v>
      </c>
      <c r="E22" s="793"/>
      <c r="F22" s="793"/>
      <c r="G22" s="793"/>
      <c r="H22" s="793"/>
      <c r="I22" s="793"/>
      <c r="J22" s="1638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>
        <f>ROUNDDOWN(1+DATEDIF(E9,H9,"M")/3,0)</f>
        <v>22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11" t="s">
        <v>1504</v>
      </c>
      <c r="C25" s="1485" t="s">
        <v>1795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2"/>
      <c r="C26" s="1435">
        <f>'地价（废）'!L2</f>
        <v>1.41E-2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5">
        <f>'地价（废）'!M2</f>
        <v>1.3100000000000001E-2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5">
        <f>'地价（废）'!N2</f>
        <v>1.3100000000000001E-2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5">
        <f>'地价（废）'!O2</f>
        <v>1.3299999999999999E-2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1.46E-2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 hidden="1">
      <c r="A40" s="242" t="s">
        <v>0</v>
      </c>
      <c r="B40" s="243">
        <f>1+E42</f>
        <v>1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 hidden="1">
      <c r="A41" s="247" t="s">
        <v>895</v>
      </c>
      <c r="B41" s="248" t="s">
        <v>896</v>
      </c>
      <c r="C41" s="248" t="s">
        <v>897</v>
      </c>
      <c r="D41" s="248" t="s">
        <v>1468</v>
      </c>
      <c r="E41" s="809" t="s">
        <v>1469</v>
      </c>
      <c r="F41" s="810" t="s">
        <v>1470</v>
      </c>
      <c r="G41" s="810" t="s">
        <v>1471</v>
      </c>
      <c r="H41" s="810" t="s">
        <v>1472</v>
      </c>
      <c r="I41" s="810" t="s">
        <v>1473</v>
      </c>
      <c r="J41" s="810" t="s">
        <v>1474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 hidden="1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/>
      <c r="D42" s="490">
        <f t="shared" ref="D42:D48" si="1">SUMIF($F$41:$J$41,C42,F42:J42)</f>
        <v>0</v>
      </c>
      <c r="E42" s="253">
        <f>SUM(D42:D48)</f>
        <v>0</v>
      </c>
      <c r="F42" s="528">
        <f>SUMPRODUCT(('2002因素修正幅度'!$A$36:$A$42=A42)*('2002因素修正幅度'!$B$35:$K$35=$G$2)*('2002因素修正幅度'!$B$36:$K$42))</f>
        <v>4.4999999999999998E-2</v>
      </c>
      <c r="G42" s="528">
        <f>F42/2</f>
        <v>2.2499999999999999E-2</v>
      </c>
      <c r="H42" s="529">
        <v>0</v>
      </c>
      <c r="I42" s="528">
        <f>J42/2</f>
        <v>-2.2499999999999999E-2</v>
      </c>
      <c r="J42" s="528">
        <f>SUMPRODUCT(('2002因素修正幅度'!$A$66:$A$72=A42)*('2002因素修正幅度'!$B$35:$K$35=$G$2)*('2002因素修正幅度'!$B$66:$K$72))</f>
        <v>-4.4999999999999998E-2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/>
      <c r="D43" s="490">
        <f t="shared" si="1"/>
        <v>0</v>
      </c>
      <c r="E43" s="255"/>
      <c r="F43" s="528">
        <f>SUMPRODUCT(('2002因素修正幅度'!$A$36:$A$42=A43)*('2002因素修正幅度'!$B$35:$K$35=$G$2)*('2002因素修正幅度'!$B$36:$K$42))</f>
        <v>2.2499999999999999E-2</v>
      </c>
      <c r="G43" s="528">
        <f t="shared" ref="G43:G48" si="2">F43/2</f>
        <v>1.125E-2</v>
      </c>
      <c r="H43" s="529">
        <v>0</v>
      </c>
      <c r="I43" s="528">
        <f t="shared" ref="I43:I48" si="3">J43/2</f>
        <v>-1.125E-2</v>
      </c>
      <c r="J43" s="528">
        <f>SUMPRODUCT(('2002因素修正幅度'!$A$66:$A$72=A43)*('2002因素修正幅度'!$B$35:$K$35=$G$2)*('2002因素修正幅度'!$B$66:$K$72))</f>
        <v>-2.2499999999999999E-2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811"/>
      <c r="D44" s="490">
        <f t="shared" si="1"/>
        <v>0</v>
      </c>
      <c r="E44" s="255"/>
      <c r="F44" s="528">
        <f>SUMPRODUCT(('2002因素修正幅度'!$A$36:$A$42=A44)*('2002因素修正幅度'!$B$35:$K$35=$G$2)*('2002因素修正幅度'!$B$36:$K$42))</f>
        <v>1.4999999999999999E-2</v>
      </c>
      <c r="G44" s="528">
        <f t="shared" si="2"/>
        <v>7.4999999999999997E-3</v>
      </c>
      <c r="H44" s="529">
        <v>0</v>
      </c>
      <c r="I44" s="528">
        <f t="shared" si="3"/>
        <v>-7.4999999999999997E-3</v>
      </c>
      <c r="J44" s="528">
        <f>SUMPRODUCT(('2002因素修正幅度'!$A$66:$A$72=A44)*('2002因素修正幅度'!$B$35:$K$35=$G$2)*('2002因素修正幅度'!$B$66:$K$72))</f>
        <v>-1.4999999999999999E-2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 hidden="1">
      <c r="A45" s="247" t="s">
        <v>901</v>
      </c>
      <c r="B45" s="1688" t="s">
        <v>1754</v>
      </c>
      <c r="C45" s="811"/>
      <c r="D45" s="490">
        <f t="shared" si="1"/>
        <v>0</v>
      </c>
      <c r="E45" s="255"/>
      <c r="F45" s="528">
        <f>SUMPRODUCT(('2002因素修正幅度'!$A$36:$A$42=A45)*('2002因素修正幅度'!$B$35:$K$35=$G$2)*('2002因素修正幅度'!$B$36:$K$42))</f>
        <v>0.03</v>
      </c>
      <c r="G45" s="528">
        <f t="shared" si="2"/>
        <v>1.4999999999999999E-2</v>
      </c>
      <c r="H45" s="529">
        <v>0</v>
      </c>
      <c r="I45" s="528">
        <f t="shared" si="3"/>
        <v>-1.4999999999999999E-2</v>
      </c>
      <c r="J45" s="528">
        <f>SUMPRODUCT(('2002因素修正幅度'!$A$66:$A$72=A45)*('2002因素修正幅度'!$B$35:$K$35=$G$2)*('2002因素修正幅度'!$B$66:$K$72))</f>
        <v>-0.03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 hidden="1">
      <c r="A46" s="247" t="s">
        <v>902</v>
      </c>
      <c r="B46" s="254">
        <f>估价对象房地状况!C12</f>
        <v>0</v>
      </c>
      <c r="C46" s="811"/>
      <c r="D46" s="490">
        <f t="shared" si="1"/>
        <v>0</v>
      </c>
      <c r="E46" s="255"/>
      <c r="F46" s="528">
        <f>SUMPRODUCT(('2002因素修正幅度'!$A$36:$A$42=A46)*('2002因素修正幅度'!$B$35:$K$35=$G$2)*('2002因素修正幅度'!$B$36:$K$42))</f>
        <v>1.4999999999999999E-2</v>
      </c>
      <c r="G46" s="528">
        <f t="shared" si="2"/>
        <v>7.4999999999999997E-3</v>
      </c>
      <c r="H46" s="529">
        <v>0</v>
      </c>
      <c r="I46" s="528">
        <f t="shared" si="3"/>
        <v>-7.4999999999999997E-3</v>
      </c>
      <c r="J46" s="528">
        <f>SUMPRODUCT(('2002因素修正幅度'!$A$66:$A$72=A46)*('2002因素修正幅度'!$B$35:$K$35=$G$2)*('2002因素修正幅度'!$B$66:$K$72))</f>
        <v>-1.4999999999999999E-2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 hidden="1">
      <c r="A47" s="247" t="s">
        <v>903</v>
      </c>
      <c r="B47" s="1689" t="s">
        <v>1755</v>
      </c>
      <c r="C47" s="811"/>
      <c r="D47" s="490">
        <f t="shared" si="1"/>
        <v>0</v>
      </c>
      <c r="E47" s="255"/>
      <c r="F47" s="528">
        <f>SUMPRODUCT(('2002因素修正幅度'!$A$36:$A$42=A47)*('2002因素修正幅度'!$B$35:$K$35=$G$2)*('2002因素修正幅度'!$B$36:$K$42))</f>
        <v>1.2E-2</v>
      </c>
      <c r="G47" s="528">
        <f t="shared" si="2"/>
        <v>6.0000000000000001E-3</v>
      </c>
      <c r="H47" s="529">
        <v>0</v>
      </c>
      <c r="I47" s="528">
        <f t="shared" si="3"/>
        <v>-6.0000000000000001E-3</v>
      </c>
      <c r="J47" s="528">
        <f>SUMPRODUCT(('2002因素修正幅度'!$A$66:$A$72=A47)*('2002因素修正幅度'!$B$35:$K$35=$G$2)*('2002因素修正幅度'!$B$66:$K$72))</f>
        <v>-1.2E-2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hidden="1" thickBot="1">
      <c r="A48" s="256" t="s">
        <v>905</v>
      </c>
      <c r="B48" s="254" t="str">
        <f>估价对象房地状况!C10</f>
        <v>估价对象所在区域基础设施水平</v>
      </c>
      <c r="C48" s="811"/>
      <c r="D48" s="490">
        <f t="shared" si="1"/>
        <v>0</v>
      </c>
      <c r="E48" s="255"/>
      <c r="F48" s="528">
        <f>SUMPRODUCT(('2002因素修正幅度'!$A$36:$A$42=A48)*('2002因素修正幅度'!$B$35:$K$35=$G$2)*('2002因素修正幅度'!$B$36:$K$42))</f>
        <v>1.0500000000000001E-2</v>
      </c>
      <c r="G48" s="528">
        <f t="shared" si="2"/>
        <v>5.2500000000000003E-3</v>
      </c>
      <c r="H48" s="529">
        <v>0</v>
      </c>
      <c r="I48" s="528">
        <f t="shared" si="3"/>
        <v>-5.2500000000000003E-3</v>
      </c>
      <c r="J48" s="528">
        <f>SUMPRODUCT(('2002因素修正幅度'!$A$66:$A$72=A48)*('2002因素修正幅度'!$B$35:$K$35=$G$2)*('2002因素修正幅度'!$B$66:$K$72))</f>
        <v>-1.0500000000000001E-2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 hidden="1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 hidden="1">
      <c r="A50" s="247" t="s">
        <v>895</v>
      </c>
      <c r="B50" s="254"/>
      <c r="C50" s="248" t="s">
        <v>897</v>
      </c>
      <c r="D50" s="249" t="s">
        <v>1505</v>
      </c>
      <c r="E50" s="250" t="s">
        <v>1506</v>
      </c>
      <c r="F50" s="138" t="s">
        <v>1507</v>
      </c>
      <c r="G50" s="138" t="s">
        <v>1508</v>
      </c>
      <c r="H50" s="138" t="s">
        <v>1509</v>
      </c>
      <c r="I50" s="138" t="s">
        <v>1510</v>
      </c>
      <c r="J50" s="138" t="s">
        <v>1511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 hidden="1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0.03</v>
      </c>
      <c r="G51" s="528">
        <f>F51/2</f>
        <v>1.4999999999999999E-2</v>
      </c>
      <c r="H51" s="529">
        <v>0</v>
      </c>
      <c r="I51" s="528">
        <f>J51/2</f>
        <v>-1.4999999999999999E-2</v>
      </c>
      <c r="J51" s="528">
        <f>SUMPRODUCT(('2002因素修正幅度'!$A$73:$A$79=A51)*('2002因素修正幅度'!$B$35:$K$35=$G$2)*('2002因素修正幅度'!$B$73:$K$79))</f>
        <v>-0.03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3.7499999999999999E-2</v>
      </c>
      <c r="G52" s="528">
        <f t="shared" ref="G52:G57" si="5">F52/2</f>
        <v>1.8749999999999999E-2</v>
      </c>
      <c r="H52" s="529">
        <v>0</v>
      </c>
      <c r="I52" s="528">
        <f t="shared" ref="I52:I57" si="6">J52/2</f>
        <v>-1.8749999999999999E-2</v>
      </c>
      <c r="J52" s="528">
        <f>SUMPRODUCT(('2002因素修正幅度'!$A$73:$A$79=A52)*('2002因素修正幅度'!$B$35:$K$35=$G$2)*('2002因素修正幅度'!$B$73:$K$79))</f>
        <v>-3.7499999999999999E-2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1.4999999999999999E-2</v>
      </c>
      <c r="G53" s="528">
        <f t="shared" si="5"/>
        <v>7.4999999999999997E-3</v>
      </c>
      <c r="H53" s="529">
        <v>0</v>
      </c>
      <c r="I53" s="528">
        <f t="shared" si="6"/>
        <v>-7.4999999999999997E-3</v>
      </c>
      <c r="J53" s="528">
        <f>SUMPRODUCT(('2002因素修正幅度'!$A$73:$A$79=A53)*('2002因素修正幅度'!$B$35:$K$35=$G$2)*('2002因素修正幅度'!$B$73:$K$79))</f>
        <v>-1.4999999999999999E-2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 hidden="1">
      <c r="A54" s="247" t="s">
        <v>901</v>
      </c>
      <c r="B54" s="1688" t="s">
        <v>1754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1.4999999999999999E-2</v>
      </c>
      <c r="G54" s="528">
        <f t="shared" si="5"/>
        <v>7.4999999999999997E-3</v>
      </c>
      <c r="H54" s="529">
        <v>0</v>
      </c>
      <c r="I54" s="528">
        <f t="shared" si="6"/>
        <v>-7.4999999999999997E-3</v>
      </c>
      <c r="J54" s="528">
        <f>SUMPRODUCT(('2002因素修正幅度'!$A$73:$A$79=A54)*('2002因素修正幅度'!$B$35:$K$35=$G$2)*('2002因素修正幅度'!$B$73:$K$79))</f>
        <v>-1.4999999999999999E-2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 hidden="1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2.2499999999999999E-2</v>
      </c>
      <c r="G55" s="528">
        <f t="shared" si="5"/>
        <v>1.125E-2</v>
      </c>
      <c r="H55" s="529">
        <v>0</v>
      </c>
      <c r="I55" s="528">
        <f t="shared" si="6"/>
        <v>-1.125E-2</v>
      </c>
      <c r="J55" s="528">
        <f>SUMPRODUCT(('2002因素修正幅度'!$A$73:$A$79=A55)*('2002因素修正幅度'!$B$35:$K$35=$G$2)*('2002因素修正幅度'!$B$73:$K$79))</f>
        <v>-2.2499999999999999E-2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 hidden="1">
      <c r="A56" s="247" t="s">
        <v>903</v>
      </c>
      <c r="B56" s="1689" t="s">
        <v>1755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1.2E-2</v>
      </c>
      <c r="G56" s="528">
        <f t="shared" si="5"/>
        <v>6.0000000000000001E-3</v>
      </c>
      <c r="H56" s="529">
        <v>0</v>
      </c>
      <c r="I56" s="528">
        <f t="shared" si="6"/>
        <v>-6.0000000000000001E-3</v>
      </c>
      <c r="J56" s="528">
        <f>SUMPRODUCT(('2002因素修正幅度'!$A$73:$A$79=A56)*('2002因素修正幅度'!$B$35:$K$35=$G$2)*('2002因素修正幅度'!$B$73:$K$79))</f>
        <v>-1.2E-2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hidden="1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1.7999999999999999E-2</v>
      </c>
      <c r="G57" s="528">
        <f t="shared" si="5"/>
        <v>8.9999999999999993E-3</v>
      </c>
      <c r="H57" s="529">
        <v>0</v>
      </c>
      <c r="I57" s="528">
        <f t="shared" si="6"/>
        <v>-8.9999999999999993E-3</v>
      </c>
      <c r="J57" s="528">
        <f>SUMPRODUCT(('2002因素修正幅度'!$A$73:$A$79=A57)*('2002因素修正幅度'!$B$35:$K$35=$G$2)*('2002因素修正幅度'!$B$73:$K$79))</f>
        <v>-1.7999999999999999E-2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1.1281000000000001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1512</v>
      </c>
      <c r="E59" s="250" t="s">
        <v>1513</v>
      </c>
      <c r="F59" s="138" t="s">
        <v>1514</v>
      </c>
      <c r="G59" s="138" t="s">
        <v>1515</v>
      </c>
      <c r="H59" s="138" t="s">
        <v>1516</v>
      </c>
      <c r="I59" s="138" t="s">
        <v>1517</v>
      </c>
      <c r="J59" s="138" t="s">
        <v>1518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 t="s">
        <v>1783</v>
      </c>
      <c r="D60" s="490">
        <f t="shared" ref="D60:D67" si="7">SUMIF($F$59:$J$59,C60,F60:J60)</f>
        <v>1.0500000000000001E-2</v>
      </c>
      <c r="E60" s="253">
        <f>SUM(D60:D67)</f>
        <v>0.12810000000000002</v>
      </c>
      <c r="F60" s="528">
        <f>SUMPRODUCT(('2002因素修正幅度'!$A$50:$A$57=A60)*('2002因素修正幅度'!$B$35:$K$35=$G$2)*('2002因素修正幅度'!$B$50:$K$57))</f>
        <v>2.1000000000000001E-2</v>
      </c>
      <c r="G60" s="528">
        <f>F60/2</f>
        <v>1.0500000000000001E-2</v>
      </c>
      <c r="H60" s="529">
        <v>0</v>
      </c>
      <c r="I60" s="528">
        <f>J60/2</f>
        <v>-1.0500000000000001E-2</v>
      </c>
      <c r="J60" s="528">
        <f>SUMPRODUCT(('2002因素修正幅度'!$A$80:$A$87=A60)*('2002因素修正幅度'!$B$35:$K$35=$G$2)*('2002因素修正幅度'!$B$80:$K$87))</f>
        <v>-2.1000000000000001E-2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 t="s">
        <v>1783</v>
      </c>
      <c r="D61" s="490">
        <f t="shared" si="7"/>
        <v>2.1000000000000001E-2</v>
      </c>
      <c r="E61" s="263"/>
      <c r="F61" s="528">
        <f>SUMPRODUCT(('2002因素修正幅度'!$A$50:$A$57=A61)*('2002因素修正幅度'!$B$35:$K$35=$G$2)*('2002因素修正幅度'!$B$50:$K$57))</f>
        <v>4.2000000000000003E-2</v>
      </c>
      <c r="G61" s="528">
        <f t="shared" ref="G61:G67" si="8">F61/2</f>
        <v>2.1000000000000001E-2</v>
      </c>
      <c r="H61" s="529">
        <v>0</v>
      </c>
      <c r="I61" s="528">
        <f t="shared" ref="I61:I67" si="9">J61/2</f>
        <v>-2.1000000000000001E-2</v>
      </c>
      <c r="J61" s="528">
        <f>SUMPRODUCT(('2002因素修正幅度'!$A$80:$A$87=A61)*('2002因素修正幅度'!$B$35:$K$35=$G$2)*('2002因素修正幅度'!$B$80:$K$87))</f>
        <v>-4.2000000000000003E-2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 t="s">
        <v>1783</v>
      </c>
      <c r="D62" s="490">
        <f t="shared" si="7"/>
        <v>1.0500000000000001E-2</v>
      </c>
      <c r="E62" s="263"/>
      <c r="F62" s="528">
        <f>SUMPRODUCT(('2002因素修正幅度'!$A$50:$A$57=A62)*('2002因素修正幅度'!$B$35:$K$35=$G$2)*('2002因素修正幅度'!$B$50:$K$57))</f>
        <v>2.1000000000000001E-2</v>
      </c>
      <c r="G62" s="528">
        <f t="shared" si="8"/>
        <v>1.0500000000000001E-2</v>
      </c>
      <c r="H62" s="529">
        <v>0</v>
      </c>
      <c r="I62" s="528">
        <f t="shared" si="9"/>
        <v>-1.0500000000000001E-2</v>
      </c>
      <c r="J62" s="528">
        <f>SUMPRODUCT(('2002因素修正幅度'!$A$80:$A$87=A62)*('2002因素修正幅度'!$B$35:$K$35=$G$2)*('2002因素修正幅度'!$B$80:$K$87))</f>
        <v>-2.1000000000000001E-2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 t="s">
        <v>1783</v>
      </c>
      <c r="D63" s="490">
        <f t="shared" si="7"/>
        <v>1.0500000000000001E-2</v>
      </c>
      <c r="E63" s="263"/>
      <c r="F63" s="528">
        <f>SUMPRODUCT(('2002因素修正幅度'!$A$50:$A$57=A63)*('2002因素修正幅度'!$B$35:$K$35=$G$2)*('2002因素修正幅度'!$B$50:$K$57))</f>
        <v>2.1000000000000001E-2</v>
      </c>
      <c r="G63" s="528">
        <f t="shared" si="8"/>
        <v>1.0500000000000001E-2</v>
      </c>
      <c r="H63" s="529">
        <v>0</v>
      </c>
      <c r="I63" s="528">
        <f t="shared" si="9"/>
        <v>-1.0500000000000001E-2</v>
      </c>
      <c r="J63" s="528">
        <f>SUMPRODUCT(('2002因素修正幅度'!$A$80:$A$87=A63)*('2002因素修正幅度'!$B$35:$K$35=$G$2)*('2002因素修正幅度'!$B$80:$K$87))</f>
        <v>-2.1000000000000001E-2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89" t="s">
        <v>1755</v>
      </c>
      <c r="C64" s="811" t="s">
        <v>1783</v>
      </c>
      <c r="D64" s="490">
        <f t="shared" si="7"/>
        <v>8.3999999999999995E-3</v>
      </c>
      <c r="E64" s="263"/>
      <c r="F64" s="528">
        <f>SUMPRODUCT(('2002因素修正幅度'!$A$50:$A$57=A64)*('2002因素修正幅度'!$B$35:$K$35=$G$2)*('2002因素修正幅度'!$B$50:$K$57))</f>
        <v>1.6799999999999999E-2</v>
      </c>
      <c r="G64" s="528">
        <f t="shared" si="8"/>
        <v>8.3999999999999995E-3</v>
      </c>
      <c r="H64" s="529">
        <v>0</v>
      </c>
      <c r="I64" s="528">
        <f t="shared" si="9"/>
        <v>-8.3999999999999995E-3</v>
      </c>
      <c r="J64" s="528">
        <f>SUMPRODUCT(('2002因素修正幅度'!$A$80:$A$87=A64)*('2002因素修正幅度'!$B$35:$K$35=$G$2)*('2002因素修正幅度'!$B$80:$K$87))</f>
        <v>-1.6799999999999999E-2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 t="s">
        <v>1784</v>
      </c>
      <c r="D65" s="490">
        <f t="shared" si="7"/>
        <v>2.52E-2</v>
      </c>
      <c r="E65" s="263"/>
      <c r="F65" s="528">
        <f>SUMPRODUCT(('2002因素修正幅度'!$A$50:$A$57=A65)*('2002因素修正幅度'!$B$35:$K$35=$G$2)*('2002因素修正幅度'!$B$50:$K$57))</f>
        <v>2.52E-2</v>
      </c>
      <c r="G65" s="528">
        <f t="shared" si="8"/>
        <v>1.26E-2</v>
      </c>
      <c r="H65" s="529">
        <v>0</v>
      </c>
      <c r="I65" s="528">
        <f t="shared" si="9"/>
        <v>-1.26E-2</v>
      </c>
      <c r="J65" s="528">
        <f>SUMPRODUCT(('2002因素修正幅度'!$A$80:$A$87=A65)*('2002因素修正幅度'!$B$35:$K$35=$G$2)*('2002因素修正幅度'!$B$80:$K$87))</f>
        <v>-2.52E-2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 t="s">
        <v>1783</v>
      </c>
      <c r="D66" s="490">
        <f t="shared" si="7"/>
        <v>2.1000000000000001E-2</v>
      </c>
      <c r="E66" s="263"/>
      <c r="F66" s="528">
        <f>SUMPRODUCT(('2002因素修正幅度'!$A$50:$A$57=A66)*('2002因素修正幅度'!$B$35:$K$35=$G$2)*('2002因素修正幅度'!$B$50:$K$57))</f>
        <v>4.2000000000000003E-2</v>
      </c>
      <c r="G66" s="528">
        <f t="shared" si="8"/>
        <v>2.1000000000000001E-2</v>
      </c>
      <c r="H66" s="529">
        <v>0</v>
      </c>
      <c r="I66" s="528">
        <f t="shared" si="9"/>
        <v>-2.1000000000000001E-2</v>
      </c>
      <c r="J66" s="528">
        <f>SUMPRODUCT(('2002因素修正幅度'!$A$80:$A$87=A66)*('2002因素修正幅度'!$B$35:$K$35=$G$2)*('2002因素修正幅度'!$B$80:$K$87))</f>
        <v>-4.2000000000000003E-2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 t="s">
        <v>1784</v>
      </c>
      <c r="D67" s="490">
        <f t="shared" si="7"/>
        <v>2.1000000000000001E-2</v>
      </c>
      <c r="E67" s="264"/>
      <c r="F67" s="528">
        <f>SUMPRODUCT(('2002因素修正幅度'!$A$50:$A$57=A67)*('2002因素修正幅度'!$B$35:$K$35=$G$2)*('2002因素修正幅度'!$B$50:$K$57))</f>
        <v>2.1000000000000001E-2</v>
      </c>
      <c r="G67" s="528">
        <f t="shared" si="8"/>
        <v>1.0500000000000001E-2</v>
      </c>
      <c r="H67" s="529">
        <v>0</v>
      </c>
      <c r="I67" s="528">
        <f t="shared" si="9"/>
        <v>-1.0500000000000001E-2</v>
      </c>
      <c r="J67" s="528">
        <f>SUMPRODUCT(('2002因素修正幅度'!$A$80:$A$87=A67)*('2002因素修正幅度'!$B$35:$K$35=$G$2)*('2002因素修正幅度'!$B$80:$K$87))</f>
        <v>-2.1000000000000001E-2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1512</v>
      </c>
      <c r="E69" s="250" t="s">
        <v>1513</v>
      </c>
      <c r="F69" s="138" t="s">
        <v>1514</v>
      </c>
      <c r="G69" s="138" t="s">
        <v>1515</v>
      </c>
      <c r="H69" s="138" t="s">
        <v>1516</v>
      </c>
      <c r="I69" s="138" t="s">
        <v>1517</v>
      </c>
      <c r="J69" s="138" t="s">
        <v>1518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0.02</v>
      </c>
      <c r="G70" s="528">
        <f t="shared" ref="G70:G76" si="11">F70/2</f>
        <v>0.01</v>
      </c>
      <c r="H70" s="529">
        <v>0</v>
      </c>
      <c r="I70" s="528">
        <f t="shared" ref="I70:I76" si="12">J70/2</f>
        <v>-0.01</v>
      </c>
      <c r="J70" s="528">
        <f>SUMPRODUCT(('2002因素修正幅度'!$A$88:$A$94=A70)*('2002因素修正幅度'!$B$35:$K$35=$G$2)*('2002因素修正幅度'!$B$88:$K$94))</f>
        <v>-0.02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3.2000000000000001E-2</v>
      </c>
      <c r="G71" s="528">
        <f t="shared" si="11"/>
        <v>1.6E-2</v>
      </c>
      <c r="H71" s="529">
        <v>0</v>
      </c>
      <c r="I71" s="528">
        <f t="shared" si="12"/>
        <v>-1.6E-2</v>
      </c>
      <c r="J71" s="528">
        <f>SUMPRODUCT(('2002因素修正幅度'!$A$88:$A$94=A71)*('2002因素修正幅度'!$B$35:$K$35=$G$2)*('2002因素修正幅度'!$B$88:$K$94))</f>
        <v>-3.2000000000000001E-2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0.01</v>
      </c>
      <c r="G72" s="528">
        <f t="shared" si="11"/>
        <v>5.0000000000000001E-3</v>
      </c>
      <c r="H72" s="529">
        <v>0</v>
      </c>
      <c r="I72" s="528">
        <f t="shared" si="12"/>
        <v>-5.0000000000000001E-3</v>
      </c>
      <c r="J72" s="528">
        <f>SUMPRODUCT(('2002因素修正幅度'!$A$88:$A$94=A72)*('2002因素修正幅度'!$B$35:$K$35=$G$2)*('2002因素修正幅度'!$B$88:$K$94))</f>
        <v>-0.01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8.0000000000000002E-3</v>
      </c>
      <c r="G73" s="528">
        <f t="shared" si="11"/>
        <v>4.0000000000000001E-3</v>
      </c>
      <c r="H73" s="529">
        <v>0</v>
      </c>
      <c r="I73" s="528">
        <f t="shared" si="12"/>
        <v>-4.0000000000000001E-3</v>
      </c>
      <c r="J73" s="528">
        <f>SUMPRODUCT(('2002因素修正幅度'!$A$88:$A$94=A73)*('2002因素修正幅度'!$B$35:$K$35=$G$2)*('2002因素修正幅度'!$B$88:$K$94))</f>
        <v>-8.0000000000000002E-3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89" t="s">
        <v>1755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1.2E-2</v>
      </c>
      <c r="G74" s="528">
        <f t="shared" si="11"/>
        <v>6.0000000000000001E-3</v>
      </c>
      <c r="H74" s="529">
        <v>0</v>
      </c>
      <c r="I74" s="528">
        <f t="shared" si="12"/>
        <v>-6.0000000000000001E-3</v>
      </c>
      <c r="J74" s="528">
        <f>SUMPRODUCT(('2002因素修正幅度'!$A$88:$A$94=A74)*('2002因素修正幅度'!$B$35:$K$35=$G$2)*('2002因素修正幅度'!$B$88:$K$94))</f>
        <v>-1.2E-2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0.01</v>
      </c>
      <c r="G75" s="528">
        <f t="shared" si="11"/>
        <v>5.0000000000000001E-3</v>
      </c>
      <c r="H75" s="529">
        <v>0</v>
      </c>
      <c r="I75" s="528">
        <f t="shared" si="12"/>
        <v>-5.0000000000000001E-3</v>
      </c>
      <c r="J75" s="528">
        <f>SUMPRODUCT(('2002因素修正幅度'!$A$88:$A$94=A75)*('2002因素修正幅度'!$B$35:$K$35=$G$2)*('2002因素修正幅度'!$B$88:$K$94))</f>
        <v>-0.01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8.0000000000000002E-3</v>
      </c>
      <c r="G76" s="528">
        <f t="shared" si="11"/>
        <v>4.0000000000000001E-3</v>
      </c>
      <c r="H76" s="529">
        <v>0</v>
      </c>
      <c r="I76" s="528">
        <f t="shared" si="12"/>
        <v>-4.0000000000000001E-3</v>
      </c>
      <c r="J76" s="528">
        <f>SUMPRODUCT(('2002因素修正幅度'!$A$88:$A$94=A76)*('2002因素修正幅度'!$B$35:$K$35=$G$2)*('2002因素修正幅度'!$B$88:$K$94))</f>
        <v>-8.0000000000000002E-3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1479</v>
      </c>
      <c r="B80" s="596">
        <f>G3</f>
        <v>16.48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1480</v>
      </c>
      <c r="B81" s="597">
        <f>SUMIF(A82:A85,E2,B82:B85)</f>
        <v>0.65710000000000002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>
        <f>ROUND(0.892-0.0373*B80,4)</f>
        <v>0.27729999999999999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>
        <f>ROUND(1.007-0.0278*B80,4)</f>
        <v>0.54890000000000005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>
        <f>ROUND(1.018-0.0219*B80,4)</f>
        <v>0.65710000000000002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>
        <f>ROUND(0.7275-0.01*B80,4)</f>
        <v>0.56269999999999998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住宅/居住</v>
      </c>
      <c r="L1" s="579" t="str">
        <f>'2002基准地价'!G2</f>
        <v>二级</v>
      </c>
      <c r="M1" s="580">
        <f>SUMPRODUCT((K3:K12=L1)*(L2:O2=K1)*(L3:O12))</f>
        <v>4780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828" t="s">
        <v>1322</v>
      </c>
      <c r="B1" s="1825" t="s">
        <v>1323</v>
      </c>
      <c r="C1" s="1826"/>
      <c r="D1" s="1827"/>
      <c r="E1" s="1825" t="s">
        <v>1324</v>
      </c>
      <c r="F1" s="1826"/>
      <c r="G1" s="1827"/>
    </row>
    <row r="2" spans="1:7">
      <c r="A2" s="1829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topLeftCell="A13" zoomScale="90" zoomScaleNormal="90" zoomScaleSheetLayoutView="89" workbookViewId="0">
      <selection activeCell="C5" sqref="C5:D5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1467</v>
      </c>
      <c r="B1" s="629"/>
      <c r="C1" s="1514" t="s">
        <v>1572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 t="str">
        <f>IF(C1="求取熟地价",E27,IF(C1="求取毛地价",E29,"——"))</f>
        <v>——</v>
      </c>
      <c r="C2" s="964" t="s">
        <v>984</v>
      </c>
      <c r="D2" s="1840" t="s">
        <v>1437</v>
      </c>
      <c r="E2" s="1830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1568</v>
      </c>
      <c r="B3" s="714" t="e">
        <f ca="1">IF(C1="求取熟地价",C27,ROUND((C15*B11+C18)*C22/B11,0))</f>
        <v>#DIV/0!</v>
      </c>
      <c r="C3" s="965" t="s">
        <v>917</v>
      </c>
      <c r="D3" s="1841"/>
      <c r="E3" s="1831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841"/>
      <c r="E4" s="1831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主表!B12</f>
        <v>住宅/居住</v>
      </c>
      <c r="C5" s="719"/>
      <c r="D5" s="1842"/>
      <c r="E5" s="1832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/>
      <c r="C6" s="719"/>
      <c r="D6" s="1840" t="s">
        <v>1438</v>
      </c>
      <c r="E6" s="1830" t="s">
        <v>1434</v>
      </c>
      <c r="F6" s="677" t="s">
        <v>1450</v>
      </c>
      <c r="G6" s="376"/>
      <c r="H6" s="376"/>
      <c r="I6" s="680"/>
      <c r="J6" s="704"/>
      <c r="AE6" s="477"/>
      <c r="AF6" s="477"/>
    </row>
    <row r="7" spans="1:36" ht="14.25">
      <c r="A7" s="1373" t="s">
        <v>1446</v>
      </c>
      <c r="B7" s="1374" t="str">
        <f>LEFT(主表!B10,1)&amp;"类"</f>
        <v>二类</v>
      </c>
      <c r="C7" s="719"/>
      <c r="D7" s="1841"/>
      <c r="E7" s="1831"/>
      <c r="F7" s="677" t="s">
        <v>1451</v>
      </c>
      <c r="G7" s="376"/>
      <c r="H7" s="376"/>
      <c r="I7" s="680"/>
      <c r="J7" s="704"/>
      <c r="AE7" s="477"/>
      <c r="AF7" s="477"/>
    </row>
    <row r="8" spans="1:36" ht="15">
      <c r="A8" s="716" t="s">
        <v>1573</v>
      </c>
      <c r="B8" s="1406"/>
      <c r="C8" s="719"/>
      <c r="D8" s="1842"/>
      <c r="E8" s="1832"/>
      <c r="F8" s="677" t="s">
        <v>1452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主表!B7</f>
        <v>49651.21</v>
      </c>
      <c r="C9" s="719"/>
      <c r="D9" s="703" t="s">
        <v>1439</v>
      </c>
      <c r="E9" s="679" t="s">
        <v>1415</v>
      </c>
      <c r="F9" s="677" t="s">
        <v>1453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主表!B6</f>
        <v>0</v>
      </c>
      <c r="C10" s="719"/>
      <c r="D10" s="1840" t="s">
        <v>1416</v>
      </c>
      <c r="E10" s="1830" t="s">
        <v>1435</v>
      </c>
      <c r="F10" s="677" t="s">
        <v>1454</v>
      </c>
      <c r="G10" s="376"/>
      <c r="H10" s="376"/>
      <c r="I10" s="680"/>
      <c r="J10" s="704"/>
      <c r="AE10" s="477"/>
      <c r="AF10" s="477"/>
    </row>
    <row r="11" spans="1:36" ht="15.75" thickBot="1">
      <c r="A11" s="1490" t="s">
        <v>1227</v>
      </c>
      <c r="B11" s="718" t="e">
        <f>IF(A11="容积率",主表!B8,主表!B9)</f>
        <v>#DIV/0!</v>
      </c>
      <c r="C11" s="719"/>
      <c r="D11" s="1843"/>
      <c r="E11" s="1833"/>
      <c r="F11" s="705" t="s">
        <v>1455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1462</v>
      </c>
      <c r="B13" s="698"/>
      <c r="C13" s="699" t="s">
        <v>1463</v>
      </c>
      <c r="D13" s="966" t="s">
        <v>1304</v>
      </c>
      <c r="E13" s="967" t="s">
        <v>1456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9" t="s">
        <v>918</v>
      </c>
      <c r="B14" s="1380" t="s">
        <v>1440</v>
      </c>
      <c r="C14" s="1381"/>
      <c r="D14" s="1382">
        <f>SUMPRODUCT((D35:M35=B7)*(B36:B39=B6)*(D36:M39))</f>
        <v>0</v>
      </c>
      <c r="E14" s="1383">
        <f>SUMPRODUCT((D35:M35=B7)*(B40:B43=B6)*(D40:M43))</f>
        <v>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1459</v>
      </c>
      <c r="B15" s="1375" t="s">
        <v>1424</v>
      </c>
      <c r="C15" s="1376">
        <f>IF(B5="住宅/居住",C16+C17,C16)</f>
        <v>0</v>
      </c>
      <c r="D15" s="1377"/>
      <c r="E15" s="1378"/>
      <c r="F15" s="361"/>
      <c r="G15" s="361"/>
      <c r="H15" s="674"/>
      <c r="I15" s="675"/>
      <c r="J15" s="366"/>
      <c r="AE15" s="477"/>
      <c r="AF15" s="477"/>
    </row>
    <row r="16" spans="1:36" ht="15.75">
      <c r="A16" s="969">
        <v>1</v>
      </c>
      <c r="B16" s="764" t="s">
        <v>1441</v>
      </c>
      <c r="C16" s="1341"/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Bot="1">
      <c r="A17" s="969">
        <v>2</v>
      </c>
      <c r="B17" s="764" t="s">
        <v>1442</v>
      </c>
      <c r="C17" s="1341"/>
      <c r="D17" s="1382">
        <f>SUMPRODUCT((D35:M35=B7)*(B44:B46=B17)*(D44:M46))</f>
        <v>150</v>
      </c>
      <c r="E17" s="1383">
        <f>SUMPRODUCT((D35:M35=B7)*(B47:B49=B17)*(D47:M49))</f>
        <v>400</v>
      </c>
      <c r="F17" s="760" t="s">
        <v>1577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6" t="s">
        <v>1460</v>
      </c>
      <c r="B18" s="1417" t="s">
        <v>1444</v>
      </c>
      <c r="C18" s="1418">
        <f>IF(B8="城镇拆迁",C19*IF(F19="居民住宅",1,IF(F19="企业事业单位",2,4)),C20)</f>
        <v>0</v>
      </c>
      <c r="D18" s="1419"/>
      <c r="E18" s="1420"/>
      <c r="F18" s="361"/>
      <c r="G18" s="361"/>
      <c r="H18" s="674"/>
      <c r="I18" s="675"/>
      <c r="J18" s="366"/>
      <c r="AE18" s="477"/>
      <c r="AF18" s="477"/>
    </row>
    <row r="19" spans="1:37" ht="15.75">
      <c r="A19" s="1413"/>
      <c r="B19" s="1414" t="s">
        <v>1443</v>
      </c>
      <c r="C19" s="1415"/>
      <c r="D19" s="649">
        <f>SUMPRODUCT((D35:M35=B7)*(B44:B46=B19)*(D44:M46))</f>
        <v>5900</v>
      </c>
      <c r="E19" s="649">
        <f>SUMPRODUCT((D35:M35=B7)*(B47:B49=B19)*(D47:M49))</f>
        <v>7800</v>
      </c>
      <c r="F19" s="1404" t="s">
        <v>1461</v>
      </c>
      <c r="G19" s="361"/>
      <c r="H19" s="674"/>
      <c r="I19" s="675"/>
      <c r="J19" s="366"/>
      <c r="AE19" s="477"/>
      <c r="AF19" s="477"/>
    </row>
    <row r="20" spans="1:37" ht="15.75" thickBot="1">
      <c r="A20" s="1403"/>
      <c r="B20" s="1400" t="s">
        <v>1576</v>
      </c>
      <c r="C20" s="1401"/>
      <c r="D20" s="1402">
        <f>SUMPRODUCT((D35:M35=B7)*(B50:B51=F20)*(D50:M51))</f>
        <v>150</v>
      </c>
      <c r="E20" s="1382">
        <f>SUMPRODUCT((D35:M35=B7)*(B52:B53=F20)*(D52:M53))</f>
        <v>450</v>
      </c>
      <c r="F20" s="1405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8" t="s">
        <v>1574</v>
      </c>
      <c r="B21" s="1389" t="s">
        <v>941</v>
      </c>
      <c r="C21" s="1390" t="e">
        <f>IF(B11&lt;1,1,SUMIF(B55:K55,ROUNDDOWN(B11,0),B56:K56)+(SUMIF(B55:K55,ROUNDUP(B11,0),B56:K56)-SUMIF(B55:K55,ROUNDDOWN(B11,0),B56:K56))*(B11-ROUNDDOWN(B11,0)))</f>
        <v>#DIV/0!</v>
      </c>
      <c r="D21" s="1391"/>
      <c r="E21" s="1392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4" t="s">
        <v>1575</v>
      </c>
      <c r="B22" s="1375" t="s">
        <v>202</v>
      </c>
      <c r="C22" s="1385">
        <f ca="1">ROUND(POWER(1+C23,C25-C24)*(POWER(1+C23,C24)-1)/(POWER(1+C23,C25)-1),4)</f>
        <v>0.99409999999999998</v>
      </c>
      <c r="D22" s="1386"/>
      <c r="E22" s="1387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5.2650000000000002E-2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1651</v>
      </c>
      <c r="C24" s="635">
        <f>IF(B24="剩余土地使用年限",主表!B15,主表!B16)</f>
        <v>66.3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6"/>
      <c r="B25" s="1397" t="s">
        <v>1458</v>
      </c>
      <c r="C25" s="1382">
        <f>IF(B5="住宅/居住",70,IF(B5="商业",40,50))</f>
        <v>70</v>
      </c>
      <c r="D25" s="1398"/>
      <c r="E25" s="1399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3" t="s">
        <v>946</v>
      </c>
      <c r="C26" s="1394" t="s">
        <v>950</v>
      </c>
      <c r="D26" s="1394" t="s">
        <v>1353</v>
      </c>
      <c r="E26" s="1395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2" t="s">
        <v>1351</v>
      </c>
      <c r="B27" s="777" t="s">
        <v>1338</v>
      </c>
      <c r="C27" s="635" t="e">
        <f>ROUND(C28/B11,0)</f>
        <v>#DIV/0!</v>
      </c>
      <c r="D27" s="644">
        <f>B9</f>
        <v>49651.21</v>
      </c>
      <c r="E27" s="645" t="e">
        <f>ROUND(C27*D27,0)</f>
        <v>#DIV/0!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3"/>
      <c r="B28" s="782" t="s">
        <v>1341</v>
      </c>
      <c r="C28" s="635">
        <f>IF(主表!B4&lt;DATE(2002,12,10),ROUND(C14*C21*C22+C15*B11+C18,0),0)</f>
        <v>0</v>
      </c>
      <c r="D28" s="644">
        <f>B10</f>
        <v>0</v>
      </c>
      <c r="E28" s="645">
        <f>ROUND(C28*D28,0)</f>
        <v>0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4" t="s">
        <v>1464</v>
      </c>
      <c r="B29" s="764" t="s">
        <v>1465</v>
      </c>
      <c r="C29" s="649" t="e">
        <f>ROUND(C30/B11,0)</f>
        <v>#DIV/0!</v>
      </c>
      <c r="D29" s="650">
        <f>B9</f>
        <v>49651.21</v>
      </c>
      <c r="E29" s="651" t="e">
        <f>ROUND(C29*D29,0)</f>
        <v>#DIV/0!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6"/>
      <c r="B30" s="968" t="s">
        <v>1466</v>
      </c>
      <c r="C30" s="640">
        <f>IF(主表!B4&lt;DATE(2002,12,10),ROUND(C14*C21*C22+C15*B11,0),0)</f>
        <v>0</v>
      </c>
      <c r="D30" s="692">
        <f>B10</f>
        <v>0</v>
      </c>
      <c r="E30" s="693">
        <f t="shared" ref="E30" si="0">ROUND(C30*D30,0)</f>
        <v>0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4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5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5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5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5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5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5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5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7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8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8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8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8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9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8" t="s">
        <v>1428</v>
      </c>
      <c r="B50" s="982" t="s">
        <v>1457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8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8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9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C5" sqref="C5:D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6" t="s">
        <v>91</v>
      </c>
      <c r="D4" s="1857"/>
      <c r="E4" s="1858" t="s">
        <v>92</v>
      </c>
      <c r="F4" s="1859"/>
      <c r="G4" s="1856" t="s">
        <v>93</v>
      </c>
      <c r="H4" s="1857"/>
      <c r="I4" s="1856" t="s">
        <v>94</v>
      </c>
      <c r="J4" s="1857"/>
      <c r="K4" s="142" t="s">
        <v>95</v>
      </c>
      <c r="L4" s="448"/>
      <c r="M4" s="449"/>
      <c r="N4" s="449"/>
      <c r="O4" s="449"/>
      <c r="P4" s="1860" t="s">
        <v>96</v>
      </c>
      <c r="Q4" s="1861"/>
      <c r="R4" s="1866" t="s">
        <v>92</v>
      </c>
      <c r="S4" s="1867"/>
      <c r="T4" s="1866" t="s">
        <v>93</v>
      </c>
      <c r="U4" s="1867"/>
      <c r="V4" s="1872" t="s">
        <v>94</v>
      </c>
      <c r="W4" s="1872"/>
      <c r="X4" s="201"/>
      <c r="Y4" s="1866" t="s">
        <v>96</v>
      </c>
      <c r="Z4" s="1867"/>
      <c r="AA4" s="1853" t="s">
        <v>92</v>
      </c>
      <c r="AB4" s="1854" t="s">
        <v>93</v>
      </c>
      <c r="AC4" s="1853" t="s">
        <v>94</v>
      </c>
    </row>
    <row r="5" spans="1:30" ht="15">
      <c r="A5" s="41"/>
      <c r="B5" s="42"/>
      <c r="C5" s="1849" t="s">
        <v>230</v>
      </c>
      <c r="D5" s="1850"/>
      <c r="E5" s="1873" t="s">
        <v>231</v>
      </c>
      <c r="F5" s="1874"/>
      <c r="G5" s="1849" t="s">
        <v>234</v>
      </c>
      <c r="H5" s="1850"/>
      <c r="I5" s="1849" t="s">
        <v>232</v>
      </c>
      <c r="J5" s="1850"/>
      <c r="K5" s="142"/>
      <c r="L5" s="448"/>
      <c r="M5" s="449"/>
      <c r="N5" s="449"/>
      <c r="O5" s="449"/>
      <c r="P5" s="1862"/>
      <c r="Q5" s="1863"/>
      <c r="R5" s="1868"/>
      <c r="S5" s="1869"/>
      <c r="T5" s="1868"/>
      <c r="U5" s="1869"/>
      <c r="V5" s="1872"/>
      <c r="W5" s="1872"/>
      <c r="X5" s="201"/>
      <c r="Y5" s="1868"/>
      <c r="Z5" s="1869"/>
      <c r="AA5" s="1854"/>
      <c r="AB5" s="1854"/>
      <c r="AC5" s="1854"/>
    </row>
    <row r="6" spans="1:30" ht="15.75" thickBot="1">
      <c r="A6" s="43"/>
      <c r="B6" s="44"/>
      <c r="C6" s="1846" t="s">
        <v>233</v>
      </c>
      <c r="D6" s="1847"/>
      <c r="E6" s="1844" t="s">
        <v>233</v>
      </c>
      <c r="F6" s="1845"/>
      <c r="G6" s="1846" t="s">
        <v>233</v>
      </c>
      <c r="H6" s="1847"/>
      <c r="I6" s="1846" t="s">
        <v>233</v>
      </c>
      <c r="J6" s="1847"/>
      <c r="K6" s="142" t="s">
        <v>97</v>
      </c>
      <c r="L6" s="448"/>
      <c r="M6" s="449"/>
      <c r="N6" s="449"/>
      <c r="O6" s="449"/>
      <c r="P6" s="1864"/>
      <c r="Q6" s="1865"/>
      <c r="R6" s="1868"/>
      <c r="S6" s="1869"/>
      <c r="T6" s="1870"/>
      <c r="U6" s="1871"/>
      <c r="V6" s="1872"/>
      <c r="W6" s="1872"/>
      <c r="X6" s="201"/>
      <c r="Y6" s="1870"/>
      <c r="Z6" s="1871"/>
      <c r="AA6" s="1855"/>
      <c r="AB6" s="1855"/>
      <c r="AC6" s="1855"/>
    </row>
    <row r="7" spans="1:30" s="22" customFormat="1" ht="15.75" thickBot="1">
      <c r="A7" s="45" t="s">
        <v>98</v>
      </c>
      <c r="B7" s="46"/>
      <c r="C7" s="1371">
        <f>主表!B4</f>
        <v>39212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1" t="s">
        <v>99</v>
      </c>
      <c r="Q7" s="187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1" t="s">
        <v>99</v>
      </c>
      <c r="Z7" s="185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1" t="s">
        <v>125</v>
      </c>
      <c r="Q8" s="185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1" t="s">
        <v>125</v>
      </c>
      <c r="Z8" s="185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7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6"/>
      <c r="F10" s="24">
        <v>100</v>
      </c>
      <c r="G10" s="1342"/>
      <c r="H10" s="24">
        <v>100</v>
      </c>
      <c r="I10" s="1342"/>
      <c r="J10" s="24">
        <v>100</v>
      </c>
      <c r="K10" s="160"/>
      <c r="L10" s="453"/>
      <c r="M10" s="454"/>
      <c r="N10" s="454"/>
      <c r="O10" s="455"/>
      <c r="P10" s="184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7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8" t="s">
        <v>1227</v>
      </c>
      <c r="C11" s="1054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7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1546</v>
      </c>
      <c r="C12" s="1082" t="str">
        <f>主表!B10</f>
        <v>二级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7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3"/>
      <c r="F13" s="1080">
        <f>SUMIF(72:72,E13,73:73)-SUMIF(72:72,C13,73:73)+100</f>
        <v>0</v>
      </c>
      <c r="G13" s="1360"/>
      <c r="H13" s="61">
        <f>SUMIF(72:72,G13,73:73)-SUMIF(72:72,C13,73:73)+100</f>
        <v>0</v>
      </c>
      <c r="I13" s="1360"/>
      <c r="J13" s="61">
        <f>SUMIF(72:72,I13,73:73)-SUMIF(72:72,C13,73:73)+100</f>
        <v>0</v>
      </c>
      <c r="K13" s="1367"/>
      <c r="L13" s="458"/>
      <c r="M13" s="449"/>
      <c r="N13" s="449"/>
      <c r="O13" s="457"/>
      <c r="P13" s="184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7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4"/>
      <c r="F14" s="58">
        <f>SUMIF(74:74,E14,75:75)-SUMIF(74:74,C14,75:75)+100</f>
        <v>0</v>
      </c>
      <c r="G14" s="1361"/>
      <c r="H14" s="58">
        <f>SUMIF(74:74,G14,75:75)-SUMIF(74:74,C14,75:75)+100</f>
        <v>0</v>
      </c>
      <c r="I14" s="1361"/>
      <c r="J14" s="58">
        <f>SUMIF(74:74,I14,75:75)-SUMIF(74:74,C14,75:75)+100</f>
        <v>0</v>
      </c>
      <c r="K14" s="1367"/>
      <c r="L14" s="458"/>
      <c r="M14" s="449"/>
      <c r="N14" s="449"/>
      <c r="O14" s="457"/>
      <c r="P14" s="184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7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5"/>
      <c r="F15" s="60">
        <f>SUMIF(76:76,E16,77:77)-SUMIF(76:76,C16,77:77)+100</f>
        <v>0</v>
      </c>
      <c r="G15" s="1345"/>
      <c r="H15" s="60">
        <f>SUMIF(76:76,G16,77:77)-SUMIF(76:76,C16,77:77)+100</f>
        <v>0</v>
      </c>
      <c r="I15" s="1363"/>
      <c r="J15" s="60">
        <f>SUMIF(76:76,I16,77:77)-SUMIF(76:76,C16,77:77)+100</f>
        <v>0</v>
      </c>
      <c r="K15" s="161"/>
      <c r="L15" s="458"/>
      <c r="M15" s="449"/>
      <c r="N15" s="449"/>
      <c r="O15" s="457"/>
      <c r="P15" s="187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7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6"/>
      <c r="F16" s="61"/>
      <c r="G16" s="1350"/>
      <c r="H16" s="62"/>
      <c r="I16" s="1350"/>
      <c r="J16" s="61"/>
      <c r="K16" s="1367"/>
      <c r="L16" s="458"/>
      <c r="M16" s="449"/>
      <c r="N16" s="449"/>
      <c r="O16" s="457"/>
      <c r="P16" s="1877"/>
      <c r="Q16" s="206"/>
      <c r="R16" s="207"/>
      <c r="S16" s="208"/>
      <c r="T16" s="207"/>
      <c r="U16" s="208"/>
      <c r="V16" s="207"/>
      <c r="W16" s="208"/>
      <c r="X16" s="201"/>
      <c r="Y16" s="187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7"/>
      <c r="F17" s="62">
        <f>SUMIF(78:78,E18,79:79)-SUMIF(78:78,C18,79:79)+100</f>
        <v>0</v>
      </c>
      <c r="G17" s="1347"/>
      <c r="H17" s="63">
        <f>SUMIF(78:78,G18,79:79)-SUMIF(78:78,C18,79:79)+100</f>
        <v>0</v>
      </c>
      <c r="I17" s="1362"/>
      <c r="J17" s="63">
        <f>SUMIF(78:78,I18,79:79)-SUMIF(78:78,C18,79:79)+100</f>
        <v>0</v>
      </c>
      <c r="K17" s="161"/>
      <c r="L17" s="458"/>
      <c r="M17" s="449"/>
      <c r="N17" s="449"/>
      <c r="O17" s="457"/>
      <c r="P17" s="187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7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8"/>
      <c r="F18" s="62"/>
      <c r="G18" s="1348"/>
      <c r="H18" s="61"/>
      <c r="I18" s="1348"/>
      <c r="J18" s="61"/>
      <c r="K18" s="1367"/>
      <c r="L18" s="458"/>
      <c r="M18" s="449"/>
      <c r="N18" s="449"/>
      <c r="O18" s="457"/>
      <c r="P18" s="1877"/>
      <c r="Q18" s="206"/>
      <c r="R18" s="207"/>
      <c r="S18" s="208"/>
      <c r="T18" s="207"/>
      <c r="U18" s="208"/>
      <c r="V18" s="207"/>
      <c r="W18" s="208"/>
      <c r="X18" s="201"/>
      <c r="Y18" s="187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9"/>
      <c r="F19" s="63">
        <f>SUMIF(80:80,E20,81:81)-SUMIF(80:80,C20,81:81)+100</f>
        <v>0</v>
      </c>
      <c r="G19" s="1349"/>
      <c r="H19" s="62">
        <f>SUMIF(80:80,G20,81:81)-SUMIF(80:80,C20,81:81)+100</f>
        <v>0</v>
      </c>
      <c r="I19" s="1364"/>
      <c r="J19" s="62">
        <f>SUMIF(80:80,I20,81:81)-SUMIF(80:80,C20,81:81)+100</f>
        <v>0</v>
      </c>
      <c r="K19" s="161"/>
      <c r="L19" s="458"/>
      <c r="M19" s="449"/>
      <c r="N19" s="449"/>
      <c r="O19" s="457"/>
      <c r="P19" s="187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7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50"/>
      <c r="F20" s="61"/>
      <c r="G20" s="1350"/>
      <c r="H20" s="61"/>
      <c r="I20" s="1350"/>
      <c r="J20" s="61"/>
      <c r="K20" s="1367"/>
      <c r="L20" s="458"/>
      <c r="M20" s="449"/>
      <c r="N20" s="449"/>
      <c r="O20" s="457"/>
      <c r="P20" s="1877"/>
      <c r="Q20" s="206"/>
      <c r="R20" s="207"/>
      <c r="S20" s="208"/>
      <c r="T20" s="207"/>
      <c r="U20" s="208"/>
      <c r="V20" s="207"/>
      <c r="W20" s="208"/>
      <c r="X20" s="201"/>
      <c r="Y20" s="187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7"/>
      <c r="F21" s="63">
        <f>SUMIF(82:82,E22,83:83)-SUMIF(82:82,C22,83:83)+100</f>
        <v>0</v>
      </c>
      <c r="G21" s="1347"/>
      <c r="H21" s="62">
        <f>SUMIF(82:82,G22,83:83)-SUMIF(82:82,C22,83:83)+100</f>
        <v>0</v>
      </c>
      <c r="I21" s="1362"/>
      <c r="J21" s="62">
        <f>SUMIF(82:82,I22,83:83)-SUMIF(82:82,C22,83:83)+100</f>
        <v>0</v>
      </c>
      <c r="K21" s="161"/>
      <c r="L21" s="458"/>
      <c r="M21" s="449"/>
      <c r="N21" s="449"/>
      <c r="O21" s="457"/>
      <c r="P21" s="187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7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50"/>
      <c r="F22" s="61"/>
      <c r="G22" s="1350"/>
      <c r="H22" s="61"/>
      <c r="I22" s="1350"/>
      <c r="J22" s="61"/>
      <c r="K22" s="1367"/>
      <c r="L22" s="458"/>
      <c r="M22" s="449"/>
      <c r="N22" s="449"/>
      <c r="O22" s="457"/>
      <c r="P22" s="1877"/>
      <c r="Q22" s="206"/>
      <c r="R22" s="207"/>
      <c r="S22" s="208"/>
      <c r="T22" s="207"/>
      <c r="U22" s="208"/>
      <c r="V22" s="207"/>
      <c r="W22" s="208"/>
      <c r="X22" s="201"/>
      <c r="Y22" s="187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7"/>
      <c r="F23" s="63">
        <f>SUMIF(84:84,E24,85:85)-SUMIF(84:84,C24,85:85)+100</f>
        <v>0</v>
      </c>
      <c r="G23" s="1362"/>
      <c r="H23" s="63">
        <f>SUMIF(84:84,G24,85:85)-SUMIF(84:84,C24,85:85)+100</f>
        <v>0</v>
      </c>
      <c r="I23" s="1362"/>
      <c r="J23" s="63">
        <f>SUMIF(84:84,I24,85:85)-SUMIF(84:84,C24,85:85)+100</f>
        <v>0</v>
      </c>
      <c r="K23" s="161"/>
      <c r="L23" s="458"/>
      <c r="M23" s="449"/>
      <c r="N23" s="449"/>
      <c r="O23" s="457"/>
      <c r="P23" s="187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7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1"/>
      <c r="F24" s="61"/>
      <c r="G24" s="1351"/>
      <c r="H24" s="61"/>
      <c r="I24" s="1351"/>
      <c r="J24" s="61"/>
      <c r="K24" s="1367"/>
      <c r="L24" s="458"/>
      <c r="M24" s="449"/>
      <c r="N24" s="449"/>
      <c r="O24" s="457"/>
      <c r="P24" s="1877"/>
      <c r="Q24" s="235"/>
      <c r="R24" s="207"/>
      <c r="S24" s="208"/>
      <c r="T24" s="207"/>
      <c r="U24" s="208"/>
      <c r="V24" s="207"/>
      <c r="W24" s="208"/>
      <c r="X24" s="234"/>
      <c r="Y24" s="1877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7"/>
      <c r="F25" s="62">
        <f>SUMIF(86:86,E26,87:87)-SUMIF(86:86,C26,87:87)+100</f>
        <v>0</v>
      </c>
      <c r="G25" s="1347"/>
      <c r="H25" s="62">
        <f>SUMIF(86:86,G26,87:87)-SUMIF(86:86,C26,87:87)+100</f>
        <v>0</v>
      </c>
      <c r="I25" s="1362"/>
      <c r="J25" s="62">
        <f>SUMIF(86:86,I26,87:87)-SUMIF(86:86,C26,87:87)+100</f>
        <v>0</v>
      </c>
      <c r="K25" s="161"/>
      <c r="L25" s="458"/>
      <c r="M25" s="449"/>
      <c r="N25" s="449"/>
      <c r="O25" s="457"/>
      <c r="P25" s="187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7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1"/>
      <c r="F26" s="61"/>
      <c r="G26" s="1351"/>
      <c r="H26" s="61"/>
      <c r="I26" s="1351"/>
      <c r="J26" s="61"/>
      <c r="K26" s="1367"/>
      <c r="L26" s="458"/>
      <c r="M26" s="449"/>
      <c r="N26" s="449"/>
      <c r="O26" s="457"/>
      <c r="P26" s="1877"/>
      <c r="Q26" s="206"/>
      <c r="R26" s="207"/>
      <c r="S26" s="208"/>
      <c r="T26" s="207"/>
      <c r="U26" s="208"/>
      <c r="V26" s="207"/>
      <c r="W26" s="208"/>
      <c r="X26" s="201"/>
      <c r="Y26" s="187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7"/>
      <c r="F27" s="62">
        <f>SUMIF(88:88,E28,89:89)-SUMIF(88:88,C28,89:89)+100</f>
        <v>0</v>
      </c>
      <c r="G27" s="1347"/>
      <c r="H27" s="62">
        <f>SUMIF(88:88,G28,89:89)-SUMIF(88:88,C28,89:89)+100</f>
        <v>0</v>
      </c>
      <c r="I27" s="1362"/>
      <c r="J27" s="62">
        <f>SUMIF(88:88,I28,89:89)-SUMIF(88:88,C28,89:89)+100</f>
        <v>0</v>
      </c>
      <c r="K27" s="161"/>
      <c r="L27" s="450"/>
      <c r="M27" s="451"/>
      <c r="N27" s="451"/>
      <c r="O27" s="452"/>
      <c r="P27" s="187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7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2"/>
      <c r="F28" s="61"/>
      <c r="G28" s="1352"/>
      <c r="H28" s="61"/>
      <c r="I28" s="1352"/>
      <c r="J28" s="61"/>
      <c r="K28" s="1367"/>
      <c r="L28" s="450"/>
      <c r="M28" s="451"/>
      <c r="N28" s="451"/>
      <c r="O28" s="452"/>
      <c r="P28" s="1877"/>
      <c r="Q28" s="18"/>
      <c r="R28" s="202"/>
      <c r="S28" s="203"/>
      <c r="T28" s="202"/>
      <c r="U28" s="203"/>
      <c r="V28" s="202"/>
      <c r="W28" s="203"/>
      <c r="X28" s="204"/>
      <c r="Y28" s="187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7"/>
      <c r="F29" s="62">
        <f>SUMIF(90:90,E30,91:91)-SUMIF(90:90,C30,91:91)+100</f>
        <v>0</v>
      </c>
      <c r="G29" s="1347"/>
      <c r="H29" s="62">
        <f>SUMIF(90:90,G30,91:91)-SUMIF(90:90,C30,91:91)+100</f>
        <v>0</v>
      </c>
      <c r="I29" s="1362"/>
      <c r="J29" s="62">
        <f>SUMIF(90:90,I30,91:91)-SUMIF(90:90,C30,91:91)+100</f>
        <v>0</v>
      </c>
      <c r="K29" s="161"/>
      <c r="L29" s="450"/>
      <c r="M29" s="451"/>
      <c r="N29" s="451"/>
      <c r="O29" s="452"/>
      <c r="P29" s="187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7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2"/>
      <c r="F30" s="61"/>
      <c r="G30" s="1352"/>
      <c r="H30" s="61"/>
      <c r="I30" s="1352"/>
      <c r="J30" s="61"/>
      <c r="K30" s="1367"/>
      <c r="L30" s="450"/>
      <c r="M30" s="451"/>
      <c r="N30" s="451"/>
      <c r="O30" s="452"/>
      <c r="P30" s="1877"/>
      <c r="Q30" s="497"/>
      <c r="R30" s="202"/>
      <c r="S30" s="203"/>
      <c r="T30" s="202"/>
      <c r="U30" s="203"/>
      <c r="V30" s="202"/>
      <c r="W30" s="203"/>
      <c r="X30" s="204"/>
      <c r="Y30" s="187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3"/>
      <c r="F31" s="56">
        <f>SUMIF(92:92,E31,93:93)-SUMIF(92:92,C31,93:93)+100</f>
        <v>0</v>
      </c>
      <c r="G31" s="1353"/>
      <c r="H31" s="56">
        <f>SUMIF(92:92,G31,93:93)-SUMIF(92:92,C31,93:93)+100</f>
        <v>0</v>
      </c>
      <c r="I31" s="1353"/>
      <c r="J31" s="56">
        <f>SUMIF(92:92,I31,93:93)-SUMIF(92:92,C31,93:93)+100</f>
        <v>0</v>
      </c>
      <c r="K31" s="161"/>
      <c r="L31" s="458"/>
      <c r="M31" s="449"/>
      <c r="N31" s="449"/>
      <c r="O31" s="457"/>
      <c r="P31" s="187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7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7"/>
      <c r="F32" s="62">
        <f>SUMIF(94:94,E33,95:95)-SUMIF(94:94,C33,95:95)+100</f>
        <v>0</v>
      </c>
      <c r="G32" s="1347"/>
      <c r="H32" s="62">
        <f>SUMIF(94:94,G33,95:95)-SUMIF(94:94,C33,95:95)+100</f>
        <v>0</v>
      </c>
      <c r="I32" s="1362"/>
      <c r="J32" s="62">
        <f>SUMIF(94:94,I33,95:95)-SUMIF(94:94,C33,95:95)+100</f>
        <v>0</v>
      </c>
      <c r="K32" s="161"/>
      <c r="L32" s="458"/>
      <c r="M32" s="449"/>
      <c r="N32" s="449"/>
      <c r="O32" s="457"/>
      <c r="P32" s="187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7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1"/>
      <c r="F33" s="61"/>
      <c r="G33" s="1351"/>
      <c r="H33" s="61"/>
      <c r="I33" s="1351"/>
      <c r="J33" s="61"/>
      <c r="K33" s="1368"/>
      <c r="L33" s="458"/>
      <c r="M33" s="449"/>
      <c r="N33" s="449"/>
      <c r="O33" s="457"/>
      <c r="P33" s="1877"/>
      <c r="Q33" s="206"/>
      <c r="R33" s="207"/>
      <c r="S33" s="208"/>
      <c r="T33" s="207"/>
      <c r="U33" s="208"/>
      <c r="V33" s="207"/>
      <c r="W33" s="208"/>
      <c r="X33" s="201"/>
      <c r="Y33" s="187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4"/>
      <c r="F34" s="56">
        <f>SUMIF(96:96,E34,97:97)-SUMIF(96:96,C34,97:97)+100</f>
        <v>100</v>
      </c>
      <c r="G34" s="1354"/>
      <c r="H34" s="56">
        <f>SUMIF(96:96,G34,97:97)-SUMIF(96:96,C34,97:97)+100</f>
        <v>100</v>
      </c>
      <c r="I34" s="1353"/>
      <c r="J34" s="56">
        <f>SUMIF(96:96,I34,97:97)-SUMIF(96:96,C34,97:97)+100</f>
        <v>100</v>
      </c>
      <c r="K34" s="1369"/>
      <c r="L34" s="458"/>
      <c r="M34" s="449"/>
      <c r="N34" s="449"/>
      <c r="O34" s="457"/>
      <c r="P34" s="187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7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5"/>
      <c r="F35" s="56">
        <f>SUMIF(98:98,E35,99:99)-SUMIF(98:98,C35,99:99)+100</f>
        <v>0</v>
      </c>
      <c r="G35" s="1355"/>
      <c r="H35" s="56">
        <f>SUMIF(98:98,G35,99:99)-SUMIF(98:98,C35,99:99)+100</f>
        <v>0</v>
      </c>
      <c r="I35" s="1365"/>
      <c r="J35" s="56">
        <f>SUMIF(98:98,I35,99:99)-SUMIF(98:98,C35,99:99)+100</f>
        <v>0</v>
      </c>
      <c r="K35" s="1368"/>
      <c r="L35" s="458"/>
      <c r="M35" s="449"/>
      <c r="N35" s="449"/>
      <c r="O35" s="457"/>
      <c r="P35" s="187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7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6"/>
      <c r="F36" s="63">
        <f>SUMIF(100:100,E37,101:101)-SUMIF(100:100,C37,101:101)+100</f>
        <v>100</v>
      </c>
      <c r="G36" s="1356"/>
      <c r="H36" s="63">
        <f>SUMIF(100:100,G36,101:101)-SUMIF(100:100,C36,101:101)+100</f>
        <v>0</v>
      </c>
      <c r="I36" s="1366"/>
      <c r="J36" s="63">
        <f>SUMIF(100:100,I36,101:101)-SUMIF(100:100,C36,101:101)+100</f>
        <v>0</v>
      </c>
      <c r="K36" s="1368"/>
      <c r="L36" s="458"/>
      <c r="M36" s="449"/>
      <c r="N36" s="449"/>
      <c r="O36" s="457"/>
      <c r="P36" s="187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1559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188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1560</v>
      </c>
      <c r="B38" s="145" t="s">
        <v>138</v>
      </c>
      <c r="C38" s="1370"/>
      <c r="D38" s="61">
        <v>100</v>
      </c>
      <c r="E38" s="1345"/>
      <c r="F38" s="61">
        <f>LOOKUP(E38,105:105,106:106)-LOOKUP(C38,105:105,106:106)+100</f>
        <v>100</v>
      </c>
      <c r="G38" s="1345"/>
      <c r="H38" s="61">
        <f>LOOKUP(G38,105:105,106:106)-LOOKUP(C38,105:105,106:106)+100</f>
        <v>100</v>
      </c>
      <c r="I38" s="1345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7"/>
      <c r="D39" s="56">
        <v>100</v>
      </c>
      <c r="E39" s="1357"/>
      <c r="F39" s="56">
        <f>SUMIF(107:107,E39,108:108)-SUMIF(107:107,C39,108:108)+100</f>
        <v>100</v>
      </c>
      <c r="G39" s="1357"/>
      <c r="H39" s="56">
        <f>SUMIF(107:107,G39,108:108)-SUMIF(107:107,C39,108:108)+100</f>
        <v>100</v>
      </c>
      <c r="I39" s="1357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7"/>
      <c r="D40" s="56">
        <v>100</v>
      </c>
      <c r="E40" s="1357"/>
      <c r="F40" s="56">
        <f>SUMIF(109:109,E40,110:110)-SUMIF(109:109,C40,110:110)+100</f>
        <v>100</v>
      </c>
      <c r="G40" s="1357"/>
      <c r="H40" s="56">
        <f>SUMIF(109:109,G40,110:110)-SUMIF(109:109,C40,110:110)+100</f>
        <v>100</v>
      </c>
      <c r="I40" s="1357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8"/>
      <c r="D41" s="24">
        <v>100</v>
      </c>
      <c r="E41" s="1358"/>
      <c r="F41" s="56">
        <f>SUMIF(111:111,E41,112:112)-SUMIF(111:111,C41,112:112)+100</f>
        <v>100</v>
      </c>
      <c r="G41" s="1358"/>
      <c r="H41" s="56">
        <f>SUMIF(111:111,G41,112:112)-SUMIF(111:111,C41,112:112)+100</f>
        <v>100</v>
      </c>
      <c r="I41" s="1358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7"/>
      <c r="D42" s="56">
        <v>100</v>
      </c>
      <c r="E42" s="1357"/>
      <c r="F42" s="56">
        <f>SUMIF(113:113,E42,114:114)-SUMIF(113:113,C42,114:114)+100</f>
        <v>100</v>
      </c>
      <c r="G42" s="1357"/>
      <c r="H42" s="56">
        <f>SUMIF(113:113,G42,114:114)-SUMIF(113:113,C42,114:114)+100</f>
        <v>100</v>
      </c>
      <c r="I42" s="1357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9"/>
      <c r="D43" s="56">
        <v>100</v>
      </c>
      <c r="E43" s="1359"/>
      <c r="F43" s="56">
        <f>SUMIF(115:115,E43,116:116)-SUMIF(115:115,C43,116:116)+100</f>
        <v>100</v>
      </c>
      <c r="G43" s="1359"/>
      <c r="H43" s="56">
        <f>SUMIF(115:115,G43,116:116)-SUMIF(115:115,C43,116:116)+100</f>
        <v>100</v>
      </c>
      <c r="I43" s="1359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9"/>
      <c r="D44" s="56">
        <v>100</v>
      </c>
      <c r="E44" s="1359"/>
      <c r="F44" s="56">
        <f>SUMIF(117:117,E44,118:118)-SUMIF(117:117,C44,118:118)+100</f>
        <v>100</v>
      </c>
      <c r="G44" s="1359"/>
      <c r="H44" s="56">
        <f>SUMIF(117:117,G44,118:118)-SUMIF(117:117,C44,118:118)+100</f>
        <v>100</v>
      </c>
      <c r="I44" s="1359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1561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8" t="str">
        <f>A46</f>
        <v>成交单价</v>
      </c>
      <c r="Q46" s="1848"/>
      <c r="R46" s="1872">
        <f>E46</f>
        <v>0</v>
      </c>
      <c r="S46" s="1872"/>
      <c r="T46" s="1872">
        <f>G46</f>
        <v>0</v>
      </c>
      <c r="U46" s="1872"/>
      <c r="V46" s="1872">
        <f>I46</f>
        <v>0</v>
      </c>
      <c r="W46" s="187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8" t="str">
        <f>A47</f>
        <v>比较价值（元/平方米）</v>
      </c>
      <c r="Q47" s="1848"/>
      <c r="R47" s="1881" t="e">
        <f>ROUND(PRODUCT(R46,AA7:AA45),0)</f>
        <v>#DIV/0!</v>
      </c>
      <c r="S47" s="1881"/>
      <c r="T47" s="1881" t="e">
        <f>ROUND(PRODUCT(T46,AB7:AB45),0)</f>
        <v>#DIV/0!</v>
      </c>
      <c r="U47" s="1881"/>
      <c r="V47" s="1881" t="e">
        <f>ROUND(PRODUCT(V46,AC7:AC45),0)</f>
        <v>#DIV/0!</v>
      </c>
      <c r="W47" s="1881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2" t="str">
        <f>A48</f>
        <v>估价对象比较价值（单价内涵，元/平方米）</v>
      </c>
      <c r="Q48" s="1883"/>
      <c r="R48" s="1884" t="e">
        <f>ROUND(AVERAGE(R47:V47),0)</f>
        <v>#DIV/0!</v>
      </c>
      <c r="S48" s="1884"/>
      <c r="T48" s="1884"/>
      <c r="U48" s="1884"/>
      <c r="V48" s="1884"/>
      <c r="W48" s="188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2007-5-1</v>
      </c>
      <c r="D56" s="1670">
        <f>EDATE(C56,-3)</f>
        <v>39114</v>
      </c>
      <c r="E56" s="1670">
        <f t="shared" ref="E56:O56" si="15">EDATE(D56,-3)</f>
        <v>39022</v>
      </c>
      <c r="F56" s="1670">
        <f t="shared" si="15"/>
        <v>38930</v>
      </c>
      <c r="G56" s="1670">
        <f t="shared" si="15"/>
        <v>38838</v>
      </c>
      <c r="H56" s="1670">
        <f t="shared" si="15"/>
        <v>38749</v>
      </c>
      <c r="I56" s="1670">
        <f t="shared" si="15"/>
        <v>38657</v>
      </c>
      <c r="J56" s="1670">
        <f t="shared" si="15"/>
        <v>38565</v>
      </c>
      <c r="K56" s="1670">
        <f t="shared" si="15"/>
        <v>38473</v>
      </c>
      <c r="L56" s="1670">
        <f t="shared" si="15"/>
        <v>38384</v>
      </c>
      <c r="M56" s="1670">
        <f t="shared" si="15"/>
        <v>38292</v>
      </c>
      <c r="N56" s="1670">
        <f t="shared" si="15"/>
        <v>38200</v>
      </c>
      <c r="O56" s="1670">
        <f t="shared" si="15"/>
        <v>38108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69" t="str">
        <f>YEAR(C56)&amp;"-"&amp;ROUNDUP(MONTH(C56)/3,0)</f>
        <v>2007-2</v>
      </c>
      <c r="D58" s="1669" t="str">
        <f t="shared" ref="D58:O58" si="16">YEAR(D56)&amp;"-"&amp;ROUNDUP(MONTH(D56)/3,0)</f>
        <v>2007-1</v>
      </c>
      <c r="E58" s="1669" t="str">
        <f t="shared" si="16"/>
        <v>2006-4</v>
      </c>
      <c r="F58" s="1669" t="str">
        <f t="shared" si="16"/>
        <v>2006-3</v>
      </c>
      <c r="G58" s="1669" t="str">
        <f t="shared" si="16"/>
        <v>2006-2</v>
      </c>
      <c r="H58" s="1669" t="str">
        <f t="shared" si="16"/>
        <v>2006-1</v>
      </c>
      <c r="I58" s="1669" t="str">
        <f t="shared" si="16"/>
        <v>2005-4</v>
      </c>
      <c r="J58" s="1669" t="str">
        <f t="shared" si="16"/>
        <v>2005-3</v>
      </c>
      <c r="K58" s="1669" t="str">
        <f t="shared" si="16"/>
        <v>2005-2</v>
      </c>
      <c r="L58" s="1669" t="str">
        <f t="shared" si="16"/>
        <v>2005-1</v>
      </c>
      <c r="M58" s="1669" t="str">
        <f t="shared" si="16"/>
        <v>2004-4</v>
      </c>
      <c r="N58" s="1669" t="str">
        <f t="shared" si="16"/>
        <v>2004-3</v>
      </c>
      <c r="O58" s="1669" t="str">
        <f t="shared" si="16"/>
        <v>2004-2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90"/>
      <c r="N59" s="92"/>
      <c r="O59" s="1691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8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1547</v>
      </c>
      <c r="D70" s="1055" t="s">
        <v>1548</v>
      </c>
      <c r="E70" s="1055" t="s">
        <v>1549</v>
      </c>
      <c r="F70" s="1055" t="s">
        <v>1550</v>
      </c>
      <c r="G70" s="1055" t="s">
        <v>1551</v>
      </c>
      <c r="H70" s="1055" t="s">
        <v>1552</v>
      </c>
      <c r="I70" s="1055" t="s">
        <v>1553</v>
      </c>
      <c r="J70" s="1055" t="s">
        <v>1554</v>
      </c>
      <c r="K70" s="1055" t="s">
        <v>1555</v>
      </c>
      <c r="L70" s="1055" t="s">
        <v>1556</v>
      </c>
      <c r="M70" s="1056" t="s">
        <v>1557</v>
      </c>
      <c r="N70" s="1056" t="s">
        <v>1558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1562</v>
      </c>
      <c r="D102" s="1134" t="s">
        <v>1563</v>
      </c>
      <c r="E102" s="1134" t="s">
        <v>1564</v>
      </c>
      <c r="F102" s="1134" t="s">
        <v>1565</v>
      </c>
      <c r="G102" s="1134" t="s">
        <v>1566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1561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7" t="str">
        <f t="shared" si="23"/>
        <v>100000(含)-150000</v>
      </c>
      <c r="I104" s="1517" t="str">
        <f t="shared" si="23"/>
        <v>150000(含)-200000</v>
      </c>
      <c r="J104" s="1517" t="str">
        <f t="shared" si="23"/>
        <v>200000(含)-300000</v>
      </c>
      <c r="K104" s="1518" t="str">
        <f t="shared" si="23"/>
        <v>300000(含)-500000</v>
      </c>
      <c r="L104" s="1519" t="str">
        <f t="shared" si="23"/>
        <v>500000(含)-</v>
      </c>
      <c r="M104" s="1520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21">
        <v>100000</v>
      </c>
      <c r="I105" s="1521">
        <v>150000</v>
      </c>
      <c r="J105" s="1522">
        <v>200000</v>
      </c>
      <c r="K105" s="1522">
        <v>300000</v>
      </c>
      <c r="L105" s="1523">
        <v>500000</v>
      </c>
      <c r="M105" s="1524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5"/>
      <c r="I107" s="1525"/>
      <c r="J107" s="1525"/>
      <c r="K107" s="1526"/>
      <c r="L107" s="1527"/>
      <c r="M107" s="1528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9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5"/>
      <c r="I109" s="1525"/>
      <c r="J109" s="1525"/>
      <c r="K109" s="1526"/>
      <c r="L109" s="1527"/>
      <c r="M109" s="1528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9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5"/>
      <c r="I111" s="1525"/>
      <c r="J111" s="1525"/>
      <c r="K111" s="1526"/>
      <c r="L111" s="1527"/>
      <c r="M111" s="1528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9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5"/>
      <c r="I113" s="1525"/>
      <c r="J113" s="1525"/>
      <c r="K113" s="1526"/>
      <c r="L113" s="1527"/>
      <c r="M113" s="1528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9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5"/>
      <c r="I115" s="1525"/>
      <c r="J115" s="1525"/>
      <c r="K115" s="1526"/>
      <c r="L115" s="1527"/>
      <c r="M115" s="1528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5"/>
      <c r="I117" s="1525"/>
      <c r="J117" s="1525"/>
      <c r="K117" s="1526"/>
      <c r="L117" s="1527"/>
      <c r="M117" s="1528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30"/>
      <c r="I118" s="1530"/>
      <c r="J118" s="1530"/>
      <c r="K118" s="1530"/>
      <c r="L118" s="1530"/>
      <c r="M118" s="1531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1562</v>
      </c>
      <c r="D119" s="1134" t="s">
        <v>1563</v>
      </c>
      <c r="E119" s="1134" t="s">
        <v>1564</v>
      </c>
      <c r="F119" s="1134" t="s">
        <v>1565</v>
      </c>
      <c r="G119" s="1134" t="s">
        <v>1566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1519</v>
      </c>
      <c r="C1" s="1031">
        <f>主表!B3</f>
        <v>44501</v>
      </c>
      <c r="D1" s="986" t="str">
        <f>主表!A23</f>
        <v>建设期</v>
      </c>
      <c r="E1" s="1026">
        <f>主表!B23</f>
        <v>1.5</v>
      </c>
      <c r="F1" s="986" t="s">
        <v>1520</v>
      </c>
      <c r="G1" s="987">
        <f ca="1">INDIRECT("d"&amp;$K$1)/100</f>
        <v>4.7500000000000001E-2</v>
      </c>
      <c r="H1" s="986" t="s">
        <v>1521</v>
      </c>
      <c r="I1" s="987">
        <f>SUMIF(F4:F8,E1,G4:G8)/100</f>
        <v>0</v>
      </c>
      <c r="J1" s="1156">
        <f>IF(C1&gt;C14,0,MATCH(C1,C$14:C$59,-1))+IF(SUMIF(C14:C59,C1,D14:D59)=0,14,13)</f>
        <v>14</v>
      </c>
      <c r="K1" s="1156">
        <f>MATCH(E1,C4:C8,1)+IF(SUMIF(C4:C8,E1,D4:D8)=0,3,2)</f>
        <v>6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主表!B4</f>
        <v>39212</v>
      </c>
      <c r="D2" s="1030" t="str">
        <f>主表!A24</f>
        <v>土地开发期</v>
      </c>
      <c r="E2" s="1026">
        <f>主表!B24</f>
        <v>0.5</v>
      </c>
      <c r="F2" s="986" t="s">
        <v>1520</v>
      </c>
      <c r="G2" s="987">
        <f ca="1">INDIRECT("e"&amp;$K$2)/100</f>
        <v>5.67E-2</v>
      </c>
      <c r="H2" s="986" t="s">
        <v>1521</v>
      </c>
      <c r="I2" s="987">
        <f ca="1">SUMIF(F4:F8,E2,G4:G8)/100</f>
        <v>1.3000000000000001E-2</v>
      </c>
      <c r="J2" s="1156">
        <f>IF(C2&gt;C14,0,MATCH(C2,C$14:C$59,-1))+IF(SUMIF(C14:C59,C2,D14:D59)=0,14,13)</f>
        <v>38</v>
      </c>
      <c r="K2" s="1156">
        <f ca="1">MATCH(E2,C4:C8,1)+IF(SUMIF(C4:C8,E2,D4:D8)=0,3,2)</f>
        <v>4</v>
      </c>
      <c r="L2" s="1156">
        <f>IF(C2&gt;M14,0,MATCH(C2,M$14:M$52,-1))+IF(SUMIF(M14:M52,C2,N14:N52)=0,14,13)</f>
        <v>37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1520</v>
      </c>
      <c r="G3" s="1038">
        <f ca="1">INDIRECT("e"&amp;$K$3)/100</f>
        <v>6.5700000000000008E-2</v>
      </c>
      <c r="H3" s="1037" t="s">
        <v>1521</v>
      </c>
      <c r="I3" s="1038">
        <f ca="1">SUMIF(F4:F8,E3,H4:H8)/100</f>
        <v>3.9599999999999996E-2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1522</v>
      </c>
      <c r="C4" s="1023">
        <v>0</v>
      </c>
      <c r="D4" s="1022">
        <f ca="1">INDIRECT("d"&amp;$J$1)</f>
        <v>4.3499999999999996</v>
      </c>
      <c r="E4" s="1022">
        <f ca="1">INDIRECT("d"&amp;$J$2)</f>
        <v>5.67</v>
      </c>
      <c r="F4" s="1023">
        <v>0.5</v>
      </c>
      <c r="G4" s="1024">
        <f ca="1">INDIRECT("p"&amp;$L$1)</f>
        <v>1.3</v>
      </c>
      <c r="H4" s="1024">
        <f ca="1">INDIRECT("p"&amp;$L$2)</f>
        <v>2.4300000000000002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1523</v>
      </c>
      <c r="C5" s="993">
        <v>0.5</v>
      </c>
      <c r="D5" s="994">
        <f ca="1">INDIRECT("e"&amp;$J$1)</f>
        <v>4.3499999999999996</v>
      </c>
      <c r="E5" s="994">
        <f ca="1">INDIRECT("e"&amp;$J$2)</f>
        <v>6.39</v>
      </c>
      <c r="F5" s="993">
        <v>1</v>
      </c>
      <c r="G5" s="1025">
        <f ca="1">INDIRECT("q"&amp;$L$1)</f>
        <v>1.5</v>
      </c>
      <c r="H5" s="1025">
        <f ca="1">INDIRECT("q"&amp;$L$2)</f>
        <v>2.79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1524</v>
      </c>
      <c r="C6" s="993">
        <v>1</v>
      </c>
      <c r="D6" s="994">
        <f ca="1">INDIRECT("f"&amp;$J$1)</f>
        <v>4.75</v>
      </c>
      <c r="E6" s="994">
        <f ca="1">INDIRECT("f"&amp;$J$2)</f>
        <v>6.57</v>
      </c>
      <c r="F6" s="993">
        <v>2</v>
      </c>
      <c r="G6" s="1025">
        <f ca="1">INDIRECT("r"&amp;$L$1)</f>
        <v>2.1</v>
      </c>
      <c r="H6" s="1025">
        <f ca="1">INDIRECT("r"&amp;$L$2)</f>
        <v>3.33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1525</v>
      </c>
      <c r="C7" s="993">
        <v>3</v>
      </c>
      <c r="D7" s="994">
        <f ca="1">INDIRECT("g"&amp;$J$1)</f>
        <v>4.75</v>
      </c>
      <c r="E7" s="994">
        <f ca="1">INDIRECT("g"&amp;$J$2)</f>
        <v>6.75</v>
      </c>
      <c r="F7" s="993">
        <v>3</v>
      </c>
      <c r="G7" s="1025">
        <f ca="1">INDIRECT("s"&amp;$L$1)</f>
        <v>2.75</v>
      </c>
      <c r="H7" s="1025">
        <f ca="1">INDIRECT("s"&amp;$L$2)</f>
        <v>3.96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1526</v>
      </c>
      <c r="C8" s="993">
        <v>5</v>
      </c>
      <c r="D8" s="994">
        <f ca="1">INDIRECT("h"&amp;$J$1)</f>
        <v>4.9000000000000004</v>
      </c>
      <c r="E8" s="994">
        <f ca="1">INDIRECT("h"&amp;$J$2)</f>
        <v>7.11</v>
      </c>
      <c r="F8" s="993">
        <v>5</v>
      </c>
      <c r="G8" s="1025">
        <f ca="1">INDIRECT("t"&amp;$L$1)</f>
        <v>0</v>
      </c>
      <c r="H8" s="1025">
        <f ca="1">INDIRECT("t"&amp;$L$2)</f>
        <v>4.41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1527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1528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1529</v>
      </c>
      <c r="C12" s="1000" t="s">
        <v>1530</v>
      </c>
      <c r="D12" s="1001" t="s">
        <v>1531</v>
      </c>
      <c r="E12" s="1002"/>
      <c r="F12" s="1001" t="s">
        <v>1532</v>
      </c>
      <c r="G12" s="1003"/>
      <c r="H12" s="1002"/>
      <c r="I12" s="1001" t="s">
        <v>1533</v>
      </c>
      <c r="J12" s="1002"/>
      <c r="K12" s="998"/>
      <c r="L12" s="999" t="s">
        <v>1529</v>
      </c>
      <c r="M12" s="1000" t="s">
        <v>1530</v>
      </c>
      <c r="N12" s="999" t="s">
        <v>1534</v>
      </c>
      <c r="O12" s="1001" t="s">
        <v>1535</v>
      </c>
      <c r="P12" s="1003"/>
      <c r="Q12" s="1003"/>
      <c r="R12" s="1003"/>
      <c r="S12" s="1003"/>
      <c r="T12" s="1002"/>
      <c r="U12" s="1001" t="s">
        <v>1536</v>
      </c>
      <c r="V12" s="1003"/>
      <c r="W12" s="1002"/>
      <c r="X12" s="999" t="s">
        <v>1537</v>
      </c>
      <c r="Y12" s="999" t="s">
        <v>1538</v>
      </c>
      <c r="Z12" s="999" t="s">
        <v>1539</v>
      </c>
    </row>
    <row r="13" spans="1:26" s="1009" customFormat="1">
      <c r="A13" s="1005"/>
      <c r="B13" s="1006"/>
      <c r="C13" s="1007"/>
      <c r="D13" s="992" t="s">
        <v>1522</v>
      </c>
      <c r="E13" s="992" t="s">
        <v>1523</v>
      </c>
      <c r="F13" s="992" t="s">
        <v>1524</v>
      </c>
      <c r="G13" s="992" t="s">
        <v>1525</v>
      </c>
      <c r="H13" s="992" t="s">
        <v>1526</v>
      </c>
      <c r="I13" s="1008" t="s">
        <v>1540</v>
      </c>
      <c r="J13" s="1008" t="s">
        <v>1540</v>
      </c>
      <c r="K13" s="1005"/>
      <c r="L13" s="1006"/>
      <c r="M13" s="1007"/>
      <c r="N13" s="1006"/>
      <c r="O13" s="1008" t="s">
        <v>1541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1542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1542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1543</v>
      </c>
      <c r="Y43" s="1016" t="s">
        <v>1543</v>
      </c>
      <c r="Z43" s="1016" t="s">
        <v>1543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1543</v>
      </c>
      <c r="Y44" s="1016" t="s">
        <v>1543</v>
      </c>
      <c r="Z44" s="1016" t="s">
        <v>1543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1543</v>
      </c>
      <c r="Y45" s="1016" t="s">
        <v>1543</v>
      </c>
      <c r="Z45" s="1016" t="s">
        <v>1543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1543</v>
      </c>
      <c r="Y46" s="1016" t="s">
        <v>1543</v>
      </c>
      <c r="Z46" s="1016" t="s">
        <v>1543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1543</v>
      </c>
      <c r="Y47" s="1016" t="s">
        <v>1543</v>
      </c>
      <c r="Z47" s="1016" t="s">
        <v>1543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1543</v>
      </c>
      <c r="Y48" s="1016" t="s">
        <v>1543</v>
      </c>
      <c r="Z48" s="1016" t="s">
        <v>1543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1543</v>
      </c>
      <c r="Y49" s="1016" t="s">
        <v>1543</v>
      </c>
      <c r="Z49" s="1016" t="s">
        <v>1543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1543</v>
      </c>
      <c r="Y50" s="1016" t="s">
        <v>1543</v>
      </c>
      <c r="Z50" s="1016" t="s">
        <v>1543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1543</v>
      </c>
      <c r="Y51" s="1016" t="s">
        <v>1543</v>
      </c>
      <c r="Z51" s="1016" t="s">
        <v>1543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1543</v>
      </c>
      <c r="V52" s="1016" t="s">
        <v>1543</v>
      </c>
      <c r="W52" s="1016" t="s">
        <v>1543</v>
      </c>
      <c r="X52" s="1016" t="s">
        <v>1543</v>
      </c>
      <c r="Y52" s="1016" t="s">
        <v>1543</v>
      </c>
      <c r="Z52" s="1016" t="s">
        <v>1543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1543</v>
      </c>
      <c r="J56" s="1016" t="s">
        <v>1543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42"/>
    <col min="7" max="7" width="8.875" style="1645"/>
    <col min="8" max="8" width="8.875" style="1542"/>
    <col min="9" max="12" width="9" style="1542" customWidth="1"/>
    <col min="13" max="13" width="2.25" style="1542" customWidth="1"/>
    <col min="14" max="14" width="9" style="1645" customWidth="1"/>
    <col min="15" max="17" width="9" style="1542" customWidth="1"/>
    <col min="18" max="18" width="2.375" style="1542" customWidth="1"/>
    <col min="19" max="19" width="7.125" style="1645" customWidth="1"/>
    <col min="20" max="22" width="7.125" style="1542" customWidth="1"/>
    <col min="23" max="23" width="2.5" style="1542" customWidth="1"/>
    <col min="24" max="16384" width="8.875" style="1542"/>
  </cols>
  <sheetData>
    <row r="1" spans="1:32" s="1534" customFormat="1">
      <c r="A1" s="1674" t="s">
        <v>1719</v>
      </c>
      <c r="C1" s="1614"/>
      <c r="D1" s="1614"/>
      <c r="F1" s="1614"/>
      <c r="H1" s="1673"/>
      <c r="I1" s="1673"/>
      <c r="J1" s="1673"/>
      <c r="K1" s="1673"/>
      <c r="L1" s="1673"/>
      <c r="O1" s="1673"/>
      <c r="P1" s="1673"/>
      <c r="Q1" s="1673"/>
      <c r="R1" s="1535"/>
      <c r="T1" s="1673"/>
      <c r="U1" s="1673"/>
      <c r="V1" s="1673"/>
    </row>
    <row r="2" spans="1:32" s="1534" customFormat="1" ht="13.5" thickBot="1">
      <c r="B2" s="1614" t="s">
        <v>1654</v>
      </c>
      <c r="C2" s="1614"/>
      <c r="D2" s="1614"/>
      <c r="F2" s="1614"/>
      <c r="G2" s="1893" t="s">
        <v>1655</v>
      </c>
      <c r="H2" s="1893"/>
      <c r="I2" s="1893"/>
      <c r="J2" s="1893"/>
      <c r="K2" s="1893"/>
      <c r="L2" s="1893"/>
      <c r="N2" s="1885" t="s">
        <v>1656</v>
      </c>
      <c r="O2" s="1885"/>
      <c r="P2" s="1885"/>
      <c r="Q2" s="1885"/>
      <c r="R2" s="1672"/>
      <c r="S2" s="1885" t="s">
        <v>1657</v>
      </c>
      <c r="T2" s="1885"/>
      <c r="U2" s="1885"/>
      <c r="V2" s="1885"/>
    </row>
    <row r="3" spans="1:32" s="1534" customFormat="1" ht="14.25">
      <c r="B3" s="15" t="s">
        <v>1713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5" t="s">
        <v>1759</v>
      </c>
      <c r="H3" s="1705" t="s">
        <v>1760</v>
      </c>
      <c r="I3" s="483" t="s">
        <v>1713</v>
      </c>
      <c r="J3" s="483" t="s">
        <v>1718</v>
      </c>
      <c r="K3" s="524" t="s">
        <v>1312</v>
      </c>
      <c r="L3" s="483" t="s">
        <v>50</v>
      </c>
      <c r="N3" s="483" t="s">
        <v>1713</v>
      </c>
      <c r="O3" s="483" t="s">
        <v>1718</v>
      </c>
      <c r="P3" s="524" t="s">
        <v>1312</v>
      </c>
      <c r="Q3" s="483" t="s">
        <v>50</v>
      </c>
      <c r="R3" s="1535"/>
      <c r="S3" s="483" t="s">
        <v>1713</v>
      </c>
      <c r="T3" s="483" t="s">
        <v>1718</v>
      </c>
      <c r="U3" s="524" t="s">
        <v>1312</v>
      </c>
      <c r="V3" s="483" t="s">
        <v>50</v>
      </c>
    </row>
    <row r="4" spans="1:32" s="1717" customFormat="1" ht="14.25">
      <c r="A4" s="1728" t="s">
        <v>1762</v>
      </c>
      <c r="B4" s="1718"/>
      <c r="C4" s="1718"/>
      <c r="D4" s="1719"/>
      <c r="E4" s="1719"/>
      <c r="F4" s="1718"/>
      <c r="G4" s="1720"/>
      <c r="H4" s="1720"/>
      <c r="I4" s="1727">
        <f>ROUND(AVERAGE($I5:$I27),2)</f>
        <v>2.06</v>
      </c>
      <c r="J4" s="1727">
        <f>ROUND(AVERAGE($J5:$J27),2)</f>
        <v>1.46</v>
      </c>
      <c r="K4" s="1727">
        <f>ROUND(AVERAGE($K5:$K27),2)</f>
        <v>2.2599999999999998</v>
      </c>
      <c r="L4" s="1727">
        <f>ROUND(AVERAGE($L5:$L27),2)</f>
        <v>1.4</v>
      </c>
      <c r="N4" s="1721"/>
      <c r="O4" s="1721"/>
      <c r="P4" s="1719"/>
      <c r="Q4" s="1721"/>
      <c r="R4" s="1722"/>
      <c r="S4" s="1721"/>
      <c r="T4" s="1721"/>
      <c r="U4" s="1719"/>
      <c r="V4" s="1721"/>
      <c r="X4" s="1723"/>
    </row>
    <row r="5" spans="1:32" s="1706" customFormat="1" ht="14.25">
      <c r="B5" s="1707"/>
      <c r="C5" s="1707"/>
      <c r="D5" s="1708"/>
      <c r="E5" s="1708"/>
      <c r="F5" s="1707"/>
      <c r="G5" s="1709"/>
      <c r="H5" s="1709"/>
      <c r="I5" s="1712"/>
      <c r="J5" s="1712"/>
      <c r="K5" s="1713"/>
      <c r="L5" s="1712"/>
      <c r="N5" s="1710"/>
      <c r="O5" s="1710"/>
      <c r="P5" s="1708"/>
      <c r="Q5" s="1710"/>
      <c r="R5" s="1711"/>
      <c r="S5" s="1710"/>
      <c r="T5" s="1710"/>
      <c r="U5" s="1708"/>
      <c r="V5" s="1710"/>
      <c r="X5" s="1724"/>
    </row>
    <row r="6" spans="1:32" s="1699" customFormat="1" ht="13.5" thickBot="1">
      <c r="A6" s="1696" t="s">
        <v>1774</v>
      </c>
      <c r="B6" s="1697">
        <f t="shared" ref="B6" si="0">B7*(1+N6)</f>
        <v>467.15916775261894</v>
      </c>
      <c r="C6" s="1697">
        <f t="shared" ref="C6" si="1">C7*(1+O6)</f>
        <v>346.01232557169084</v>
      </c>
      <c r="D6" s="1697">
        <f t="shared" ref="D6" si="2">C6</f>
        <v>346.01232557169084</v>
      </c>
      <c r="E6" s="1697">
        <f t="shared" ref="E6" si="3">E7*(1+P6)</f>
        <v>667.41617752122568</v>
      </c>
      <c r="F6" s="1697">
        <f t="shared" ref="F6" si="4">F7*(1+Q6)</f>
        <v>308.20314391798104</v>
      </c>
      <c r="G6" s="1704">
        <v>2019</v>
      </c>
      <c r="H6" s="1698">
        <v>2</v>
      </c>
      <c r="I6" s="1714">
        <v>0</v>
      </c>
      <c r="J6" s="1714">
        <v>0</v>
      </c>
      <c r="K6" s="1714">
        <v>0</v>
      </c>
      <c r="L6" s="1715">
        <v>0</v>
      </c>
      <c r="N6" s="1700">
        <f t="shared" ref="N6" si="5">I6/100</f>
        <v>0</v>
      </c>
      <c r="O6" s="1701">
        <f t="shared" ref="O6" si="6">J6/100</f>
        <v>0</v>
      </c>
      <c r="P6" s="1701">
        <f t="shared" ref="P6" si="7">K6/100</f>
        <v>0</v>
      </c>
      <c r="Q6" s="1701">
        <f t="shared" ref="Q6" si="8">L6/100</f>
        <v>0</v>
      </c>
      <c r="R6" s="1702"/>
      <c r="S6" s="1703"/>
      <c r="T6" s="1702"/>
      <c r="U6" s="1702"/>
      <c r="V6" s="1702"/>
      <c r="X6" s="1725" t="s">
        <v>1763</v>
      </c>
      <c r="Y6" s="1726"/>
      <c r="Z6" s="1726"/>
      <c r="AA6" s="1726"/>
    </row>
    <row r="7" spans="1:32" ht="13.5" thickBot="1">
      <c r="A7" s="1536" t="s">
        <v>1775</v>
      </c>
      <c r="B7" s="1729">
        <f t="shared" ref="B7" si="9">B8*(1+N7)</f>
        <v>467.15916775261894</v>
      </c>
      <c r="C7" s="1729">
        <f t="shared" ref="C7" si="10">C8*(1+O7)</f>
        <v>346.01232557169084</v>
      </c>
      <c r="D7" s="1729">
        <f t="shared" ref="D7" si="11">C7</f>
        <v>346.01232557169084</v>
      </c>
      <c r="E7" s="1729">
        <f t="shared" ref="E7" si="12">E8*(1+P7)</f>
        <v>667.41617752122568</v>
      </c>
      <c r="F7" s="1730">
        <f t="shared" ref="F7" si="13">F8*(1+Q7)</f>
        <v>308.20314391798104</v>
      </c>
      <c r="G7" s="1704">
        <v>2019</v>
      </c>
      <c r="H7" s="1537">
        <v>1</v>
      </c>
      <c r="I7" s="1738">
        <v>0.6</v>
      </c>
      <c r="J7" s="1738">
        <v>0.37</v>
      </c>
      <c r="K7" s="1738">
        <v>0.63</v>
      </c>
      <c r="L7" s="1739">
        <v>1.1299999999999999</v>
      </c>
      <c r="N7" s="1647">
        <f t="shared" ref="N7" si="14">I7/100</f>
        <v>6.0000000000000001E-3</v>
      </c>
      <c r="O7" s="1543">
        <f t="shared" ref="O7" si="15">J7/100</f>
        <v>3.7000000000000002E-3</v>
      </c>
      <c r="P7" s="1543">
        <f t="shared" ref="P7" si="16">K7/100</f>
        <v>6.3E-3</v>
      </c>
      <c r="Q7" s="1543">
        <f t="shared" ref="Q7" si="17">L7/100</f>
        <v>1.1299999999999999E-2</v>
      </c>
      <c r="R7" s="1544"/>
      <c r="S7" s="1649">
        <f>B7/B8-1</f>
        <v>6.0000000000000053E-3</v>
      </c>
      <c r="T7" s="1549">
        <f>C7/C8-1</f>
        <v>3.7000000000000366E-3</v>
      </c>
      <c r="U7" s="1549">
        <f>E7/E8-1</f>
        <v>6.2999999999999723E-3</v>
      </c>
      <c r="V7" s="1549">
        <f>F7/F8-1</f>
        <v>1.1300000000000088E-2</v>
      </c>
      <c r="AC7" s="1545"/>
      <c r="AD7" s="1545"/>
      <c r="AE7" s="1545"/>
      <c r="AF7" s="1545"/>
    </row>
    <row r="8" spans="1:32">
      <c r="A8" s="1536" t="s">
        <v>1771</v>
      </c>
      <c r="B8" s="1729">
        <f t="shared" ref="B8" si="18">B9*(1+N8)</f>
        <v>464.37293017158942</v>
      </c>
      <c r="C8" s="1729">
        <f t="shared" ref="C8" si="19">C9*(1+O8)</f>
        <v>344.73679941385956</v>
      </c>
      <c r="D8" s="1729">
        <f t="shared" ref="D8" si="20">C8</f>
        <v>344.73679941385956</v>
      </c>
      <c r="E8" s="1729">
        <f t="shared" ref="E8" si="21">E9*(1+P8)</f>
        <v>663.2377795103107</v>
      </c>
      <c r="F8" s="1730">
        <f t="shared" ref="F8" si="22">F9*(1+Q8)</f>
        <v>304.75936311478398</v>
      </c>
      <c r="G8" s="1887">
        <v>2018</v>
      </c>
      <c r="H8" s="1537">
        <v>4</v>
      </c>
      <c r="I8" s="1738">
        <v>0.96</v>
      </c>
      <c r="J8" s="1738">
        <v>1.03</v>
      </c>
      <c r="K8" s="1738">
        <v>0.92</v>
      </c>
      <c r="L8" s="1739">
        <v>1.29</v>
      </c>
      <c r="N8" s="1647">
        <f t="shared" ref="N8" si="23">I8/100</f>
        <v>9.5999999999999992E-3</v>
      </c>
      <c r="O8" s="1543">
        <f t="shared" ref="O8" si="24">J8/100</f>
        <v>1.03E-2</v>
      </c>
      <c r="P8" s="1543">
        <f t="shared" ref="P8" si="25">K8/100</f>
        <v>9.1999999999999998E-3</v>
      </c>
      <c r="Q8" s="1543">
        <f t="shared" ref="Q8" si="26">L8/100</f>
        <v>1.29E-2</v>
      </c>
      <c r="R8" s="1544"/>
      <c r="S8" s="1657"/>
      <c r="T8" s="1545"/>
      <c r="U8" s="1545"/>
      <c r="V8" s="1545"/>
      <c r="AC8" s="1545"/>
      <c r="AD8" s="1545"/>
      <c r="AE8" s="1545"/>
      <c r="AF8" s="1545"/>
    </row>
    <row r="9" spans="1:32" s="1534" customFormat="1" ht="14.45" customHeight="1">
      <c r="A9" s="1536" t="s">
        <v>1766</v>
      </c>
      <c r="B9" s="1546">
        <f t="shared" ref="B9" si="27">B10*(1+N9)</f>
        <v>459.95733971036987</v>
      </c>
      <c r="C9" s="1546">
        <f t="shared" ref="C9" si="28">C10*(1+O9)</f>
        <v>341.22221064422405</v>
      </c>
      <c r="D9" s="1546">
        <f t="shared" ref="D9" si="29">C9</f>
        <v>341.22221064422405</v>
      </c>
      <c r="E9" s="1546">
        <f t="shared" ref="E9" si="30">E10*(1+P9)</f>
        <v>657.19161663724799</v>
      </c>
      <c r="F9" s="1546">
        <f t="shared" ref="F9" si="31">F10*(1+Q9)</f>
        <v>300.87803644464805</v>
      </c>
      <c r="G9" s="1887"/>
      <c r="H9" s="1539">
        <v>3</v>
      </c>
      <c r="I9" s="1675">
        <v>1.51</v>
      </c>
      <c r="J9" s="1675">
        <v>1.41</v>
      </c>
      <c r="K9" s="1675">
        <v>1.52</v>
      </c>
      <c r="L9" s="1676">
        <v>1.74</v>
      </c>
      <c r="N9" s="1647">
        <f t="shared" ref="N9" si="32">I9/100</f>
        <v>1.5100000000000001E-2</v>
      </c>
      <c r="O9" s="1543">
        <f t="shared" ref="O9" si="33">J9/100</f>
        <v>1.41E-2</v>
      </c>
      <c r="P9" s="1543">
        <f t="shared" ref="P9" si="34">K9/100</f>
        <v>1.52E-2</v>
      </c>
      <c r="Q9" s="1543">
        <f t="shared" ref="Q9" si="35">L9/100</f>
        <v>1.7399999999999999E-2</v>
      </c>
      <c r="R9" s="1732"/>
      <c r="S9" s="1649"/>
      <c r="T9" s="1549"/>
      <c r="U9" s="1549"/>
      <c r="V9" s="1549"/>
    </row>
    <row r="10" spans="1:32" s="1534" customFormat="1" ht="14.45" customHeight="1">
      <c r="A10" s="1536" t="s">
        <v>1765</v>
      </c>
      <c r="B10" s="1546">
        <f t="shared" ref="B10:B15" si="36">B11*(1+N10)</f>
        <v>453.11529869999993</v>
      </c>
      <c r="C10" s="1546">
        <f t="shared" ref="C10" si="37">C11*(1+O10)</f>
        <v>336.47787264000004</v>
      </c>
      <c r="D10" s="1546">
        <f t="shared" ref="D10" si="38">C10</f>
        <v>336.47787264000004</v>
      </c>
      <c r="E10" s="1546">
        <f t="shared" ref="E10" si="39">E11*(1+P10)</f>
        <v>647.35186823999993</v>
      </c>
      <c r="F10" s="1546">
        <f t="shared" ref="F10" si="40">F11*(1+Q10)</f>
        <v>295.73229452000004</v>
      </c>
      <c r="G10" s="1887"/>
      <c r="H10" s="1539">
        <v>2</v>
      </c>
      <c r="I10" s="1675">
        <v>1.49</v>
      </c>
      <c r="J10" s="1675">
        <v>0.96</v>
      </c>
      <c r="K10" s="1675">
        <v>1.58</v>
      </c>
      <c r="L10" s="1676">
        <v>2.44</v>
      </c>
      <c r="N10" s="1647">
        <f t="shared" ref="N10" si="41">I10/100</f>
        <v>1.49E-2</v>
      </c>
      <c r="O10" s="1543">
        <f t="shared" ref="O10" si="42">J10/100</f>
        <v>9.5999999999999992E-3</v>
      </c>
      <c r="P10" s="1543">
        <f t="shared" ref="P10" si="43">K10/100</f>
        <v>1.5800000000000002E-2</v>
      </c>
      <c r="Q10" s="1543">
        <f t="shared" ref="Q10" si="44">L10/100</f>
        <v>2.4399999999999998E-2</v>
      </c>
      <c r="R10" s="1731"/>
      <c r="S10" s="1649"/>
      <c r="T10" s="1549"/>
      <c r="U10" s="1549"/>
      <c r="V10" s="1549"/>
    </row>
    <row r="11" spans="1:32" s="1534" customFormat="1" ht="15" customHeight="1" thickBot="1">
      <c r="A11" s="1536" t="s">
        <v>1764</v>
      </c>
      <c r="B11" s="1546">
        <f t="shared" si="36"/>
        <v>446.46299999999997</v>
      </c>
      <c r="C11" s="1546">
        <f t="shared" ref="C11" si="45">C12*(1+O11)</f>
        <v>333.27840000000003</v>
      </c>
      <c r="D11" s="1546">
        <f t="shared" ref="D11:D16" si="46">C11</f>
        <v>333.27840000000003</v>
      </c>
      <c r="E11" s="1546">
        <f t="shared" ref="E11" si="47">E12*(1+P11)</f>
        <v>637.28279999999995</v>
      </c>
      <c r="F11" s="1546">
        <f t="shared" ref="F11" si="48">F12*(1+Q11)</f>
        <v>288.68830000000003</v>
      </c>
      <c r="G11" s="1894"/>
      <c r="H11" s="1539">
        <v>1</v>
      </c>
      <c r="I11" s="1675">
        <v>1.7</v>
      </c>
      <c r="J11" s="1675">
        <v>1.92</v>
      </c>
      <c r="K11" s="1675">
        <v>1.64</v>
      </c>
      <c r="L11" s="1676">
        <v>2.0099999999999998</v>
      </c>
      <c r="N11" s="1647">
        <f t="shared" ref="N11" si="49">I11/100</f>
        <v>1.7000000000000001E-2</v>
      </c>
      <c r="O11" s="1543">
        <f t="shared" ref="O11" si="50">J11/100</f>
        <v>1.9199999999999998E-2</v>
      </c>
      <c r="P11" s="1543">
        <f t="shared" ref="P11" si="51">K11/100</f>
        <v>1.6399999999999998E-2</v>
      </c>
      <c r="Q11" s="1543">
        <f t="shared" ref="Q11" si="52">L11/100</f>
        <v>2.0099999999999996E-2</v>
      </c>
      <c r="R11" s="1716"/>
      <c r="S11" s="1649">
        <f>B11/B12-1</f>
        <v>1.6999999999999904E-2</v>
      </c>
      <c r="T11" s="1549">
        <f>C11/C12-1</f>
        <v>1.9200000000000106E-2</v>
      </c>
      <c r="U11" s="1549">
        <f>E11/E12-1</f>
        <v>1.639999999999997E-2</v>
      </c>
      <c r="V11" s="1549">
        <f>F11/F12-1</f>
        <v>2.0100000000000007E-2</v>
      </c>
    </row>
    <row r="12" spans="1:32">
      <c r="A12" s="1536" t="s">
        <v>1761</v>
      </c>
      <c r="B12" s="1729">
        <v>439</v>
      </c>
      <c r="C12" s="1729">
        <v>327</v>
      </c>
      <c r="D12" s="1729">
        <f t="shared" si="46"/>
        <v>327</v>
      </c>
      <c r="E12" s="1729">
        <v>627</v>
      </c>
      <c r="F12" s="1730">
        <v>283</v>
      </c>
      <c r="G12" s="1889">
        <v>2017</v>
      </c>
      <c r="H12" s="1537">
        <v>4</v>
      </c>
      <c r="I12" s="1537">
        <v>1.71</v>
      </c>
      <c r="J12" s="1537">
        <v>1.78</v>
      </c>
      <c r="K12" s="1537">
        <v>1.71</v>
      </c>
      <c r="L12" s="1538">
        <v>1.43</v>
      </c>
      <c r="N12" s="1647">
        <f t="shared" ref="N12" si="53">I12/100</f>
        <v>1.7100000000000001E-2</v>
      </c>
      <c r="O12" s="1543">
        <f t="shared" ref="O12" si="54">J12/100</f>
        <v>1.78E-2</v>
      </c>
      <c r="P12" s="1543">
        <f t="shared" ref="P12" si="55">K12/100</f>
        <v>1.7100000000000001E-2</v>
      </c>
      <c r="Q12" s="1543">
        <f t="shared" ref="Q12" si="56">L12/100</f>
        <v>1.43E-2</v>
      </c>
      <c r="R12" s="1544"/>
      <c r="S12" s="1657"/>
      <c r="T12" s="1545"/>
      <c r="U12" s="1545"/>
      <c r="V12" s="1545"/>
      <c r="AC12" s="1545"/>
      <c r="AD12" s="1545"/>
      <c r="AE12" s="1545"/>
      <c r="AF12" s="1545"/>
    </row>
    <row r="13" spans="1:32" s="1534" customFormat="1" ht="14.45" customHeight="1">
      <c r="A13" s="1536" t="s">
        <v>1758</v>
      </c>
      <c r="B13" s="1546">
        <f t="shared" si="36"/>
        <v>431.80730811680002</v>
      </c>
      <c r="C13" s="1546">
        <f t="shared" ref="C13:C14" si="57">C14*(1+O13)</f>
        <v>320.57880516480003</v>
      </c>
      <c r="D13" s="1546">
        <f t="shared" si="46"/>
        <v>320.57880516480003</v>
      </c>
      <c r="E13" s="1546">
        <f t="shared" ref="E13:F15" si="58">E14*(1+P13)</f>
        <v>615.96110553196797</v>
      </c>
      <c r="F13" s="1546">
        <f t="shared" si="58"/>
        <v>279.46777300108801</v>
      </c>
      <c r="G13" s="1887"/>
      <c r="H13" s="1539">
        <v>3</v>
      </c>
      <c r="I13" s="1675">
        <v>2.98</v>
      </c>
      <c r="J13" s="1675">
        <v>2.11</v>
      </c>
      <c r="K13" s="1675">
        <v>3.24</v>
      </c>
      <c r="L13" s="1676">
        <v>1.72</v>
      </c>
      <c r="N13" s="1647">
        <f t="shared" ref="N13:Q14" si="59">I13/100</f>
        <v>2.98E-2</v>
      </c>
      <c r="O13" s="1543">
        <f t="shared" si="59"/>
        <v>2.1099999999999997E-2</v>
      </c>
      <c r="P13" s="1543">
        <f t="shared" si="59"/>
        <v>3.2400000000000005E-2</v>
      </c>
      <c r="Q13" s="1543">
        <f t="shared" si="59"/>
        <v>1.72E-2</v>
      </c>
      <c r="R13" s="1695"/>
      <c r="S13" s="1646"/>
      <c r="T13" s="1695"/>
      <c r="U13" s="1695"/>
      <c r="V13" s="1695"/>
    </row>
    <row r="14" spans="1:32" s="1534" customFormat="1" ht="14.45" customHeight="1">
      <c r="A14" s="1536" t="s">
        <v>1658</v>
      </c>
      <c r="B14" s="1546">
        <f t="shared" si="36"/>
        <v>419.31181600000002</v>
      </c>
      <c r="C14" s="1546">
        <f t="shared" si="57"/>
        <v>313.95436800000004</v>
      </c>
      <c r="D14" s="1546">
        <f t="shared" si="46"/>
        <v>313.95436800000004</v>
      </c>
      <c r="E14" s="1546">
        <f t="shared" si="58"/>
        <v>596.63028431999999</v>
      </c>
      <c r="F14" s="1546">
        <f t="shared" si="58"/>
        <v>274.74220703999998</v>
      </c>
      <c r="G14" s="1887"/>
      <c r="H14" s="1540">
        <v>2</v>
      </c>
      <c r="I14" s="1692">
        <v>3.4</v>
      </c>
      <c r="J14" s="1692">
        <v>2</v>
      </c>
      <c r="K14" s="1692">
        <v>3.82</v>
      </c>
      <c r="L14" s="1693">
        <v>1.68</v>
      </c>
      <c r="N14" s="1647">
        <f t="shared" si="59"/>
        <v>3.4000000000000002E-2</v>
      </c>
      <c r="O14" s="1543">
        <f t="shared" si="59"/>
        <v>0.02</v>
      </c>
      <c r="P14" s="1543">
        <f t="shared" si="59"/>
        <v>3.8199999999999998E-2</v>
      </c>
      <c r="Q14" s="1543">
        <f t="shared" si="59"/>
        <v>1.6799999999999999E-2</v>
      </c>
      <c r="R14" s="1535"/>
      <c r="S14" s="1646"/>
      <c r="T14" s="1535"/>
      <c r="U14" s="1535"/>
      <c r="V14" s="1535"/>
    </row>
    <row r="15" spans="1:32" s="1534" customFormat="1" ht="15" customHeight="1" thickBot="1">
      <c r="A15" s="1536" t="s">
        <v>1659</v>
      </c>
      <c r="B15" s="1546">
        <f t="shared" si="36"/>
        <v>405.524</v>
      </c>
      <c r="C15" s="1546">
        <f t="shared" ref="C15" si="60">C16*(1+O15)</f>
        <v>307.79840000000002</v>
      </c>
      <c r="D15" s="1546">
        <f t="shared" si="46"/>
        <v>307.79840000000002</v>
      </c>
      <c r="E15" s="1546">
        <f t="shared" si="58"/>
        <v>574.67759999999998</v>
      </c>
      <c r="F15" s="1546">
        <f t="shared" si="58"/>
        <v>270.20280000000002</v>
      </c>
      <c r="G15" s="1894"/>
      <c r="H15" s="1539">
        <v>1</v>
      </c>
      <c r="I15" s="1675">
        <v>3.45</v>
      </c>
      <c r="J15" s="1675">
        <v>1.92</v>
      </c>
      <c r="K15" s="1675">
        <v>3.92</v>
      </c>
      <c r="L15" s="1676">
        <v>1.58</v>
      </c>
      <c r="N15" s="1647">
        <f>I15/100</f>
        <v>3.4500000000000003E-2</v>
      </c>
      <c r="O15" s="1543">
        <f t="shared" ref="O15" si="61">J15/100</f>
        <v>1.9199999999999998E-2</v>
      </c>
      <c r="P15" s="1543">
        <f t="shared" ref="P15" si="62">K15/100</f>
        <v>3.9199999999999999E-2</v>
      </c>
      <c r="Q15" s="1543">
        <f t="shared" ref="Q15" si="63">L15/100</f>
        <v>1.5800000000000002E-2</v>
      </c>
      <c r="R15" s="1535"/>
      <c r="S15" s="1649">
        <f>B15/B16-1</f>
        <v>3.4499999999999975E-2</v>
      </c>
      <c r="T15" s="1549">
        <f>C15/C16-1</f>
        <v>1.9200000000000106E-2</v>
      </c>
      <c r="U15" s="1549">
        <f>E15/E16-1</f>
        <v>3.9199999999999902E-2</v>
      </c>
      <c r="V15" s="1549">
        <f>F15/F16-1</f>
        <v>1.5800000000000036E-2</v>
      </c>
    </row>
    <row r="16" spans="1:32">
      <c r="A16" s="1536" t="s">
        <v>280</v>
      </c>
      <c r="B16" s="1541">
        <v>392</v>
      </c>
      <c r="C16" s="1541">
        <v>302</v>
      </c>
      <c r="D16" s="1541">
        <f t="shared" si="46"/>
        <v>302</v>
      </c>
      <c r="E16" s="1541">
        <v>553</v>
      </c>
      <c r="F16" s="1639">
        <v>266</v>
      </c>
      <c r="G16" s="1889">
        <v>2016</v>
      </c>
      <c r="H16" s="1537">
        <v>4</v>
      </c>
      <c r="I16" s="1537">
        <v>4.5599999999999996</v>
      </c>
      <c r="J16" s="1537">
        <v>2.15</v>
      </c>
      <c r="K16" s="1537">
        <v>5.32</v>
      </c>
      <c r="L16" s="1538">
        <v>1.57</v>
      </c>
      <c r="N16" s="1647">
        <f>I16/100</f>
        <v>4.5599999999999995E-2</v>
      </c>
      <c r="O16" s="1543">
        <f t="shared" ref="O16:Q31" si="64">J16/100</f>
        <v>2.1499999999999998E-2</v>
      </c>
      <c r="P16" s="1543">
        <f t="shared" si="64"/>
        <v>5.3200000000000004E-2</v>
      </c>
      <c r="Q16" s="1543">
        <f t="shared" si="64"/>
        <v>1.5700000000000002E-2</v>
      </c>
      <c r="R16" s="1544"/>
      <c r="S16" s="1657"/>
      <c r="T16" s="1545"/>
      <c r="U16" s="1545"/>
      <c r="V16" s="1545"/>
      <c r="AC16" s="1545"/>
      <c r="AD16" s="1545"/>
      <c r="AE16" s="1545"/>
      <c r="AF16" s="1545"/>
    </row>
    <row r="17" spans="1:32">
      <c r="A17" s="1536" t="s">
        <v>279</v>
      </c>
      <c r="B17" s="1546">
        <f t="shared" ref="B17:C19" si="65">B16/(1+N16)</f>
        <v>374.90436113236416</v>
      </c>
      <c r="C17" s="1546">
        <f t="shared" si="65"/>
        <v>295.64366128242779</v>
      </c>
      <c r="D17" s="1546">
        <f t="shared" ref="D17:D76" si="66">C17</f>
        <v>295.64366128242779</v>
      </c>
      <c r="E17" s="1546">
        <f t="shared" ref="E17:F19" si="67">E16/(1+P16)</f>
        <v>525.06646410938095</v>
      </c>
      <c r="F17" s="1546">
        <f t="shared" si="67"/>
        <v>261.88835286009646</v>
      </c>
      <c r="G17" s="1887"/>
      <c r="H17" s="1539">
        <v>3</v>
      </c>
      <c r="I17" s="1539">
        <v>4.12</v>
      </c>
      <c r="J17" s="1539">
        <v>2</v>
      </c>
      <c r="K17" s="1539">
        <v>4.79</v>
      </c>
      <c r="L17" s="1547">
        <v>1.97</v>
      </c>
      <c r="N17" s="1647">
        <f t="shared" ref="N17:Q51" si="68">I17/100</f>
        <v>4.1200000000000001E-2</v>
      </c>
      <c r="O17" s="1543">
        <f t="shared" si="64"/>
        <v>0.02</v>
      </c>
      <c r="P17" s="1543">
        <f t="shared" si="64"/>
        <v>4.7899999999999998E-2</v>
      </c>
      <c r="Q17" s="1543">
        <f t="shared" si="64"/>
        <v>1.9699999999999999E-2</v>
      </c>
      <c r="R17" s="1544"/>
      <c r="S17" s="1647"/>
      <c r="T17" s="1543"/>
      <c r="U17" s="1543"/>
      <c r="V17" s="1543"/>
    </row>
    <row r="18" spans="1:32">
      <c r="A18" s="1536" t="s">
        <v>269</v>
      </c>
      <c r="B18" s="1546">
        <f t="shared" si="65"/>
        <v>360.06949782209392</v>
      </c>
      <c r="C18" s="1546">
        <f t="shared" si="65"/>
        <v>289.84672674747821</v>
      </c>
      <c r="D18" s="1546">
        <f t="shared" si="66"/>
        <v>289.84672674747821</v>
      </c>
      <c r="E18" s="1546">
        <f t="shared" si="67"/>
        <v>501.06543001181495</v>
      </c>
      <c r="F18" s="1546">
        <f t="shared" si="67"/>
        <v>256.82882500744967</v>
      </c>
      <c r="G18" s="1887"/>
      <c r="H18" s="1540">
        <v>2</v>
      </c>
      <c r="I18" s="1540">
        <v>3.85</v>
      </c>
      <c r="J18" s="1540">
        <v>1.95</v>
      </c>
      <c r="K18" s="1540">
        <v>4.4800000000000004</v>
      </c>
      <c r="L18" s="1548">
        <v>1.41</v>
      </c>
      <c r="N18" s="1647">
        <f t="shared" si="68"/>
        <v>3.85E-2</v>
      </c>
      <c r="O18" s="1543">
        <f t="shared" si="64"/>
        <v>1.95E-2</v>
      </c>
      <c r="P18" s="1543">
        <f t="shared" si="64"/>
        <v>4.4800000000000006E-2</v>
      </c>
      <c r="Q18" s="1543">
        <f t="shared" si="64"/>
        <v>1.41E-2</v>
      </c>
      <c r="R18" s="1544"/>
      <c r="S18" s="1647"/>
      <c r="T18" s="1543"/>
      <c r="U18" s="1543"/>
      <c r="V18" s="1543"/>
    </row>
    <row r="19" spans="1:32" ht="13.5" thickBot="1">
      <c r="A19" s="1536" t="s">
        <v>278</v>
      </c>
      <c r="B19" s="1546">
        <f t="shared" si="65"/>
        <v>346.720748986128</v>
      </c>
      <c r="C19" s="1546">
        <f t="shared" si="65"/>
        <v>284.30282172386285</v>
      </c>
      <c r="D19" s="1546">
        <f t="shared" si="66"/>
        <v>284.30282172386285</v>
      </c>
      <c r="E19" s="1546">
        <f t="shared" si="67"/>
        <v>479.58023546306947</v>
      </c>
      <c r="F19" s="1546">
        <f t="shared" si="67"/>
        <v>253.25788877571213</v>
      </c>
      <c r="G19" s="1888"/>
      <c r="H19" s="1539">
        <v>1</v>
      </c>
      <c r="I19" s="1539">
        <v>4.09</v>
      </c>
      <c r="J19" s="1539">
        <v>2.93</v>
      </c>
      <c r="K19" s="1539">
        <v>4.54</v>
      </c>
      <c r="L19" s="1547">
        <v>1.48</v>
      </c>
      <c r="N19" s="1647">
        <f t="shared" si="68"/>
        <v>4.0899999999999999E-2</v>
      </c>
      <c r="O19" s="1543">
        <f t="shared" si="64"/>
        <v>2.9300000000000003E-2</v>
      </c>
      <c r="P19" s="1543">
        <f t="shared" si="64"/>
        <v>4.5400000000000003E-2</v>
      </c>
      <c r="Q19" s="1543">
        <f t="shared" si="64"/>
        <v>1.4800000000000001E-2</v>
      </c>
      <c r="R19" s="1544"/>
      <c r="S19" s="1649">
        <f>B19/B20-1</f>
        <v>4.1203450408792808E-2</v>
      </c>
      <c r="T19" s="1549">
        <f>C19/C20-1</f>
        <v>2.6363977342465095E-2</v>
      </c>
      <c r="U19" s="1549">
        <f>E19/E20-1</f>
        <v>4.4837114298626357E-2</v>
      </c>
      <c r="V19" s="1549">
        <f>F19/F20-1</f>
        <v>1.7099954922538574E-2</v>
      </c>
      <c r="AC19" s="1550"/>
      <c r="AD19" s="1550"/>
      <c r="AE19" s="1550"/>
      <c r="AF19" s="1550"/>
    </row>
    <row r="20" spans="1:32" ht="13.5" thickBot="1">
      <c r="A20" s="1536" t="s">
        <v>277</v>
      </c>
      <c r="B20" s="1541">
        <v>333</v>
      </c>
      <c r="C20" s="1541">
        <v>277</v>
      </c>
      <c r="D20" s="1541">
        <f t="shared" si="66"/>
        <v>277</v>
      </c>
      <c r="E20" s="1541">
        <v>459</v>
      </c>
      <c r="F20" s="1639">
        <v>249</v>
      </c>
      <c r="G20" s="1886">
        <v>2015</v>
      </c>
      <c r="H20" s="1551">
        <v>4</v>
      </c>
      <c r="I20" s="1551">
        <v>1.63</v>
      </c>
      <c r="J20" s="1551">
        <v>1.1100000000000001</v>
      </c>
      <c r="K20" s="1551">
        <v>1.77</v>
      </c>
      <c r="L20" s="1552">
        <v>1.89</v>
      </c>
      <c r="N20" s="1648">
        <f t="shared" si="68"/>
        <v>1.6299999999999999E-2</v>
      </c>
      <c r="O20" s="1553">
        <f t="shared" si="64"/>
        <v>1.11E-2</v>
      </c>
      <c r="P20" s="1553">
        <f t="shared" si="64"/>
        <v>1.77E-2</v>
      </c>
      <c r="Q20" s="1553">
        <f t="shared" si="64"/>
        <v>1.89E-2</v>
      </c>
      <c r="R20" s="1544"/>
      <c r="AC20" s="1545"/>
      <c r="AD20" s="1545"/>
      <c r="AE20" s="1545"/>
      <c r="AF20" s="1545"/>
    </row>
    <row r="21" spans="1:32">
      <c r="A21" s="1536" t="s">
        <v>276</v>
      </c>
      <c r="B21" s="1546">
        <f t="shared" ref="B21:C23" si="69">B20/(1+N20)</f>
        <v>327.65915576109415</v>
      </c>
      <c r="C21" s="1546">
        <f t="shared" si="69"/>
        <v>273.95905449510434</v>
      </c>
      <c r="D21" s="1546">
        <f t="shared" si="66"/>
        <v>273.95905449510434</v>
      </c>
      <c r="E21" s="1546">
        <f t="shared" ref="E21:F23" si="70">E20/(1+P20)</f>
        <v>451.01699911565294</v>
      </c>
      <c r="F21" s="1546">
        <f t="shared" si="70"/>
        <v>244.38119540681129</v>
      </c>
      <c r="G21" s="1887"/>
      <c r="H21" s="1554">
        <v>3</v>
      </c>
      <c r="I21" s="1554">
        <v>1.65</v>
      </c>
      <c r="J21" s="1554">
        <v>0.92</v>
      </c>
      <c r="K21" s="1554">
        <v>1.88</v>
      </c>
      <c r="L21" s="1555">
        <v>1.26</v>
      </c>
      <c r="N21" s="1647">
        <f t="shared" si="68"/>
        <v>1.6500000000000001E-2</v>
      </c>
      <c r="O21" s="1556">
        <f t="shared" si="64"/>
        <v>9.1999999999999998E-3</v>
      </c>
      <c r="P21" s="1556">
        <f t="shared" si="64"/>
        <v>1.8799999999999997E-2</v>
      </c>
      <c r="Q21" s="1556">
        <f t="shared" si="64"/>
        <v>1.26E-2</v>
      </c>
      <c r="R21" s="1544"/>
      <c r="S21" s="1647"/>
      <c r="T21" s="1543"/>
      <c r="U21" s="1543"/>
      <c r="V21" s="1543"/>
    </row>
    <row r="22" spans="1:32">
      <c r="A22" s="1536" t="s">
        <v>275</v>
      </c>
      <c r="B22" s="1546">
        <f t="shared" si="69"/>
        <v>322.34053690220776</v>
      </c>
      <c r="C22" s="1546">
        <f t="shared" si="69"/>
        <v>271.46160770422546</v>
      </c>
      <c r="D22" s="1546">
        <f t="shared" si="66"/>
        <v>271.46160770422546</v>
      </c>
      <c r="E22" s="1546">
        <f t="shared" si="70"/>
        <v>442.69434542172456</v>
      </c>
      <c r="F22" s="1546">
        <f t="shared" si="70"/>
        <v>241.34030753190925</v>
      </c>
      <c r="G22" s="1887"/>
      <c r="H22" s="1540">
        <v>2</v>
      </c>
      <c r="I22" s="1540">
        <v>0.77</v>
      </c>
      <c r="J22" s="1540">
        <v>0.69</v>
      </c>
      <c r="K22" s="1540">
        <v>0.8</v>
      </c>
      <c r="L22" s="1548">
        <v>0.88</v>
      </c>
      <c r="N22" s="1647">
        <f t="shared" si="68"/>
        <v>7.7000000000000002E-3</v>
      </c>
      <c r="O22" s="1556">
        <f t="shared" si="64"/>
        <v>6.8999999999999999E-3</v>
      </c>
      <c r="P22" s="1556">
        <f t="shared" si="64"/>
        <v>8.0000000000000002E-3</v>
      </c>
      <c r="Q22" s="1556">
        <f t="shared" si="64"/>
        <v>8.8000000000000005E-3</v>
      </c>
      <c r="R22" s="1544"/>
      <c r="S22" s="1647"/>
      <c r="T22" s="1543"/>
      <c r="U22" s="1543"/>
      <c r="V22" s="1543"/>
    </row>
    <row r="23" spans="1:32">
      <c r="A23" s="1536" t="s">
        <v>274</v>
      </c>
      <c r="B23" s="1546">
        <f t="shared" si="69"/>
        <v>319.87748030386797</v>
      </c>
      <c r="C23" s="1546">
        <f t="shared" si="69"/>
        <v>269.60135833173649</v>
      </c>
      <c r="D23" s="1546">
        <f t="shared" si="66"/>
        <v>269.60135833173649</v>
      </c>
      <c r="E23" s="1546">
        <f t="shared" si="70"/>
        <v>439.18089823583784</v>
      </c>
      <c r="F23" s="1546">
        <f t="shared" si="70"/>
        <v>239.23503918706311</v>
      </c>
      <c r="G23" s="1888"/>
      <c r="H23" s="1539">
        <v>1</v>
      </c>
      <c r="I23" s="1539">
        <v>0.51</v>
      </c>
      <c r="J23" s="1539">
        <v>0.54</v>
      </c>
      <c r="K23" s="1539">
        <v>0.48</v>
      </c>
      <c r="L23" s="1547">
        <v>0.93</v>
      </c>
      <c r="N23" s="1649">
        <f t="shared" si="68"/>
        <v>5.1000000000000004E-3</v>
      </c>
      <c r="O23" s="1549">
        <f t="shared" si="64"/>
        <v>5.4000000000000003E-3</v>
      </c>
      <c r="P23" s="1549">
        <f t="shared" si="64"/>
        <v>4.7999999999999996E-3</v>
      </c>
      <c r="Q23" s="1549">
        <f t="shared" si="64"/>
        <v>9.300000000000001E-3</v>
      </c>
      <c r="R23" s="1544"/>
      <c r="S23" s="1649">
        <f>B23/B24-1</f>
        <v>5.9040261127922822E-3</v>
      </c>
      <c r="T23" s="1549">
        <f>C23/C24-1</f>
        <v>5.9752176557332781E-3</v>
      </c>
      <c r="U23" s="1549">
        <f>E23/E24-1</f>
        <v>4.9906138119859556E-3</v>
      </c>
      <c r="V23" s="1549">
        <f>F23/F24-1</f>
        <v>9.4305450930933787E-3</v>
      </c>
      <c r="AC23" s="1550"/>
      <c r="AD23" s="1550"/>
      <c r="AE23" s="1550"/>
      <c r="AF23" s="1550"/>
    </row>
    <row r="24" spans="1:32" ht="13.5" thickBot="1">
      <c r="A24" s="1536" t="s">
        <v>273</v>
      </c>
      <c r="B24" s="1557">
        <v>318</v>
      </c>
      <c r="C24" s="1557">
        <v>268</v>
      </c>
      <c r="D24" s="1557">
        <f t="shared" si="66"/>
        <v>268</v>
      </c>
      <c r="E24" s="1557">
        <v>437</v>
      </c>
      <c r="F24" s="1640">
        <v>237</v>
      </c>
      <c r="G24" s="1886">
        <v>2014</v>
      </c>
      <c r="H24" s="1551">
        <v>4</v>
      </c>
      <c r="I24" s="1551">
        <v>0.21</v>
      </c>
      <c r="J24" s="1551">
        <v>0.41</v>
      </c>
      <c r="K24" s="1551">
        <v>0.12</v>
      </c>
      <c r="L24" s="1552">
        <v>0.89</v>
      </c>
      <c r="N24" s="1647">
        <f t="shared" si="68"/>
        <v>2.0999999999999999E-3</v>
      </c>
      <c r="O24" s="1543">
        <f t="shared" si="64"/>
        <v>4.0999999999999995E-3</v>
      </c>
      <c r="P24" s="1543">
        <f t="shared" si="64"/>
        <v>1.1999999999999999E-3</v>
      </c>
      <c r="Q24" s="1543">
        <f t="shared" si="64"/>
        <v>8.8999999999999999E-3</v>
      </c>
      <c r="R24" s="1544"/>
      <c r="S24" s="1657"/>
      <c r="T24" s="1545"/>
      <c r="U24" s="1545"/>
      <c r="V24" s="1545"/>
      <c r="AC24" s="1545"/>
      <c r="AD24" s="1545"/>
      <c r="AE24" s="1545"/>
      <c r="AF24" s="1545"/>
    </row>
    <row r="25" spans="1:32">
      <c r="A25" s="1536" t="s">
        <v>272</v>
      </c>
      <c r="B25" s="1546">
        <f t="shared" ref="B25:C27" si="71">B24/(1+N24)</f>
        <v>317.33359944117353</v>
      </c>
      <c r="C25" s="1546">
        <f t="shared" si="71"/>
        <v>266.90568668459315</v>
      </c>
      <c r="D25" s="1546">
        <f t="shared" si="66"/>
        <v>266.90568668459315</v>
      </c>
      <c r="E25" s="1546">
        <f t="shared" ref="E25:F27" si="72">E24/(1+P24)</f>
        <v>436.47622852576905</v>
      </c>
      <c r="F25" s="1546">
        <f t="shared" si="72"/>
        <v>234.90930716622066</v>
      </c>
      <c r="G25" s="1887"/>
      <c r="H25" s="1558">
        <v>3</v>
      </c>
      <c r="I25" s="1558">
        <v>0.83</v>
      </c>
      <c r="J25" s="1558">
        <v>1.47</v>
      </c>
      <c r="K25" s="1558">
        <v>0.65</v>
      </c>
      <c r="L25" s="1559">
        <v>0.72</v>
      </c>
      <c r="N25" s="1647">
        <f t="shared" si="68"/>
        <v>8.3000000000000001E-3</v>
      </c>
      <c r="O25" s="1543">
        <f t="shared" si="64"/>
        <v>1.47E-2</v>
      </c>
      <c r="P25" s="1543">
        <f t="shared" si="64"/>
        <v>6.5000000000000006E-3</v>
      </c>
      <c r="Q25" s="1543">
        <f t="shared" si="64"/>
        <v>7.1999999999999998E-3</v>
      </c>
      <c r="R25" s="1544"/>
      <c r="S25" s="1647"/>
      <c r="T25" s="1543"/>
      <c r="U25" s="1543"/>
      <c r="V25" s="1543"/>
    </row>
    <row r="26" spans="1:32" ht="13.5" thickBot="1">
      <c r="A26" s="1536" t="s">
        <v>271</v>
      </c>
      <c r="B26" s="1546">
        <f t="shared" si="71"/>
        <v>314.72141172386546</v>
      </c>
      <c r="C26" s="1546">
        <f t="shared" si="71"/>
        <v>263.03901319069001</v>
      </c>
      <c r="D26" s="1546">
        <f t="shared" si="66"/>
        <v>263.03901319069001</v>
      </c>
      <c r="E26" s="1546">
        <f t="shared" si="72"/>
        <v>433.65745506782821</v>
      </c>
      <c r="F26" s="1546">
        <f t="shared" si="72"/>
        <v>233.23005080045735</v>
      </c>
      <c r="G26" s="1887"/>
      <c r="H26" s="1551">
        <v>2</v>
      </c>
      <c r="I26" s="1551">
        <v>2.4</v>
      </c>
      <c r="J26" s="1551">
        <v>2.0299999999999998</v>
      </c>
      <c r="K26" s="1551">
        <v>2.59</v>
      </c>
      <c r="L26" s="1552">
        <v>1.52</v>
      </c>
      <c r="N26" s="1647">
        <f t="shared" si="68"/>
        <v>2.4E-2</v>
      </c>
      <c r="O26" s="1543">
        <f t="shared" si="64"/>
        <v>2.0299999999999999E-2</v>
      </c>
      <c r="P26" s="1543">
        <f t="shared" si="64"/>
        <v>2.5899999999999999E-2</v>
      </c>
      <c r="Q26" s="1543">
        <f t="shared" si="64"/>
        <v>1.52E-2</v>
      </c>
      <c r="R26" s="1544"/>
      <c r="S26" s="1647"/>
      <c r="T26" s="1543"/>
      <c r="U26" s="1543"/>
      <c r="V26" s="1543"/>
    </row>
    <row r="27" spans="1:32" s="1605" customFormat="1" ht="13.5" thickBot="1">
      <c r="A27" s="1601" t="s">
        <v>270</v>
      </c>
      <c r="B27" s="1602">
        <f t="shared" si="71"/>
        <v>307.34512863658733</v>
      </c>
      <c r="C27" s="1602">
        <f t="shared" si="71"/>
        <v>257.80556031626975</v>
      </c>
      <c r="D27" s="1602">
        <f t="shared" si="66"/>
        <v>257.80556031626975</v>
      </c>
      <c r="E27" s="1602">
        <f t="shared" si="72"/>
        <v>422.70928459677179</v>
      </c>
      <c r="F27" s="1602">
        <f t="shared" si="72"/>
        <v>229.73803270336617</v>
      </c>
      <c r="G27" s="1888"/>
      <c r="H27" s="1603">
        <v>1</v>
      </c>
      <c r="I27" s="1603">
        <v>2.97</v>
      </c>
      <c r="J27" s="1603">
        <v>2.34</v>
      </c>
      <c r="K27" s="1603">
        <v>3.28</v>
      </c>
      <c r="L27" s="1604">
        <v>1.36</v>
      </c>
      <c r="N27" s="1650">
        <f t="shared" si="68"/>
        <v>2.9700000000000001E-2</v>
      </c>
      <c r="O27" s="1606">
        <f t="shared" si="64"/>
        <v>2.3399999999999997E-2</v>
      </c>
      <c r="P27" s="1606">
        <f t="shared" si="64"/>
        <v>3.2799999999999996E-2</v>
      </c>
      <c r="Q27" s="1606">
        <f t="shared" si="64"/>
        <v>1.3600000000000001E-2</v>
      </c>
      <c r="R27" s="1607"/>
      <c r="S27" s="1658">
        <f>B27/B28-1</f>
        <v>2.7910129219355539E-2</v>
      </c>
      <c r="T27" s="1608">
        <f>C27/C28-1</f>
        <v>2.3037937762975247E-2</v>
      </c>
      <c r="U27" s="1608">
        <f>E27/E28-1</f>
        <v>3.3519033243940788E-2</v>
      </c>
      <c r="V27" s="1608">
        <f>F27/F28-1</f>
        <v>1.2061818076502862E-2</v>
      </c>
      <c r="AC27" s="1609"/>
      <c r="AD27" s="1609"/>
      <c r="AE27" s="1609"/>
      <c r="AF27" s="1609"/>
    </row>
    <row r="28" spans="1:32" ht="13.5" thickBot="1">
      <c r="A28" s="1536" t="s">
        <v>1660</v>
      </c>
      <c r="B28" s="1541">
        <v>299</v>
      </c>
      <c r="C28" s="1541">
        <v>252</v>
      </c>
      <c r="D28" s="1541">
        <f t="shared" si="66"/>
        <v>252</v>
      </c>
      <c r="E28" s="1541">
        <v>409</v>
      </c>
      <c r="F28" s="1639">
        <v>227</v>
      </c>
      <c r="G28" s="1890">
        <v>2013</v>
      </c>
      <c r="H28" s="1560">
        <v>4</v>
      </c>
      <c r="I28" s="1560">
        <v>1.83</v>
      </c>
      <c r="J28" s="1560">
        <v>1.68</v>
      </c>
      <c r="K28" s="1560">
        <v>1.97</v>
      </c>
      <c r="L28" s="1561">
        <v>0.87</v>
      </c>
      <c r="N28" s="1648">
        <f t="shared" si="68"/>
        <v>1.83E-2</v>
      </c>
      <c r="O28" s="1553">
        <f t="shared" si="64"/>
        <v>1.6799999999999999E-2</v>
      </c>
      <c r="P28" s="1553">
        <f t="shared" si="64"/>
        <v>1.9699999999999999E-2</v>
      </c>
      <c r="Q28" s="1553">
        <f t="shared" si="64"/>
        <v>8.6999999999999994E-3</v>
      </c>
      <c r="R28" s="1544"/>
      <c r="S28" s="1657"/>
      <c r="T28" s="1545"/>
      <c r="U28" s="1545"/>
      <c r="V28" s="1545"/>
      <c r="AC28" s="1545"/>
      <c r="AD28" s="1545"/>
      <c r="AE28" s="1545"/>
      <c r="AF28" s="1545"/>
    </row>
    <row r="29" spans="1:32">
      <c r="A29" s="1536" t="s">
        <v>1661</v>
      </c>
      <c r="B29" s="1546">
        <f t="shared" ref="B29:C31" si="73">B28/(1+N28)</f>
        <v>293.62663262299913</v>
      </c>
      <c r="C29" s="1546">
        <f t="shared" si="73"/>
        <v>247.83634933123525</v>
      </c>
      <c r="D29" s="1546">
        <f t="shared" si="66"/>
        <v>247.83634933123525</v>
      </c>
      <c r="E29" s="1546">
        <f t="shared" ref="E29:F31" si="74">E28/(1+P28)</f>
        <v>401.09836226341076</v>
      </c>
      <c r="F29" s="1546">
        <f t="shared" si="74"/>
        <v>225.04213343908003</v>
      </c>
      <c r="G29" s="1891"/>
      <c r="H29" s="1554">
        <v>3</v>
      </c>
      <c r="I29" s="1554">
        <v>1.86</v>
      </c>
      <c r="J29" s="1554">
        <v>1.72</v>
      </c>
      <c r="K29" s="1554">
        <v>1.98</v>
      </c>
      <c r="L29" s="1555">
        <v>0.88</v>
      </c>
      <c r="N29" s="1647">
        <f t="shared" si="68"/>
        <v>1.8600000000000002E-2</v>
      </c>
      <c r="O29" s="1556">
        <f t="shared" si="64"/>
        <v>1.72E-2</v>
      </c>
      <c r="P29" s="1556">
        <f t="shared" si="64"/>
        <v>1.9799999999999998E-2</v>
      </c>
      <c r="Q29" s="1556">
        <f t="shared" si="64"/>
        <v>8.8000000000000005E-3</v>
      </c>
      <c r="R29" s="1544"/>
      <c r="S29" s="1647"/>
      <c r="T29" s="1543"/>
      <c r="U29" s="1543"/>
      <c r="V29" s="1543"/>
    </row>
    <row r="30" spans="1:32">
      <c r="A30" s="1536" t="s">
        <v>1662</v>
      </c>
      <c r="B30" s="1546">
        <f t="shared" si="73"/>
        <v>288.2649053828776</v>
      </c>
      <c r="C30" s="1546">
        <f t="shared" si="73"/>
        <v>243.64564425013293</v>
      </c>
      <c r="D30" s="1546">
        <f t="shared" si="66"/>
        <v>243.64564425013293</v>
      </c>
      <c r="E30" s="1546">
        <f t="shared" si="74"/>
        <v>393.31080825986544</v>
      </c>
      <c r="F30" s="1546">
        <f t="shared" si="74"/>
        <v>223.07903790551154</v>
      </c>
      <c r="G30" s="1891"/>
      <c r="H30" s="1540">
        <v>2</v>
      </c>
      <c r="I30" s="1540">
        <v>2.04</v>
      </c>
      <c r="J30" s="1540">
        <v>2.33</v>
      </c>
      <c r="K30" s="1540">
        <v>2.0699999999999998</v>
      </c>
      <c r="L30" s="1548">
        <v>0.69</v>
      </c>
      <c r="N30" s="1647">
        <f t="shared" si="68"/>
        <v>2.0400000000000001E-2</v>
      </c>
      <c r="O30" s="1556">
        <f t="shared" si="64"/>
        <v>2.3300000000000001E-2</v>
      </c>
      <c r="P30" s="1556">
        <f t="shared" si="64"/>
        <v>2.07E-2</v>
      </c>
      <c r="Q30" s="1556">
        <f t="shared" si="64"/>
        <v>6.8999999999999999E-3</v>
      </c>
      <c r="R30" s="1544"/>
      <c r="S30" s="1647"/>
      <c r="T30" s="1543"/>
      <c r="U30" s="1543"/>
      <c r="V30" s="1543"/>
    </row>
    <row r="31" spans="1:32">
      <c r="A31" s="1536" t="s">
        <v>1663</v>
      </c>
      <c r="B31" s="1546">
        <f t="shared" si="73"/>
        <v>282.50186729015837</v>
      </c>
      <c r="C31" s="1546">
        <f t="shared" si="73"/>
        <v>238.09796174155468</v>
      </c>
      <c r="D31" s="1546">
        <f t="shared" si="66"/>
        <v>238.09796174155468</v>
      </c>
      <c r="E31" s="1546">
        <f t="shared" si="74"/>
        <v>385.33438646014054</v>
      </c>
      <c r="F31" s="1546">
        <f t="shared" si="74"/>
        <v>221.55034055567739</v>
      </c>
      <c r="G31" s="1892"/>
      <c r="H31" s="1539">
        <v>1</v>
      </c>
      <c r="I31" s="1539">
        <v>1.67</v>
      </c>
      <c r="J31" s="1539">
        <v>1.31</v>
      </c>
      <c r="K31" s="1539">
        <v>1.85</v>
      </c>
      <c r="L31" s="1547">
        <v>0.96</v>
      </c>
      <c r="N31" s="1649">
        <f t="shared" si="68"/>
        <v>1.67E-2</v>
      </c>
      <c r="O31" s="1549">
        <f t="shared" si="64"/>
        <v>1.3100000000000001E-2</v>
      </c>
      <c r="P31" s="1549">
        <f t="shared" si="64"/>
        <v>1.8500000000000003E-2</v>
      </c>
      <c r="Q31" s="1549">
        <f t="shared" si="64"/>
        <v>9.5999999999999992E-3</v>
      </c>
      <c r="R31" s="1544"/>
      <c r="S31" s="1649">
        <f>B31/B32-1</f>
        <v>1.6193767230785472E-2</v>
      </c>
      <c r="T31" s="1549">
        <f>C31/C32-1</f>
        <v>1.7512657015190891E-2</v>
      </c>
      <c r="U31" s="1549">
        <f>E31/E32-1</f>
        <v>1.6713420739157048E-2</v>
      </c>
      <c r="V31" s="1549">
        <f>F31/F32-1</f>
        <v>7.0470025258062563E-3</v>
      </c>
      <c r="AC31" s="1550"/>
      <c r="AD31" s="1550"/>
      <c r="AE31" s="1550"/>
      <c r="AF31" s="1550"/>
    </row>
    <row r="32" spans="1:32" ht="13.5" thickBot="1">
      <c r="A32" s="1536" t="s">
        <v>1664</v>
      </c>
      <c r="B32" s="1562">
        <v>278</v>
      </c>
      <c r="C32" s="1562">
        <v>234</v>
      </c>
      <c r="D32" s="1562">
        <f t="shared" si="66"/>
        <v>234</v>
      </c>
      <c r="E32" s="1562">
        <v>379</v>
      </c>
      <c r="F32" s="1641">
        <v>220</v>
      </c>
      <c r="G32" s="1886">
        <v>2012</v>
      </c>
      <c r="H32" s="1551">
        <v>4</v>
      </c>
      <c r="I32" s="1551">
        <v>0.91</v>
      </c>
      <c r="J32" s="1551">
        <v>0.68</v>
      </c>
      <c r="K32" s="1551">
        <v>0.98</v>
      </c>
      <c r="L32" s="1552">
        <v>0.9</v>
      </c>
      <c r="N32" s="1647">
        <f t="shared" si="68"/>
        <v>9.1000000000000004E-3</v>
      </c>
      <c r="O32" s="1543">
        <f t="shared" si="68"/>
        <v>6.8000000000000005E-3</v>
      </c>
      <c r="P32" s="1543">
        <f t="shared" si="68"/>
        <v>9.7999999999999997E-3</v>
      </c>
      <c r="Q32" s="1543">
        <f t="shared" si="68"/>
        <v>9.0000000000000011E-3</v>
      </c>
      <c r="R32" s="1544"/>
      <c r="S32" s="1657"/>
      <c r="T32" s="1545"/>
      <c r="U32" s="1545"/>
      <c r="V32" s="1545"/>
      <c r="AC32" s="1545"/>
      <c r="AD32" s="1545"/>
      <c r="AE32" s="1545"/>
      <c r="AF32" s="1545"/>
    </row>
    <row r="33" spans="1:32">
      <c r="A33" s="1536" t="s">
        <v>1665</v>
      </c>
      <c r="B33" s="1546">
        <f>B32/(1+N32)</f>
        <v>275.49301357645425</v>
      </c>
      <c r="C33" s="1546">
        <f>C32/(1+O32)</f>
        <v>232.41954707985698</v>
      </c>
      <c r="D33" s="1546">
        <f t="shared" si="66"/>
        <v>232.41954707985698</v>
      </c>
      <c r="E33" s="1546">
        <f t="shared" ref="E33:F35" si="75">E32/(1+P32)</f>
        <v>375.32184591008121</v>
      </c>
      <c r="F33" s="1546">
        <f t="shared" si="75"/>
        <v>218.03766105054513</v>
      </c>
      <c r="G33" s="1887"/>
      <c r="H33" s="1554">
        <v>3</v>
      </c>
      <c r="I33" s="1554">
        <v>0.09</v>
      </c>
      <c r="J33" s="1554">
        <v>0.28999999999999998</v>
      </c>
      <c r="K33" s="1554">
        <v>-0.01</v>
      </c>
      <c r="L33" s="1555">
        <v>0.57999999999999996</v>
      </c>
      <c r="N33" s="1647">
        <f t="shared" si="68"/>
        <v>8.9999999999999998E-4</v>
      </c>
      <c r="O33" s="1543">
        <f t="shared" si="68"/>
        <v>2.8999999999999998E-3</v>
      </c>
      <c r="P33" s="1543">
        <f t="shared" si="68"/>
        <v>-1E-4</v>
      </c>
      <c r="Q33" s="1543">
        <f t="shared" si="68"/>
        <v>5.7999999999999996E-3</v>
      </c>
      <c r="R33" s="1544"/>
      <c r="S33" s="1647"/>
      <c r="T33" s="1543"/>
      <c r="U33" s="1543"/>
      <c r="V33" s="1543"/>
    </row>
    <row r="34" spans="1:32">
      <c r="A34" s="1536" t="s">
        <v>1666</v>
      </c>
      <c r="B34" s="1546">
        <f>B33/(1+N33)</f>
        <v>275.24529281292263</v>
      </c>
      <c r="C34" s="1546">
        <f>C33/(1+O33)</f>
        <v>231.74747938962707</v>
      </c>
      <c r="D34" s="1546">
        <f t="shared" si="66"/>
        <v>231.74747938962707</v>
      </c>
      <c r="E34" s="1546">
        <f t="shared" si="75"/>
        <v>375.35938184826603</v>
      </c>
      <c r="F34" s="1546">
        <f t="shared" si="75"/>
        <v>216.78033510692495</v>
      </c>
      <c r="G34" s="1887"/>
      <c r="H34" s="1540">
        <v>2</v>
      </c>
      <c r="I34" s="1540">
        <v>0.02</v>
      </c>
      <c r="J34" s="1540">
        <v>0.12</v>
      </c>
      <c r="K34" s="1540">
        <v>-0.08</v>
      </c>
      <c r="L34" s="1548">
        <v>1.24</v>
      </c>
      <c r="N34" s="1647">
        <f t="shared" si="68"/>
        <v>2.0000000000000001E-4</v>
      </c>
      <c r="O34" s="1543">
        <f t="shared" si="68"/>
        <v>1.1999999999999999E-3</v>
      </c>
      <c r="P34" s="1543">
        <f t="shared" si="68"/>
        <v>-8.0000000000000004E-4</v>
      </c>
      <c r="Q34" s="1543">
        <f t="shared" si="68"/>
        <v>1.24E-2</v>
      </c>
      <c r="R34" s="1544"/>
      <c r="S34" s="1647"/>
      <c r="T34" s="1543"/>
      <c r="U34" s="1543"/>
      <c r="V34" s="1543"/>
    </row>
    <row r="35" spans="1:32" ht="13.5" thickBot="1">
      <c r="A35" s="1536" t="s">
        <v>1667</v>
      </c>
      <c r="B35" s="1546">
        <f>B34/(1+N34)</f>
        <v>275.19025476197027</v>
      </c>
      <c r="C35" s="1563">
        <v>232</v>
      </c>
      <c r="D35" s="1563">
        <f t="shared" si="66"/>
        <v>232</v>
      </c>
      <c r="E35" s="1546">
        <f t="shared" si="75"/>
        <v>375.65990977608692</v>
      </c>
      <c r="F35" s="1546">
        <f t="shared" si="75"/>
        <v>214.12518283971252</v>
      </c>
      <c r="G35" s="1888"/>
      <c r="H35" s="1539">
        <v>1</v>
      </c>
      <c r="I35" s="1539">
        <v>0.02</v>
      </c>
      <c r="J35" s="1539">
        <v>0.13</v>
      </c>
      <c r="K35" s="1539">
        <v>-0.04</v>
      </c>
      <c r="L35" s="1547">
        <v>0.46</v>
      </c>
      <c r="N35" s="1647">
        <f t="shared" si="68"/>
        <v>2.0000000000000001E-4</v>
      </c>
      <c r="O35" s="1543">
        <f t="shared" si="68"/>
        <v>1.2999999999999999E-3</v>
      </c>
      <c r="P35" s="1543">
        <f t="shared" si="68"/>
        <v>-4.0000000000000002E-4</v>
      </c>
      <c r="Q35" s="1543">
        <f t="shared" si="68"/>
        <v>4.5999999999999999E-3</v>
      </c>
      <c r="R35" s="1544"/>
      <c r="S35" s="1649">
        <f>B35/B36-1</f>
        <v>6.9183549807361189E-4</v>
      </c>
      <c r="T35" s="1549">
        <f>C35/C36-1</f>
        <v>0</v>
      </c>
      <c r="U35" s="1549">
        <f>E35/E36-1</f>
        <v>-9.0449527636460303E-4</v>
      </c>
      <c r="V35" s="1549">
        <f>F35/F36-1</f>
        <v>5.2825485432512753E-3</v>
      </c>
      <c r="AC35" s="1550"/>
      <c r="AD35" s="1550"/>
      <c r="AE35" s="1550"/>
      <c r="AF35" s="1550"/>
    </row>
    <row r="36" spans="1:32" ht="13.5" thickBot="1">
      <c r="A36" s="1536" t="s">
        <v>1668</v>
      </c>
      <c r="B36" s="1541">
        <v>275</v>
      </c>
      <c r="C36" s="1541">
        <v>232</v>
      </c>
      <c r="D36" s="1541">
        <f t="shared" si="66"/>
        <v>232</v>
      </c>
      <c r="E36" s="1541">
        <v>376</v>
      </c>
      <c r="F36" s="1639">
        <v>213</v>
      </c>
      <c r="G36" s="1886">
        <v>2011</v>
      </c>
      <c r="H36" s="1551">
        <v>4</v>
      </c>
      <c r="I36" s="1551">
        <v>-0.2</v>
      </c>
      <c r="J36" s="1551">
        <v>0.04</v>
      </c>
      <c r="K36" s="1551">
        <v>-0.34</v>
      </c>
      <c r="L36" s="1552">
        <v>0.46</v>
      </c>
      <c r="N36" s="1648">
        <f t="shared" si="68"/>
        <v>-2E-3</v>
      </c>
      <c r="O36" s="1553">
        <f t="shared" si="68"/>
        <v>4.0000000000000002E-4</v>
      </c>
      <c r="P36" s="1553">
        <f t="shared" si="68"/>
        <v>-3.4000000000000002E-3</v>
      </c>
      <c r="Q36" s="1553">
        <f t="shared" si="68"/>
        <v>4.5999999999999999E-3</v>
      </c>
      <c r="R36" s="1544"/>
      <c r="S36" s="1657"/>
      <c r="T36" s="1545"/>
      <c r="U36" s="1545"/>
      <c r="V36" s="1545"/>
      <c r="AC36" s="1545"/>
      <c r="AD36" s="1545"/>
      <c r="AE36" s="1545"/>
      <c r="AF36" s="1545"/>
    </row>
    <row r="37" spans="1:32">
      <c r="A37" s="1536" t="s">
        <v>1669</v>
      </c>
      <c r="B37" s="1546">
        <f t="shared" ref="B37:C39" si="76">B36/(1+N36)</f>
        <v>275.55110220440883</v>
      </c>
      <c r="C37" s="1546">
        <f t="shared" si="76"/>
        <v>231.90723710515795</v>
      </c>
      <c r="D37" s="1546">
        <f t="shared" si="66"/>
        <v>231.90723710515795</v>
      </c>
      <c r="E37" s="1546">
        <f t="shared" ref="E37:F39" si="77">E36/(1+P36)</f>
        <v>377.28276138872161</v>
      </c>
      <c r="F37" s="1546">
        <f t="shared" si="77"/>
        <v>212.02468644236512</v>
      </c>
      <c r="G37" s="1887">
        <v>2011</v>
      </c>
      <c r="H37" s="1554">
        <v>3</v>
      </c>
      <c r="I37" s="1554">
        <v>0.13</v>
      </c>
      <c r="J37" s="1554">
        <v>0.75</v>
      </c>
      <c r="K37" s="1554">
        <v>-0.08</v>
      </c>
      <c r="L37" s="1555">
        <v>0.53</v>
      </c>
      <c r="N37" s="1647">
        <f t="shared" si="68"/>
        <v>1.2999999999999999E-3</v>
      </c>
      <c r="O37" s="1556">
        <f t="shared" si="68"/>
        <v>7.4999999999999997E-3</v>
      </c>
      <c r="P37" s="1556">
        <f t="shared" si="68"/>
        <v>-8.0000000000000004E-4</v>
      </c>
      <c r="Q37" s="1556">
        <f t="shared" si="68"/>
        <v>5.3E-3</v>
      </c>
      <c r="R37" s="1544"/>
      <c r="S37" s="1647"/>
      <c r="T37" s="1543"/>
      <c r="U37" s="1543"/>
      <c r="V37" s="1543"/>
    </row>
    <row r="38" spans="1:32">
      <c r="A38" s="1536" t="s">
        <v>1670</v>
      </c>
      <c r="B38" s="1546">
        <f t="shared" si="76"/>
        <v>275.19335084830601</v>
      </c>
      <c r="C38" s="1546">
        <f t="shared" si="76"/>
        <v>230.18088050139744</v>
      </c>
      <c r="D38" s="1546">
        <f t="shared" si="66"/>
        <v>230.18088050139744</v>
      </c>
      <c r="E38" s="1546">
        <f t="shared" si="77"/>
        <v>377.58482925212331</v>
      </c>
      <c r="F38" s="1546">
        <f t="shared" si="77"/>
        <v>210.90687997847917</v>
      </c>
      <c r="G38" s="1887">
        <v>2011</v>
      </c>
      <c r="H38" s="1540">
        <v>2</v>
      </c>
      <c r="I38" s="1540">
        <v>-0.4</v>
      </c>
      <c r="J38" s="1540">
        <v>0.17</v>
      </c>
      <c r="K38" s="1540">
        <v>-0.57999999999999996</v>
      </c>
      <c r="L38" s="1548">
        <v>-0.2</v>
      </c>
      <c r="N38" s="1647">
        <f t="shared" si="68"/>
        <v>-4.0000000000000001E-3</v>
      </c>
      <c r="O38" s="1556">
        <f t="shared" si="68"/>
        <v>1.7000000000000001E-3</v>
      </c>
      <c r="P38" s="1556">
        <f t="shared" si="68"/>
        <v>-5.7999999999999996E-3</v>
      </c>
      <c r="Q38" s="1556">
        <f t="shared" si="68"/>
        <v>-2E-3</v>
      </c>
      <c r="R38" s="1544"/>
      <c r="S38" s="1647"/>
      <c r="T38" s="1543"/>
      <c r="U38" s="1543"/>
      <c r="V38" s="1543"/>
    </row>
    <row r="39" spans="1:32" ht="13.5" thickBot="1">
      <c r="A39" s="1536" t="s">
        <v>1671</v>
      </c>
      <c r="B39" s="1546">
        <f t="shared" si="76"/>
        <v>276.29854502841971</v>
      </c>
      <c r="C39" s="1546">
        <f t="shared" si="76"/>
        <v>229.79023709833027</v>
      </c>
      <c r="D39" s="1546">
        <f t="shared" si="66"/>
        <v>229.79023709833027</v>
      </c>
      <c r="E39" s="1546">
        <f t="shared" si="77"/>
        <v>379.78759731655936</v>
      </c>
      <c r="F39" s="1546">
        <f t="shared" si="77"/>
        <v>211.32953905659235</v>
      </c>
      <c r="G39" s="1888">
        <v>2011</v>
      </c>
      <c r="H39" s="1539">
        <v>1</v>
      </c>
      <c r="I39" s="1539">
        <v>2.65</v>
      </c>
      <c r="J39" s="1539">
        <v>3.76</v>
      </c>
      <c r="K39" s="1539">
        <v>1.89</v>
      </c>
      <c r="L39" s="1547">
        <v>7.95</v>
      </c>
      <c r="N39" s="1649">
        <f t="shared" si="68"/>
        <v>2.6499999999999999E-2</v>
      </c>
      <c r="O39" s="1549">
        <f t="shared" si="68"/>
        <v>3.7599999999999995E-2</v>
      </c>
      <c r="P39" s="1549">
        <f t="shared" si="68"/>
        <v>1.89E-2</v>
      </c>
      <c r="Q39" s="1549">
        <f t="shared" si="68"/>
        <v>7.9500000000000001E-2</v>
      </c>
      <c r="R39" s="1544"/>
      <c r="S39" s="1649">
        <f>B39/B40-1</f>
        <v>2.713213765211786E-2</v>
      </c>
      <c r="T39" s="1549">
        <f>C39/C40-1</f>
        <v>3.9774828499231862E-2</v>
      </c>
      <c r="U39" s="1549">
        <f>E39/E40-1</f>
        <v>1.8197311840641772E-2</v>
      </c>
      <c r="V39" s="1549">
        <f>F39/F40-1</f>
        <v>7.8211933962205826E-2</v>
      </c>
      <c r="AC39" s="1550"/>
      <c r="AD39" s="1550"/>
      <c r="AE39" s="1550"/>
      <c r="AF39" s="1550"/>
    </row>
    <row r="40" spans="1:32" ht="13.5" thickBot="1">
      <c r="A40" s="1536" t="s">
        <v>1672</v>
      </c>
      <c r="B40" s="1541">
        <v>269</v>
      </c>
      <c r="C40" s="1541">
        <v>221</v>
      </c>
      <c r="D40" s="1541">
        <f t="shared" si="66"/>
        <v>221</v>
      </c>
      <c r="E40" s="1541">
        <v>373</v>
      </c>
      <c r="F40" s="1639">
        <v>196</v>
      </c>
      <c r="G40" s="1886">
        <v>2010</v>
      </c>
      <c r="H40" s="1551">
        <v>4</v>
      </c>
      <c r="I40" s="1551">
        <v>5.72</v>
      </c>
      <c r="J40" s="1551">
        <v>6.57</v>
      </c>
      <c r="K40" s="1551">
        <v>5.72</v>
      </c>
      <c r="L40" s="1552">
        <v>2.72</v>
      </c>
      <c r="N40" s="1647">
        <f t="shared" si="68"/>
        <v>5.7200000000000001E-2</v>
      </c>
      <c r="O40" s="1543">
        <f t="shared" si="68"/>
        <v>6.5700000000000008E-2</v>
      </c>
      <c r="P40" s="1543">
        <f t="shared" si="68"/>
        <v>5.7200000000000001E-2</v>
      </c>
      <c r="Q40" s="1543">
        <f t="shared" si="68"/>
        <v>2.7200000000000002E-2</v>
      </c>
      <c r="R40" s="1544"/>
      <c r="S40" s="1657"/>
      <c r="T40" s="1545"/>
      <c r="U40" s="1545"/>
      <c r="V40" s="1545"/>
      <c r="AC40" s="1545"/>
      <c r="AD40" s="1545"/>
      <c r="AE40" s="1545"/>
      <c r="AF40" s="1545"/>
    </row>
    <row r="41" spans="1:32">
      <c r="A41" s="1536" t="s">
        <v>1673</v>
      </c>
      <c r="B41" s="1546">
        <f t="shared" ref="B41:C43" si="78">B40/(1+N40)</f>
        <v>254.44570563753314</v>
      </c>
      <c r="C41" s="1546">
        <f t="shared" si="78"/>
        <v>207.37543398705074</v>
      </c>
      <c r="D41" s="1546">
        <f t="shared" si="66"/>
        <v>207.37543398705074</v>
      </c>
      <c r="E41" s="1546">
        <f t="shared" ref="E41:F43" si="79">E40/(1+P40)</f>
        <v>352.81876655315932</v>
      </c>
      <c r="F41" s="1546">
        <f t="shared" si="79"/>
        <v>190.809968847352</v>
      </c>
      <c r="G41" s="1887">
        <v>2010</v>
      </c>
      <c r="H41" s="1554">
        <v>3</v>
      </c>
      <c r="I41" s="1554">
        <v>4.7300000000000004</v>
      </c>
      <c r="J41" s="1554">
        <v>3.9</v>
      </c>
      <c r="K41" s="1554">
        <v>5.03</v>
      </c>
      <c r="L41" s="1555">
        <v>4.21</v>
      </c>
      <c r="N41" s="1647">
        <f t="shared" si="68"/>
        <v>4.7300000000000002E-2</v>
      </c>
      <c r="O41" s="1543">
        <f t="shared" si="68"/>
        <v>3.9E-2</v>
      </c>
      <c r="P41" s="1543">
        <f t="shared" si="68"/>
        <v>5.0300000000000004E-2</v>
      </c>
      <c r="Q41" s="1543">
        <f t="shared" si="68"/>
        <v>4.2099999999999999E-2</v>
      </c>
      <c r="R41" s="1544"/>
      <c r="S41" s="1647"/>
      <c r="T41" s="1543"/>
      <c r="U41" s="1543"/>
      <c r="V41" s="1543"/>
    </row>
    <row r="42" spans="1:32">
      <c r="A42" s="1536" t="s">
        <v>1674</v>
      </c>
      <c r="B42" s="1546">
        <f t="shared" si="78"/>
        <v>242.95398227588385</v>
      </c>
      <c r="C42" s="1546">
        <f t="shared" si="78"/>
        <v>199.59137053614126</v>
      </c>
      <c r="D42" s="1546">
        <f t="shared" si="66"/>
        <v>199.59137053614126</v>
      </c>
      <c r="E42" s="1546">
        <f t="shared" si="79"/>
        <v>335.92189522342125</v>
      </c>
      <c r="F42" s="1546">
        <f t="shared" si="79"/>
        <v>183.10139991109489</v>
      </c>
      <c r="G42" s="1887">
        <v>2010</v>
      </c>
      <c r="H42" s="1540">
        <v>2</v>
      </c>
      <c r="I42" s="1540">
        <v>4.6900000000000004</v>
      </c>
      <c r="J42" s="1540">
        <v>3.55</v>
      </c>
      <c r="K42" s="1540">
        <v>5.07</v>
      </c>
      <c r="L42" s="1548">
        <v>4.2300000000000004</v>
      </c>
      <c r="N42" s="1647">
        <f t="shared" si="68"/>
        <v>4.6900000000000004E-2</v>
      </c>
      <c r="O42" s="1543">
        <f t="shared" si="68"/>
        <v>3.5499999999999997E-2</v>
      </c>
      <c r="P42" s="1543">
        <f t="shared" si="68"/>
        <v>5.0700000000000002E-2</v>
      </c>
      <c r="Q42" s="1543">
        <f t="shared" si="68"/>
        <v>4.2300000000000004E-2</v>
      </c>
      <c r="R42" s="1544"/>
      <c r="S42" s="1647"/>
      <c r="T42" s="1543"/>
      <c r="U42" s="1543"/>
      <c r="V42" s="1543"/>
    </row>
    <row r="43" spans="1:32" ht="13.5" thickBot="1">
      <c r="A43" s="1536" t="s">
        <v>1675</v>
      </c>
      <c r="B43" s="1546">
        <f t="shared" si="78"/>
        <v>232.06990378821649</v>
      </c>
      <c r="C43" s="1546">
        <f t="shared" si="78"/>
        <v>192.74878854286936</v>
      </c>
      <c r="D43" s="1546">
        <f t="shared" si="66"/>
        <v>192.74878854286936</v>
      </c>
      <c r="E43" s="1546">
        <f t="shared" si="79"/>
        <v>319.71247284992984</v>
      </c>
      <c r="F43" s="1546">
        <f t="shared" si="79"/>
        <v>175.67053622862409</v>
      </c>
      <c r="G43" s="1888">
        <v>2010</v>
      </c>
      <c r="H43" s="1539">
        <v>1</v>
      </c>
      <c r="I43" s="1539">
        <v>5.4</v>
      </c>
      <c r="J43" s="1539">
        <v>3.2</v>
      </c>
      <c r="K43" s="1539">
        <v>6.16</v>
      </c>
      <c r="L43" s="1547">
        <v>4.51</v>
      </c>
      <c r="N43" s="1647">
        <f t="shared" si="68"/>
        <v>5.4000000000000006E-2</v>
      </c>
      <c r="O43" s="1543">
        <f t="shared" si="68"/>
        <v>3.2000000000000001E-2</v>
      </c>
      <c r="P43" s="1543">
        <f t="shared" si="68"/>
        <v>6.1600000000000002E-2</v>
      </c>
      <c r="Q43" s="1543">
        <f t="shared" si="68"/>
        <v>4.5100000000000001E-2</v>
      </c>
      <c r="R43" s="1544"/>
      <c r="S43" s="1649">
        <f>B43/B44-1</f>
        <v>5.4863199037347599E-2</v>
      </c>
      <c r="T43" s="1549">
        <f>C43/C44-1</f>
        <v>3.0742184721226584E-2</v>
      </c>
      <c r="U43" s="1549">
        <f>E43/E44-1</f>
        <v>6.2167683886810154E-2</v>
      </c>
      <c r="V43" s="1549">
        <f>F43/F44-1</f>
        <v>4.5657953741810031E-2</v>
      </c>
      <c r="AC43" s="1550"/>
      <c r="AD43" s="1550"/>
      <c r="AE43" s="1550"/>
      <c r="AF43" s="1550"/>
    </row>
    <row r="44" spans="1:32" ht="13.5" thickBot="1">
      <c r="A44" s="1536" t="s">
        <v>1676</v>
      </c>
      <c r="B44" s="1541">
        <v>220</v>
      </c>
      <c r="C44" s="1541">
        <v>187</v>
      </c>
      <c r="D44" s="1541">
        <f t="shared" si="66"/>
        <v>187</v>
      </c>
      <c r="E44" s="1541">
        <v>301</v>
      </c>
      <c r="F44" s="1639">
        <v>168</v>
      </c>
      <c r="G44" s="1886">
        <v>2009</v>
      </c>
      <c r="H44" s="1551">
        <v>4</v>
      </c>
      <c r="I44" s="1551">
        <v>2.2999999999999998</v>
      </c>
      <c r="J44" s="1551">
        <v>1.04</v>
      </c>
      <c r="K44" s="1551">
        <v>2.84</v>
      </c>
      <c r="L44" s="1552">
        <v>0.67</v>
      </c>
      <c r="N44" s="1648">
        <f t="shared" si="68"/>
        <v>2.3E-2</v>
      </c>
      <c r="O44" s="1553">
        <f t="shared" si="68"/>
        <v>1.04E-2</v>
      </c>
      <c r="P44" s="1553">
        <f t="shared" si="68"/>
        <v>2.8399999999999998E-2</v>
      </c>
      <c r="Q44" s="1553">
        <f t="shared" si="68"/>
        <v>6.7000000000000002E-3</v>
      </c>
      <c r="R44" s="1544"/>
      <c r="S44" s="1657"/>
      <c r="T44" s="1545"/>
      <c r="U44" s="1545"/>
      <c r="V44" s="1545"/>
      <c r="AC44" s="1545"/>
      <c r="AD44" s="1545"/>
      <c r="AE44" s="1545"/>
      <c r="AF44" s="1545"/>
    </row>
    <row r="45" spans="1:32">
      <c r="A45" s="1536" t="s">
        <v>1677</v>
      </c>
      <c r="B45" s="1546">
        <f t="shared" ref="B45:C47" si="80">B44/(1+N44)</f>
        <v>215.05376344086022</v>
      </c>
      <c r="C45" s="1546">
        <f t="shared" si="80"/>
        <v>185.0752177355503</v>
      </c>
      <c r="D45" s="1546">
        <f t="shared" si="66"/>
        <v>185.0752177355503</v>
      </c>
      <c r="E45" s="1546">
        <f t="shared" ref="E45:F47" si="81">E44/(1+P44)</f>
        <v>292.68767016725008</v>
      </c>
      <c r="F45" s="1546">
        <f t="shared" si="81"/>
        <v>166.88189132810174</v>
      </c>
      <c r="G45" s="1887">
        <v>2009</v>
      </c>
      <c r="H45" s="1554">
        <v>3</v>
      </c>
      <c r="I45" s="1554">
        <v>2.1</v>
      </c>
      <c r="J45" s="1554">
        <v>1.86</v>
      </c>
      <c r="K45" s="1554">
        <v>2.29</v>
      </c>
      <c r="L45" s="1555">
        <v>0.85</v>
      </c>
      <c r="N45" s="1647">
        <f t="shared" si="68"/>
        <v>2.1000000000000001E-2</v>
      </c>
      <c r="O45" s="1556">
        <f t="shared" si="68"/>
        <v>1.8600000000000002E-2</v>
      </c>
      <c r="P45" s="1556">
        <f t="shared" si="68"/>
        <v>2.29E-2</v>
      </c>
      <c r="Q45" s="1556">
        <f t="shared" si="68"/>
        <v>8.5000000000000006E-3</v>
      </c>
      <c r="R45" s="1544"/>
      <c r="S45" s="1647"/>
      <c r="T45" s="1543"/>
      <c r="U45" s="1543"/>
      <c r="V45" s="1543"/>
    </row>
    <row r="46" spans="1:32">
      <c r="A46" s="1536" t="s">
        <v>1678</v>
      </c>
      <c r="B46" s="1546">
        <f t="shared" si="80"/>
        <v>210.630522469011</v>
      </c>
      <c r="C46" s="1546">
        <f t="shared" si="80"/>
        <v>181.69567812247232</v>
      </c>
      <c r="D46" s="1546">
        <f t="shared" si="66"/>
        <v>181.69567812247232</v>
      </c>
      <c r="E46" s="1546">
        <f t="shared" si="81"/>
        <v>286.13517466736738</v>
      </c>
      <c r="F46" s="1546">
        <f t="shared" si="81"/>
        <v>165.47535084591149</v>
      </c>
      <c r="G46" s="1887">
        <v>2009</v>
      </c>
      <c r="H46" s="1540">
        <v>2</v>
      </c>
      <c r="I46" s="1540">
        <v>0.86</v>
      </c>
      <c r="J46" s="1540">
        <v>-1.1299999999999999</v>
      </c>
      <c r="K46" s="1540">
        <v>1.79</v>
      </c>
      <c r="L46" s="1548">
        <v>-2.0699999999999998</v>
      </c>
      <c r="N46" s="1647">
        <f t="shared" si="68"/>
        <v>8.6E-3</v>
      </c>
      <c r="O46" s="1556">
        <f t="shared" si="68"/>
        <v>-1.1299999999999999E-2</v>
      </c>
      <c r="P46" s="1556">
        <f t="shared" si="68"/>
        <v>1.7899999999999999E-2</v>
      </c>
      <c r="Q46" s="1556">
        <f t="shared" si="68"/>
        <v>-2.07E-2</v>
      </c>
      <c r="R46" s="1544"/>
      <c r="S46" s="1647"/>
      <c r="T46" s="1543"/>
      <c r="U46" s="1543"/>
      <c r="V46" s="1543"/>
    </row>
    <row r="47" spans="1:32">
      <c r="A47" s="1536" t="s">
        <v>1679</v>
      </c>
      <c r="B47" s="1546">
        <f t="shared" si="80"/>
        <v>208.83454537875372</v>
      </c>
      <c r="C47" s="1546">
        <f t="shared" si="80"/>
        <v>183.77230517090351</v>
      </c>
      <c r="D47" s="1546">
        <f t="shared" si="66"/>
        <v>183.77230517090351</v>
      </c>
      <c r="E47" s="1546">
        <f t="shared" si="81"/>
        <v>281.10342338870947</v>
      </c>
      <c r="F47" s="1546">
        <f t="shared" si="81"/>
        <v>168.97309388942256</v>
      </c>
      <c r="G47" s="1888">
        <v>2009</v>
      </c>
      <c r="H47" s="1539">
        <v>1</v>
      </c>
      <c r="I47" s="1539">
        <v>-2.64</v>
      </c>
      <c r="J47" s="1539">
        <v>-2.5299999999999998</v>
      </c>
      <c r="K47" s="1539">
        <v>-3.02</v>
      </c>
      <c r="L47" s="1547">
        <v>1.52</v>
      </c>
      <c r="N47" s="1649">
        <f t="shared" si="68"/>
        <v>-2.64E-2</v>
      </c>
      <c r="O47" s="1549">
        <f t="shared" si="68"/>
        <v>-2.53E-2</v>
      </c>
      <c r="P47" s="1549">
        <f t="shared" si="68"/>
        <v>-3.0200000000000001E-2</v>
      </c>
      <c r="Q47" s="1549">
        <f t="shared" si="68"/>
        <v>1.52E-2</v>
      </c>
      <c r="R47" s="1544"/>
      <c r="S47" s="1649">
        <f>B47/B48-1</f>
        <v>-2.4137638417038754E-2</v>
      </c>
      <c r="T47" s="1549">
        <f>C47/C48-1</f>
        <v>-2.248773845264096E-2</v>
      </c>
      <c r="U47" s="1549">
        <f>E47/E48-1</f>
        <v>-2.7323794502735366E-2</v>
      </c>
      <c r="V47" s="1549">
        <f>F47/F48-1</f>
        <v>1.7910204153148035E-2</v>
      </c>
      <c r="AC47" s="1550"/>
      <c r="AD47" s="1550"/>
      <c r="AE47" s="1550"/>
      <c r="AF47" s="1550"/>
    </row>
    <row r="48" spans="1:32" ht="13.5" thickBot="1">
      <c r="A48" s="1536" t="s">
        <v>1680</v>
      </c>
      <c r="B48" s="1562">
        <v>214</v>
      </c>
      <c r="C48" s="1562">
        <v>188</v>
      </c>
      <c r="D48" s="1562">
        <f t="shared" si="66"/>
        <v>188</v>
      </c>
      <c r="E48" s="1562">
        <v>289</v>
      </c>
      <c r="F48" s="1641">
        <v>166</v>
      </c>
      <c r="G48" s="1886">
        <v>2008</v>
      </c>
      <c r="H48" s="1551">
        <v>4</v>
      </c>
      <c r="I48" s="1551">
        <v>1.73</v>
      </c>
      <c r="J48" s="1551">
        <v>0.03</v>
      </c>
      <c r="K48" s="1551">
        <v>2.59</v>
      </c>
      <c r="L48" s="1552">
        <v>-1.66</v>
      </c>
      <c r="N48" s="1647">
        <f t="shared" si="68"/>
        <v>1.7299999999999999E-2</v>
      </c>
      <c r="O48" s="1543">
        <f t="shared" si="68"/>
        <v>2.9999999999999997E-4</v>
      </c>
      <c r="P48" s="1543">
        <f t="shared" si="68"/>
        <v>2.5899999999999999E-2</v>
      </c>
      <c r="Q48" s="1543">
        <f t="shared" si="68"/>
        <v>-1.66E-2</v>
      </c>
      <c r="R48" s="1544"/>
      <c r="S48" s="1657"/>
      <c r="T48" s="1545"/>
      <c r="U48" s="1545"/>
      <c r="V48" s="1545"/>
      <c r="AC48" s="1545"/>
      <c r="AD48" s="1545"/>
      <c r="AE48" s="1545"/>
      <c r="AF48" s="1545"/>
    </row>
    <row r="49" spans="1:32">
      <c r="A49" s="1536" t="s">
        <v>1681</v>
      </c>
      <c r="B49" s="1546">
        <f t="shared" ref="B49:C51" si="82">B48/(1+N48)</f>
        <v>210.36075887152265</v>
      </c>
      <c r="C49" s="1546">
        <f t="shared" si="82"/>
        <v>187.94361691492554</v>
      </c>
      <c r="D49" s="1546">
        <f t="shared" si="66"/>
        <v>187.94361691492554</v>
      </c>
      <c r="E49" s="1546">
        <f t="shared" ref="E49:F51" si="83">E48/(1+P48)</f>
        <v>281.70386977288234</v>
      </c>
      <c r="F49" s="1546">
        <f t="shared" si="83"/>
        <v>168.80211511083994</v>
      </c>
      <c r="G49" s="1887">
        <v>2008</v>
      </c>
      <c r="H49" s="1554">
        <v>3</v>
      </c>
      <c r="I49" s="1554">
        <v>1.96</v>
      </c>
      <c r="J49" s="1554">
        <v>2.36</v>
      </c>
      <c r="K49" s="1554">
        <v>1.82</v>
      </c>
      <c r="L49" s="1555">
        <v>2.2200000000000002</v>
      </c>
      <c r="N49" s="1647">
        <f t="shared" si="68"/>
        <v>1.9599999999999999E-2</v>
      </c>
      <c r="O49" s="1543">
        <f t="shared" si="68"/>
        <v>2.3599999999999999E-2</v>
      </c>
      <c r="P49" s="1543">
        <f t="shared" si="68"/>
        <v>1.8200000000000001E-2</v>
      </c>
      <c r="Q49" s="1543">
        <f t="shared" si="68"/>
        <v>2.2200000000000001E-2</v>
      </c>
      <c r="R49" s="1544"/>
      <c r="S49" s="1647"/>
      <c r="T49" s="1543"/>
      <c r="U49" s="1543"/>
      <c r="V49" s="1543"/>
    </row>
    <row r="50" spans="1:32">
      <c r="A50" s="1536" t="s">
        <v>1682</v>
      </c>
      <c r="B50" s="1546">
        <f t="shared" si="82"/>
        <v>206.31694671589116</v>
      </c>
      <c r="C50" s="1546">
        <f t="shared" si="82"/>
        <v>183.61041121036101</v>
      </c>
      <c r="D50" s="1546">
        <f t="shared" si="66"/>
        <v>183.61041121036101</v>
      </c>
      <c r="E50" s="1546">
        <f t="shared" si="83"/>
        <v>276.66850301795557</v>
      </c>
      <c r="F50" s="1546">
        <f t="shared" si="83"/>
        <v>165.1360938278614</v>
      </c>
      <c r="G50" s="1887">
        <v>2008</v>
      </c>
      <c r="H50" s="1540">
        <v>2</v>
      </c>
      <c r="I50" s="1540">
        <v>4.93</v>
      </c>
      <c r="J50" s="1540">
        <v>7.38</v>
      </c>
      <c r="K50" s="1540">
        <v>3.98</v>
      </c>
      <c r="L50" s="1548">
        <v>6.86</v>
      </c>
      <c r="N50" s="1647">
        <f t="shared" si="68"/>
        <v>4.9299999999999997E-2</v>
      </c>
      <c r="O50" s="1543">
        <f t="shared" si="68"/>
        <v>7.3800000000000004E-2</v>
      </c>
      <c r="P50" s="1543">
        <f t="shared" si="68"/>
        <v>3.9800000000000002E-2</v>
      </c>
      <c r="Q50" s="1543">
        <f t="shared" si="68"/>
        <v>6.8600000000000008E-2</v>
      </c>
      <c r="R50" s="1544"/>
      <c r="S50" s="1647"/>
      <c r="T50" s="1543"/>
      <c r="U50" s="1543"/>
      <c r="V50" s="1543"/>
    </row>
    <row r="51" spans="1:32" s="1567" customFormat="1" ht="13.5" thickBot="1">
      <c r="A51" s="1536" t="s">
        <v>1683</v>
      </c>
      <c r="B51" s="1564">
        <f t="shared" si="82"/>
        <v>196.62341248059772</v>
      </c>
      <c r="C51" s="1564">
        <f t="shared" si="82"/>
        <v>170.99125648199012</v>
      </c>
      <c r="D51" s="1564">
        <f t="shared" si="66"/>
        <v>170.99125648199012</v>
      </c>
      <c r="E51" s="1564">
        <f t="shared" si="83"/>
        <v>266.07857570490052</v>
      </c>
      <c r="F51" s="1564">
        <f t="shared" si="83"/>
        <v>154.53499328828505</v>
      </c>
      <c r="G51" s="1888">
        <v>2008</v>
      </c>
      <c r="H51" s="1565">
        <v>1</v>
      </c>
      <c r="I51" s="1565">
        <v>4.1399999999999997</v>
      </c>
      <c r="J51" s="1565">
        <v>3.45</v>
      </c>
      <c r="K51" s="1565">
        <v>4.95</v>
      </c>
      <c r="L51" s="1566">
        <v>4.82</v>
      </c>
      <c r="N51" s="1651">
        <f t="shared" si="68"/>
        <v>4.1399999999999999E-2</v>
      </c>
      <c r="O51" s="1568">
        <f t="shared" si="68"/>
        <v>3.4500000000000003E-2</v>
      </c>
      <c r="P51" s="1568">
        <f t="shared" si="68"/>
        <v>4.9500000000000002E-2</v>
      </c>
      <c r="Q51" s="1568">
        <f t="shared" si="68"/>
        <v>4.82E-2</v>
      </c>
      <c r="R51" s="1569"/>
      <c r="S51" s="1651">
        <f>B51/B52-1</f>
        <v>4.5869215322328349E-2</v>
      </c>
      <c r="T51" s="1568">
        <f>C51/C52-1</f>
        <v>3.6310645345394743E-2</v>
      </c>
      <c r="U51" s="1568">
        <f>E51/E52-1</f>
        <v>4.7553447657088688E-2</v>
      </c>
      <c r="V51" s="1568">
        <f>F51/F52-1</f>
        <v>4.4155360055980086E-2</v>
      </c>
      <c r="AC51" s="1570"/>
      <c r="AD51" s="1570"/>
      <c r="AE51" s="1570"/>
      <c r="AF51" s="1570"/>
    </row>
    <row r="52" spans="1:32" ht="13.5" thickBot="1">
      <c r="A52" s="1536" t="s">
        <v>1684</v>
      </c>
      <c r="B52" s="1541">
        <v>188</v>
      </c>
      <c r="C52" s="1541">
        <v>165</v>
      </c>
      <c r="D52" s="1541">
        <f t="shared" si="66"/>
        <v>165</v>
      </c>
      <c r="E52" s="1541">
        <v>254</v>
      </c>
      <c r="F52" s="1639">
        <v>148</v>
      </c>
      <c r="G52" s="1886">
        <v>2007</v>
      </c>
      <c r="H52" s="1571">
        <v>4</v>
      </c>
      <c r="I52" s="1571">
        <v>5.51</v>
      </c>
      <c r="J52" s="1571">
        <v>4.8899999999999997</v>
      </c>
      <c r="K52" s="1571">
        <v>6.43</v>
      </c>
      <c r="L52" s="1572">
        <v>5.36</v>
      </c>
      <c r="N52" s="1652">
        <f t="shared" ref="N52:O55" si="84">B52/B53-1</f>
        <v>4.1339718365245526E-2</v>
      </c>
      <c r="O52" s="1573">
        <f t="shared" si="84"/>
        <v>4.0324492593776018E-2</v>
      </c>
      <c r="P52" s="1573">
        <f t="shared" ref="P52:Q55" si="85">E52/E53-1</f>
        <v>6.1625555347990968E-2</v>
      </c>
      <c r="Q52" s="1573">
        <f t="shared" si="85"/>
        <v>4.6757569250590603E-2</v>
      </c>
      <c r="R52" s="1544"/>
      <c r="S52" s="1657"/>
      <c r="T52" s="1545"/>
      <c r="U52" s="1545"/>
      <c r="V52" s="1545"/>
      <c r="AC52" s="1545"/>
      <c r="AD52" s="1545"/>
      <c r="AE52" s="1545"/>
      <c r="AF52" s="1545"/>
    </row>
    <row r="53" spans="1:32">
      <c r="A53" s="1536" t="s">
        <v>1685</v>
      </c>
      <c r="B53" s="1546">
        <f t="shared" ref="B53:C55" si="86">B54+(B$52-B$56)*I53/SUM(I$52:I$55)</f>
        <v>180.5366651097618</v>
      </c>
      <c r="C53" s="1546">
        <f t="shared" si="86"/>
        <v>158.60435967302453</v>
      </c>
      <c r="D53" s="1546">
        <f t="shared" si="66"/>
        <v>158.60435967302453</v>
      </c>
      <c r="E53" s="1546">
        <f t="shared" ref="E53:F55" si="87">E54+(E$52-E$56)*K53/SUM(K$52:K$55)</f>
        <v>239.25573260785075</v>
      </c>
      <c r="F53" s="1546">
        <f t="shared" si="87"/>
        <v>141.38899430740037</v>
      </c>
      <c r="G53" s="1887">
        <v>2007</v>
      </c>
      <c r="H53" s="1554">
        <v>3</v>
      </c>
      <c r="I53" s="1554">
        <v>8.65</v>
      </c>
      <c r="J53" s="1554">
        <v>8.06</v>
      </c>
      <c r="K53" s="1554">
        <v>9.94</v>
      </c>
      <c r="L53" s="1555">
        <v>5.8</v>
      </c>
      <c r="N53" s="1652">
        <f t="shared" si="84"/>
        <v>6.940217571740015E-2</v>
      </c>
      <c r="O53" s="1573">
        <f t="shared" si="84"/>
        <v>7.1197482471153428E-2</v>
      </c>
      <c r="P53" s="1573">
        <f t="shared" si="85"/>
        <v>0.10529679922579582</v>
      </c>
      <c r="Q53" s="1573">
        <f t="shared" si="85"/>
        <v>5.3292245059512133E-2</v>
      </c>
      <c r="R53" s="1544"/>
      <c r="S53" s="1647"/>
      <c r="T53" s="1543"/>
      <c r="U53" s="1543"/>
      <c r="V53" s="1543"/>
      <c r="AC53" s="1574"/>
      <c r="AD53" s="1574"/>
      <c r="AE53" s="1574"/>
      <c r="AF53" s="1574"/>
    </row>
    <row r="54" spans="1:32">
      <c r="A54" s="1536" t="s">
        <v>1686</v>
      </c>
      <c r="B54" s="1546">
        <f t="shared" si="86"/>
        <v>168.82017748715555</v>
      </c>
      <c r="C54" s="1546">
        <f t="shared" si="86"/>
        <v>148.06267029972753</v>
      </c>
      <c r="D54" s="1546">
        <f t="shared" si="66"/>
        <v>148.06267029972753</v>
      </c>
      <c r="E54" s="1546">
        <f t="shared" si="87"/>
        <v>216.46288379323747</v>
      </c>
      <c r="F54" s="1546">
        <f t="shared" si="87"/>
        <v>134.23529411764704</v>
      </c>
      <c r="G54" s="1887">
        <v>2007</v>
      </c>
      <c r="H54" s="1540">
        <v>2</v>
      </c>
      <c r="I54" s="1540">
        <v>3.67</v>
      </c>
      <c r="J54" s="1540">
        <v>2.3199999999999998</v>
      </c>
      <c r="K54" s="1540">
        <v>5.0199999999999996</v>
      </c>
      <c r="L54" s="1548">
        <v>6.71</v>
      </c>
      <c r="N54" s="1652">
        <f t="shared" si="84"/>
        <v>3.0339138143848032E-2</v>
      </c>
      <c r="O54" s="1573">
        <f t="shared" si="84"/>
        <v>2.0922341588790472E-2</v>
      </c>
      <c r="P54" s="1573">
        <f t="shared" si="85"/>
        <v>5.6164796592717003E-2</v>
      </c>
      <c r="Q54" s="1573">
        <f t="shared" si="85"/>
        <v>6.5704536723887319E-2</v>
      </c>
      <c r="R54" s="1544"/>
      <c r="S54" s="1647"/>
      <c r="T54" s="1543"/>
      <c r="U54" s="1543"/>
      <c r="V54" s="1543"/>
      <c r="AC54" s="1574"/>
      <c r="AD54" s="1574"/>
      <c r="AE54" s="1574"/>
      <c r="AF54" s="1574"/>
    </row>
    <row r="55" spans="1:32">
      <c r="A55" s="1536" t="s">
        <v>1687</v>
      </c>
      <c r="B55" s="1546">
        <f t="shared" si="86"/>
        <v>163.84913591779542</v>
      </c>
      <c r="C55" s="1546">
        <f t="shared" si="86"/>
        <v>145.0283378746594</v>
      </c>
      <c r="D55" s="1546">
        <f t="shared" si="66"/>
        <v>145.0283378746594</v>
      </c>
      <c r="E55" s="1546">
        <f t="shared" si="87"/>
        <v>204.95180722891567</v>
      </c>
      <c r="F55" s="1546">
        <f t="shared" si="87"/>
        <v>125.95920303605313</v>
      </c>
      <c r="G55" s="1888">
        <v>2007</v>
      </c>
      <c r="H55" s="1539">
        <v>1</v>
      </c>
      <c r="I55" s="1539">
        <v>3.58</v>
      </c>
      <c r="J55" s="1539">
        <v>3.08</v>
      </c>
      <c r="K55" s="1539">
        <v>4.34</v>
      </c>
      <c r="L55" s="1547">
        <v>3.21</v>
      </c>
      <c r="N55" s="1653">
        <f t="shared" si="84"/>
        <v>3.0497710174814063E-2</v>
      </c>
      <c r="O55" s="1575">
        <f t="shared" si="84"/>
        <v>2.8569772160704998E-2</v>
      </c>
      <c r="P55" s="1575">
        <f t="shared" si="85"/>
        <v>5.1034908866234296E-2</v>
      </c>
      <c r="Q55" s="1575">
        <f t="shared" si="85"/>
        <v>3.245248390207478E-2</v>
      </c>
      <c r="R55" s="1544"/>
      <c r="S55" s="1649">
        <f>B55/B56-1</f>
        <v>3.0497710174814063E-2</v>
      </c>
      <c r="T55" s="1549">
        <f>C55/C56-1</f>
        <v>2.8569772160704998E-2</v>
      </c>
      <c r="U55" s="1549">
        <f>E55/E56-1</f>
        <v>5.1034908866234296E-2</v>
      </c>
      <c r="V55" s="1549">
        <f>F55/F56-1</f>
        <v>3.245248390207478E-2</v>
      </c>
      <c r="AC55" s="1574"/>
      <c r="AD55" s="1574"/>
      <c r="AE55" s="1574"/>
      <c r="AF55" s="1574"/>
    </row>
    <row r="56" spans="1:32" ht="13.5" thickBot="1">
      <c r="A56" s="1536" t="s">
        <v>1688</v>
      </c>
      <c r="B56" s="1557">
        <v>159</v>
      </c>
      <c r="C56" s="1557">
        <v>141</v>
      </c>
      <c r="D56" s="1557">
        <f t="shared" si="66"/>
        <v>141</v>
      </c>
      <c r="E56" s="1557">
        <v>195</v>
      </c>
      <c r="F56" s="1640">
        <v>122</v>
      </c>
      <c r="G56" s="1886">
        <v>2006</v>
      </c>
      <c r="H56" s="1551">
        <v>4</v>
      </c>
      <c r="I56" s="1551">
        <v>3.79</v>
      </c>
      <c r="J56" s="1551">
        <v>2.21</v>
      </c>
      <c r="K56" s="1551">
        <v>5.65</v>
      </c>
      <c r="L56" s="1552">
        <v>5.41</v>
      </c>
      <c r="N56" s="1652">
        <f t="shared" ref="N56:O59" si="88">I56/SUM(I$56:I$59)*(B$56/B$60-1)</f>
        <v>7.245466462748526E-2</v>
      </c>
      <c r="O56" s="1573">
        <f t="shared" si="88"/>
        <v>2.3237230038062766E-2</v>
      </c>
      <c r="P56" s="1573">
        <f t="shared" ref="P56:Q59" si="89">K56/SUM(K$56:K$59)*(E$56/E$60-1)</f>
        <v>0.16146893866323722</v>
      </c>
      <c r="Q56" s="1573">
        <f t="shared" si="89"/>
        <v>5.0755230321793784E-2</v>
      </c>
      <c r="R56" s="1544"/>
      <c r="S56" s="1657"/>
      <c r="T56" s="1545"/>
      <c r="U56" s="1545"/>
      <c r="V56" s="1545"/>
      <c r="AC56" s="1574"/>
      <c r="AD56" s="1574"/>
      <c r="AE56" s="1574"/>
      <c r="AF56" s="1574"/>
    </row>
    <row r="57" spans="1:32">
      <c r="A57" s="1536" t="s">
        <v>1689</v>
      </c>
      <c r="B57" s="1546">
        <f t="shared" ref="B57:C59" si="90">B58+(B$56-B$60)*I57/SUM(I$56:I$59)</f>
        <v>149.00125628140702</v>
      </c>
      <c r="C57" s="1546">
        <f t="shared" si="90"/>
        <v>137.95592286501378</v>
      </c>
      <c r="D57" s="1546">
        <f t="shared" si="66"/>
        <v>137.95592286501378</v>
      </c>
      <c r="E57" s="1546">
        <f t="shared" ref="E57:F59" si="91">E58+(E$56-E$60)*K57/SUM(K$56:K$59)</f>
        <v>169.97231450719823</v>
      </c>
      <c r="F57" s="1546">
        <f t="shared" si="91"/>
        <v>116.21390374331551</v>
      </c>
      <c r="G57" s="1887">
        <v>2006</v>
      </c>
      <c r="H57" s="1554">
        <v>3</v>
      </c>
      <c r="I57" s="1554">
        <v>0.92</v>
      </c>
      <c r="J57" s="1554">
        <v>1.08</v>
      </c>
      <c r="K57" s="1554">
        <v>0.73</v>
      </c>
      <c r="L57" s="1555">
        <v>1.08</v>
      </c>
      <c r="N57" s="1652">
        <f t="shared" si="88"/>
        <v>1.7587939698492462E-2</v>
      </c>
      <c r="O57" s="1573">
        <f t="shared" si="88"/>
        <v>1.1355750425840628E-2</v>
      </c>
      <c r="P57" s="1573">
        <f t="shared" si="89"/>
        <v>2.0862358446754544E-2</v>
      </c>
      <c r="Q57" s="1573">
        <f t="shared" si="89"/>
        <v>1.0132282578103011E-2</v>
      </c>
      <c r="R57" s="1544"/>
      <c r="S57" s="1647"/>
      <c r="T57" s="1543"/>
      <c r="U57" s="1543"/>
      <c r="V57" s="1543"/>
      <c r="AC57" s="1574"/>
      <c r="AD57" s="1574"/>
      <c r="AE57" s="1574"/>
      <c r="AF57" s="1574"/>
    </row>
    <row r="58" spans="1:32">
      <c r="A58" s="1536" t="s">
        <v>1690</v>
      </c>
      <c r="B58" s="1546">
        <f t="shared" si="90"/>
        <v>146.57412060301507</v>
      </c>
      <c r="C58" s="1546">
        <f t="shared" si="90"/>
        <v>136.46831955922866</v>
      </c>
      <c r="D58" s="1546">
        <f t="shared" si="66"/>
        <v>136.46831955922866</v>
      </c>
      <c r="E58" s="1546">
        <f t="shared" si="91"/>
        <v>166.73864894795128</v>
      </c>
      <c r="F58" s="1546">
        <f t="shared" si="91"/>
        <v>115.05882352941177</v>
      </c>
      <c r="G58" s="1887">
        <v>2006</v>
      </c>
      <c r="H58" s="1540">
        <v>2</v>
      </c>
      <c r="I58" s="1540">
        <v>0.96</v>
      </c>
      <c r="J58" s="1540">
        <v>0.25</v>
      </c>
      <c r="K58" s="1540">
        <v>1.9</v>
      </c>
      <c r="L58" s="1548">
        <v>0.95</v>
      </c>
      <c r="N58" s="1652">
        <f t="shared" si="88"/>
        <v>1.8352632728861701E-2</v>
      </c>
      <c r="O58" s="1573">
        <f t="shared" si="88"/>
        <v>2.6286459319075526E-3</v>
      </c>
      <c r="P58" s="1573">
        <f t="shared" si="89"/>
        <v>5.4299289107991269E-2</v>
      </c>
      <c r="Q58" s="1573">
        <f t="shared" si="89"/>
        <v>8.9126559714794995E-3</v>
      </c>
      <c r="R58" s="1544"/>
      <c r="S58" s="1647"/>
      <c r="T58" s="1543"/>
      <c r="U58" s="1543"/>
      <c r="V58" s="1543"/>
      <c r="AC58" s="1574"/>
      <c r="AD58" s="1574"/>
      <c r="AE58" s="1574"/>
      <c r="AF58" s="1574"/>
    </row>
    <row r="59" spans="1:32">
      <c r="A59" s="1536" t="s">
        <v>1691</v>
      </c>
      <c r="B59" s="1546">
        <f t="shared" si="90"/>
        <v>144.04145728643215</v>
      </c>
      <c r="C59" s="1546">
        <f t="shared" si="90"/>
        <v>136.12396694214877</v>
      </c>
      <c r="D59" s="1546">
        <f t="shared" si="66"/>
        <v>136.12396694214877</v>
      </c>
      <c r="E59" s="1546">
        <f t="shared" si="91"/>
        <v>158.32225913621264</v>
      </c>
      <c r="F59" s="1546">
        <f t="shared" si="91"/>
        <v>114.04278074866311</v>
      </c>
      <c r="G59" s="1888">
        <v>2006</v>
      </c>
      <c r="H59" s="1539">
        <v>1</v>
      </c>
      <c r="I59" s="1539">
        <v>2.29</v>
      </c>
      <c r="J59" s="1539">
        <v>3.72</v>
      </c>
      <c r="K59" s="1539">
        <v>0.75</v>
      </c>
      <c r="L59" s="1547">
        <v>0.04</v>
      </c>
      <c r="N59" s="1653">
        <f t="shared" si="88"/>
        <v>4.3778675988638847E-2</v>
      </c>
      <c r="O59" s="1575">
        <f t="shared" si="88"/>
        <v>3.9114251466784385E-2</v>
      </c>
      <c r="P59" s="1575">
        <f t="shared" si="89"/>
        <v>2.1433929911049188E-2</v>
      </c>
      <c r="Q59" s="1575">
        <f t="shared" si="89"/>
        <v>3.7526972511492629E-4</v>
      </c>
      <c r="R59" s="1544"/>
      <c r="S59" s="1649">
        <f>B59/B60-1</f>
        <v>4.3778675988638716E-2</v>
      </c>
      <c r="T59" s="1549">
        <f>C59/C60-1</f>
        <v>3.91142514667846E-2</v>
      </c>
      <c r="U59" s="1549">
        <f>E59/E60-1</f>
        <v>2.143392991104931E-2</v>
      </c>
      <c r="V59" s="1549">
        <f>F59/F60-1</f>
        <v>3.7526972511492396E-4</v>
      </c>
      <c r="AC59" s="1574"/>
      <c r="AD59" s="1574"/>
      <c r="AE59" s="1574"/>
      <c r="AF59" s="1574"/>
    </row>
    <row r="60" spans="1:32" ht="13.5" thickBot="1">
      <c r="A60" s="1536" t="s">
        <v>1692</v>
      </c>
      <c r="B60" s="1557">
        <v>138</v>
      </c>
      <c r="C60" s="1557">
        <v>131</v>
      </c>
      <c r="D60" s="1557">
        <f t="shared" si="66"/>
        <v>131</v>
      </c>
      <c r="E60" s="1557">
        <v>155</v>
      </c>
      <c r="F60" s="1640">
        <v>114</v>
      </c>
      <c r="G60" s="1886">
        <v>2005</v>
      </c>
      <c r="H60" s="1551">
        <v>4</v>
      </c>
      <c r="I60" s="1551">
        <v>3.29</v>
      </c>
      <c r="J60" s="1551">
        <v>1.44</v>
      </c>
      <c r="K60" s="1551">
        <v>0.66</v>
      </c>
      <c r="L60" s="1552">
        <v>7.78</v>
      </c>
      <c r="N60" s="1652">
        <f t="shared" ref="N60:O63" si="92">I60/SUM(I$60:I$63)*(B$60/B$64-1)</f>
        <v>9.9404603216919935E-2</v>
      </c>
      <c r="O60" s="1573">
        <f t="shared" si="92"/>
        <v>4.7636550760861554E-2</v>
      </c>
      <c r="P60" s="1573">
        <f t="shared" ref="P60:Q63" si="93">K60/SUM(K$60:K$63)*(E$60/E$64-1)</f>
        <v>8.3756345177664976E-2</v>
      </c>
      <c r="Q60" s="1573">
        <f t="shared" si="93"/>
        <v>5.2148766661559584E-2</v>
      </c>
      <c r="R60" s="1544"/>
      <c r="S60" s="1657"/>
      <c r="T60" s="1545"/>
      <c r="U60" s="1545"/>
      <c r="V60" s="1545"/>
      <c r="AC60" s="1574"/>
      <c r="AD60" s="1574"/>
      <c r="AE60" s="1574"/>
      <c r="AF60" s="1574"/>
    </row>
    <row r="61" spans="1:32">
      <c r="A61" s="1536" t="s">
        <v>1693</v>
      </c>
      <c r="B61" s="1546">
        <f t="shared" ref="B61:C63" si="94">B62+(B$60-B$64)*I61/SUM(I$60:I$63)</f>
        <v>125.9720430107527</v>
      </c>
      <c r="C61" s="1546">
        <f t="shared" si="94"/>
        <v>125.1883408071749</v>
      </c>
      <c r="D61" s="1546">
        <f t="shared" si="66"/>
        <v>125.1883408071749</v>
      </c>
      <c r="E61" s="1546">
        <f t="shared" ref="E61:F63" si="95">E62+(E$60-E$64)*K61/SUM(K$60:K$63)</f>
        <v>144.61421319796952</v>
      </c>
      <c r="F61" s="1546">
        <f t="shared" si="95"/>
        <v>108.42008196721311</v>
      </c>
      <c r="G61" s="1887">
        <v>2005</v>
      </c>
      <c r="H61" s="1554">
        <v>3</v>
      </c>
      <c r="I61" s="1554">
        <v>0.46</v>
      </c>
      <c r="J61" s="1554">
        <v>0.32</v>
      </c>
      <c r="K61" s="1554">
        <v>0.42</v>
      </c>
      <c r="L61" s="1555">
        <v>0.64</v>
      </c>
      <c r="N61" s="1652">
        <f t="shared" si="92"/>
        <v>1.3898515951301874E-2</v>
      </c>
      <c r="O61" s="1573">
        <f t="shared" si="92"/>
        <v>1.0585900169080346E-2</v>
      </c>
      <c r="P61" s="1573">
        <f t="shared" si="93"/>
        <v>5.3299492385786795E-2</v>
      </c>
      <c r="Q61" s="1573">
        <f t="shared" si="93"/>
        <v>4.2898728359123568E-3</v>
      </c>
      <c r="R61" s="1544"/>
      <c r="S61" s="1647"/>
      <c r="T61" s="1543"/>
      <c r="U61" s="1543"/>
      <c r="V61" s="1543"/>
      <c r="AC61" s="1574"/>
      <c r="AD61" s="1574"/>
      <c r="AE61" s="1574"/>
      <c r="AF61" s="1574"/>
    </row>
    <row r="62" spans="1:32">
      <c r="A62" s="1536" t="s">
        <v>1694</v>
      </c>
      <c r="B62" s="1546">
        <f t="shared" si="94"/>
        <v>124.29032258064517</v>
      </c>
      <c r="C62" s="1546">
        <f t="shared" si="94"/>
        <v>123.8968609865471</v>
      </c>
      <c r="D62" s="1546">
        <f t="shared" si="66"/>
        <v>123.8968609865471</v>
      </c>
      <c r="E62" s="1546">
        <f t="shared" si="95"/>
        <v>138.00507614213197</v>
      </c>
      <c r="F62" s="1546">
        <f t="shared" si="95"/>
        <v>107.96106557377048</v>
      </c>
      <c r="G62" s="1887">
        <v>2005</v>
      </c>
      <c r="H62" s="1540">
        <v>2</v>
      </c>
      <c r="I62" s="1540">
        <v>0.47</v>
      </c>
      <c r="J62" s="1540">
        <v>0.1</v>
      </c>
      <c r="K62" s="1540">
        <v>0.52</v>
      </c>
      <c r="L62" s="1548">
        <v>0.79</v>
      </c>
      <c r="N62" s="1652">
        <f t="shared" si="92"/>
        <v>1.420065760241713E-2</v>
      </c>
      <c r="O62" s="1573">
        <f t="shared" si="92"/>
        <v>3.3080938028376083E-3</v>
      </c>
      <c r="P62" s="1573">
        <f t="shared" si="93"/>
        <v>6.598984771573603E-2</v>
      </c>
      <c r="Q62" s="1573">
        <f t="shared" si="93"/>
        <v>5.2953117818293153E-3</v>
      </c>
      <c r="R62" s="1544"/>
      <c r="S62" s="1647"/>
      <c r="T62" s="1543"/>
      <c r="U62" s="1543"/>
      <c r="V62" s="1543"/>
      <c r="AC62" s="1574"/>
      <c r="AD62" s="1574"/>
      <c r="AE62" s="1574"/>
      <c r="AF62" s="1574"/>
    </row>
    <row r="63" spans="1:32">
      <c r="A63" s="1536" t="s">
        <v>1695</v>
      </c>
      <c r="B63" s="1546">
        <f t="shared" si="94"/>
        <v>122.57204301075269</v>
      </c>
      <c r="C63" s="1546">
        <f t="shared" si="94"/>
        <v>123.4932735426009</v>
      </c>
      <c r="D63" s="1546">
        <f t="shared" si="66"/>
        <v>123.4932735426009</v>
      </c>
      <c r="E63" s="1546">
        <f t="shared" si="95"/>
        <v>129.82233502538071</v>
      </c>
      <c r="F63" s="1546">
        <f t="shared" si="95"/>
        <v>107.39446721311475</v>
      </c>
      <c r="G63" s="1888">
        <v>2005</v>
      </c>
      <c r="H63" s="1539">
        <v>1</v>
      </c>
      <c r="I63" s="1539">
        <v>0.43</v>
      </c>
      <c r="J63" s="1539">
        <v>0.37</v>
      </c>
      <c r="K63" s="1539">
        <v>0.37</v>
      </c>
      <c r="L63" s="1547">
        <v>0.55000000000000004</v>
      </c>
      <c r="N63" s="1653">
        <f t="shared" si="92"/>
        <v>1.2992090997956099E-2</v>
      </c>
      <c r="O63" s="1575">
        <f t="shared" si="92"/>
        <v>1.2239947070499151E-2</v>
      </c>
      <c r="P63" s="1575">
        <f t="shared" si="93"/>
        <v>4.6954314720812178E-2</v>
      </c>
      <c r="Q63" s="1575">
        <f t="shared" si="93"/>
        <v>3.6866094683621815E-3</v>
      </c>
      <c r="R63" s="1544"/>
      <c r="S63" s="1649">
        <f>B63/B64-1</f>
        <v>1.2992090997956174E-2</v>
      </c>
      <c r="T63" s="1549">
        <f>C63/C64-1</f>
        <v>1.2239947070499246E-2</v>
      </c>
      <c r="U63" s="1549">
        <f>E63/E64-1</f>
        <v>4.695431472081224E-2</v>
      </c>
      <c r="V63" s="1549">
        <f>F63/F64-1</f>
        <v>3.6866094683620787E-3</v>
      </c>
      <c r="AC63" s="1574"/>
      <c r="AD63" s="1574"/>
      <c r="AE63" s="1574"/>
      <c r="AF63" s="1574"/>
    </row>
    <row r="64" spans="1:32" ht="13.5" thickBot="1">
      <c r="A64" s="1536" t="s">
        <v>1696</v>
      </c>
      <c r="B64" s="1562">
        <v>121</v>
      </c>
      <c r="C64" s="1562">
        <v>122</v>
      </c>
      <c r="D64" s="1562">
        <f t="shared" si="66"/>
        <v>122</v>
      </c>
      <c r="E64" s="1562">
        <v>124</v>
      </c>
      <c r="F64" s="1641">
        <v>107</v>
      </c>
      <c r="G64" s="1886">
        <v>2004</v>
      </c>
      <c r="H64" s="1551">
        <v>4</v>
      </c>
      <c r="I64" s="1551">
        <v>0.33</v>
      </c>
      <c r="J64" s="1551">
        <v>0.5</v>
      </c>
      <c r="K64" s="1551">
        <v>0.5</v>
      </c>
      <c r="L64" s="1552">
        <v>0</v>
      </c>
      <c r="N64" s="1652">
        <f t="shared" ref="N64:O67" si="96">I64/SUM(I$64:I$67)*(B$64/B$68-1)</f>
        <v>1.3391770148526898E-2</v>
      </c>
      <c r="O64" s="1573">
        <f t="shared" si="96"/>
        <v>1.063264221158958E-2</v>
      </c>
      <c r="P64" s="1573">
        <f t="shared" ref="P64:Q67" si="97">K64/SUM(K$64:K$67)*(E$64/E$68-1)</f>
        <v>2.2244466688911134E-2</v>
      </c>
      <c r="Q64" s="1573">
        <f t="shared" si="97"/>
        <v>0</v>
      </c>
      <c r="R64" s="1544"/>
      <c r="S64" s="1657"/>
      <c r="T64" s="1545"/>
      <c r="U64" s="1545"/>
      <c r="V64" s="1545"/>
      <c r="AC64" s="1574"/>
      <c r="AD64" s="1574"/>
      <c r="AE64" s="1574"/>
      <c r="AF64" s="1574"/>
    </row>
    <row r="65" spans="1:32">
      <c r="A65" s="1536" t="s">
        <v>1697</v>
      </c>
      <c r="B65" s="1546">
        <f t="shared" ref="B65:C67" si="98">B66+(B$64-B$68)*I65/SUM(I$64:I$67)</f>
        <v>119.51351351351352</v>
      </c>
      <c r="C65" s="1546">
        <f t="shared" si="98"/>
        <v>120.7878787878788</v>
      </c>
      <c r="D65" s="1546">
        <f t="shared" si="66"/>
        <v>120.7878787878788</v>
      </c>
      <c r="E65" s="1546">
        <f t="shared" ref="E65:F67" si="99">E66+(E$64-E$68)*K65/SUM(K$64:K$67)</f>
        <v>121.5975975975976</v>
      </c>
      <c r="F65" s="1546">
        <f t="shared" si="99"/>
        <v>107</v>
      </c>
      <c r="G65" s="1887">
        <v>2004</v>
      </c>
      <c r="H65" s="1554">
        <v>3</v>
      </c>
      <c r="I65" s="1554">
        <v>0.56000000000000005</v>
      </c>
      <c r="J65" s="1554">
        <v>0.8</v>
      </c>
      <c r="K65" s="1554">
        <v>0.83</v>
      </c>
      <c r="L65" s="1555">
        <v>0.06</v>
      </c>
      <c r="N65" s="1652">
        <f t="shared" si="96"/>
        <v>2.2725428130833527E-2</v>
      </c>
      <c r="O65" s="1573">
        <f t="shared" si="96"/>
        <v>1.7012227538543329E-2</v>
      </c>
      <c r="P65" s="1573">
        <f t="shared" si="97"/>
        <v>3.6925814703592477E-2</v>
      </c>
      <c r="Q65" s="1573">
        <f t="shared" si="97"/>
        <v>2.8846153846153744E-2</v>
      </c>
      <c r="R65" s="1544"/>
      <c r="S65" s="1647"/>
      <c r="T65" s="1543"/>
      <c r="U65" s="1543"/>
      <c r="V65" s="1543"/>
      <c r="AC65" s="1574"/>
      <c r="AD65" s="1574"/>
      <c r="AE65" s="1574"/>
      <c r="AF65" s="1574"/>
    </row>
    <row r="66" spans="1:32">
      <c r="A66" s="1536" t="s">
        <v>1698</v>
      </c>
      <c r="B66" s="1546">
        <f t="shared" si="98"/>
        <v>116.99099099099099</v>
      </c>
      <c r="C66" s="1546">
        <f t="shared" si="98"/>
        <v>118.84848484848486</v>
      </c>
      <c r="D66" s="1546">
        <f t="shared" si="66"/>
        <v>118.84848484848486</v>
      </c>
      <c r="E66" s="1546">
        <f t="shared" si="99"/>
        <v>117.60960960960961</v>
      </c>
      <c r="F66" s="1546">
        <f t="shared" si="99"/>
        <v>104</v>
      </c>
      <c r="G66" s="1887">
        <v>2004</v>
      </c>
      <c r="H66" s="1540">
        <v>2</v>
      </c>
      <c r="I66" s="1540">
        <v>1</v>
      </c>
      <c r="J66" s="1540">
        <v>1.5</v>
      </c>
      <c r="K66" s="1540">
        <v>1.5</v>
      </c>
      <c r="L66" s="1548">
        <v>0</v>
      </c>
      <c r="N66" s="1652">
        <f t="shared" si="96"/>
        <v>4.0581121662202721E-2</v>
      </c>
      <c r="O66" s="1573">
        <f t="shared" si="96"/>
        <v>3.1897926634768738E-2</v>
      </c>
      <c r="P66" s="1573">
        <f t="shared" si="97"/>
        <v>6.6733400066733395E-2</v>
      </c>
      <c r="Q66" s="1573">
        <f t="shared" si="97"/>
        <v>0</v>
      </c>
      <c r="R66" s="1544"/>
      <c r="S66" s="1647"/>
      <c r="T66" s="1543"/>
      <c r="U66" s="1543"/>
      <c r="V66" s="1543"/>
      <c r="AC66" s="1574"/>
      <c r="AD66" s="1574"/>
      <c r="AE66" s="1574"/>
      <c r="AF66" s="1574"/>
    </row>
    <row r="67" spans="1:32" s="1567" customFormat="1" ht="13.5" thickBot="1">
      <c r="A67" s="1536" t="s">
        <v>1699</v>
      </c>
      <c r="B67" s="1564">
        <f t="shared" si="98"/>
        <v>112.48648648648648</v>
      </c>
      <c r="C67" s="1564">
        <f t="shared" si="98"/>
        <v>115.21212121212122</v>
      </c>
      <c r="D67" s="1564">
        <f t="shared" si="66"/>
        <v>115.21212121212122</v>
      </c>
      <c r="E67" s="1564">
        <f t="shared" si="99"/>
        <v>110.4024024024024</v>
      </c>
      <c r="F67" s="1564">
        <f t="shared" si="99"/>
        <v>104</v>
      </c>
      <c r="G67" s="1888">
        <v>2004</v>
      </c>
      <c r="H67" s="1565">
        <v>1</v>
      </c>
      <c r="I67" s="1565">
        <v>0.33</v>
      </c>
      <c r="J67" s="1565">
        <v>0.5</v>
      </c>
      <c r="K67" s="1565">
        <v>0.5</v>
      </c>
      <c r="L67" s="1566">
        <v>0</v>
      </c>
      <c r="N67" s="1654">
        <f t="shared" si="96"/>
        <v>1.3391770148526898E-2</v>
      </c>
      <c r="O67" s="1576">
        <f t="shared" si="96"/>
        <v>1.063264221158958E-2</v>
      </c>
      <c r="P67" s="1576">
        <f t="shared" si="97"/>
        <v>2.2244466688911134E-2</v>
      </c>
      <c r="Q67" s="1576">
        <f t="shared" si="97"/>
        <v>0</v>
      </c>
      <c r="R67" s="1569"/>
      <c r="S67" s="1651">
        <f>B67/B68-1</f>
        <v>1.3391770148526883E-2</v>
      </c>
      <c r="T67" s="1568">
        <f>C67/C68-1</f>
        <v>1.063264221158966E-2</v>
      </c>
      <c r="U67" s="1568">
        <f>E67/E68-1</f>
        <v>2.2244466688911224E-2</v>
      </c>
      <c r="V67" s="1568">
        <f>F67/F68-1</f>
        <v>0</v>
      </c>
      <c r="AC67" s="1577"/>
      <c r="AD67" s="1577"/>
      <c r="AE67" s="1577"/>
      <c r="AF67" s="1577"/>
    </row>
    <row r="68" spans="1:32" ht="13.5" thickBot="1">
      <c r="A68" s="1536" t="s">
        <v>1700</v>
      </c>
      <c r="B68" s="1578">
        <v>111</v>
      </c>
      <c r="C68" s="1578">
        <v>114</v>
      </c>
      <c r="D68" s="1578">
        <f t="shared" si="66"/>
        <v>114</v>
      </c>
      <c r="E68" s="1578">
        <v>108</v>
      </c>
      <c r="F68" s="1642">
        <v>104</v>
      </c>
      <c r="G68" s="1886">
        <v>2003</v>
      </c>
      <c r="H68" s="1571">
        <v>4</v>
      </c>
      <c r="I68" s="1579"/>
      <c r="J68" s="1579"/>
      <c r="K68" s="1579"/>
      <c r="L68" s="1579"/>
      <c r="N68" s="1655"/>
      <c r="O68" s="1579"/>
      <c r="P68" s="1579"/>
      <c r="Q68" s="1579"/>
      <c r="S68" s="1655"/>
      <c r="T68" s="1579"/>
      <c r="U68" s="1579"/>
      <c r="V68" s="1579"/>
      <c r="AC68" s="1574"/>
      <c r="AD68" s="1574"/>
      <c r="AE68" s="1574"/>
      <c r="AF68" s="1574"/>
    </row>
    <row r="69" spans="1:32">
      <c r="A69" s="1536" t="s">
        <v>1701</v>
      </c>
      <c r="B69" s="1580">
        <f t="shared" ref="B69:C71" si="100">B70+(B$68-B$72)/4</f>
        <v>109.75</v>
      </c>
      <c r="C69" s="1580">
        <f t="shared" si="100"/>
        <v>112.25</v>
      </c>
      <c r="D69" s="1580">
        <f t="shared" si="66"/>
        <v>112.25</v>
      </c>
      <c r="E69" s="1580">
        <f t="shared" ref="E69:F71" si="101">E70+(E$68-E$72)/4</f>
        <v>107.25</v>
      </c>
      <c r="F69" s="1580">
        <f t="shared" si="101"/>
        <v>103.5</v>
      </c>
      <c r="G69" s="1887">
        <v>2003</v>
      </c>
      <c r="H69" s="1554">
        <v>3</v>
      </c>
      <c r="I69" s="1579"/>
      <c r="J69" s="1579"/>
      <c r="K69" s="1579"/>
      <c r="L69" s="1579"/>
      <c r="AC69" s="1574"/>
      <c r="AD69" s="1574"/>
      <c r="AE69" s="1574"/>
      <c r="AF69" s="1574"/>
    </row>
    <row r="70" spans="1:32">
      <c r="A70" s="1536" t="s">
        <v>1702</v>
      </c>
      <c r="B70" s="1580">
        <f t="shared" si="100"/>
        <v>108.5</v>
      </c>
      <c r="C70" s="1580">
        <f t="shared" si="100"/>
        <v>110.5</v>
      </c>
      <c r="D70" s="1580">
        <f t="shared" si="66"/>
        <v>110.5</v>
      </c>
      <c r="E70" s="1580">
        <f t="shared" si="101"/>
        <v>106.5</v>
      </c>
      <c r="F70" s="1580">
        <f t="shared" si="101"/>
        <v>103</v>
      </c>
      <c r="G70" s="1887">
        <v>2003</v>
      </c>
      <c r="H70" s="1540">
        <v>2</v>
      </c>
      <c r="I70" s="1579"/>
      <c r="J70" s="1579"/>
      <c r="K70" s="1579"/>
      <c r="L70" s="1579"/>
      <c r="AC70" s="1574"/>
      <c r="AD70" s="1574"/>
      <c r="AE70" s="1574"/>
      <c r="AF70" s="1574"/>
    </row>
    <row r="71" spans="1:32" ht="13.5" thickBot="1">
      <c r="A71" s="1536" t="s">
        <v>1703</v>
      </c>
      <c r="B71" s="1580">
        <f t="shared" si="100"/>
        <v>107.25</v>
      </c>
      <c r="C71" s="1580">
        <f t="shared" si="100"/>
        <v>108.75</v>
      </c>
      <c r="D71" s="1580">
        <f t="shared" si="66"/>
        <v>108.75</v>
      </c>
      <c r="E71" s="1580">
        <f t="shared" si="101"/>
        <v>105.75</v>
      </c>
      <c r="F71" s="1580">
        <f t="shared" si="101"/>
        <v>102.5</v>
      </c>
      <c r="G71" s="1888">
        <v>2003</v>
      </c>
      <c r="H71" s="1581">
        <v>1</v>
      </c>
      <c r="I71" s="1579"/>
      <c r="J71" s="1579"/>
      <c r="K71" s="1579"/>
      <c r="L71" s="1579"/>
      <c r="S71" s="1647"/>
      <c r="T71" s="1543"/>
      <c r="U71" s="1543"/>
      <c r="AC71" s="1574"/>
      <c r="AD71" s="1574"/>
      <c r="AE71" s="1574"/>
      <c r="AF71" s="1574"/>
    </row>
    <row r="72" spans="1:32" ht="13.5" thickBot="1">
      <c r="A72" s="1536" t="s">
        <v>1704</v>
      </c>
      <c r="B72" s="1582">
        <v>106</v>
      </c>
      <c r="C72" s="1582">
        <v>107</v>
      </c>
      <c r="D72" s="1582">
        <f t="shared" si="66"/>
        <v>107</v>
      </c>
      <c r="E72" s="1582">
        <v>105</v>
      </c>
      <c r="F72" s="1643">
        <v>102</v>
      </c>
      <c r="G72" s="1886">
        <v>2002</v>
      </c>
      <c r="H72" s="1551">
        <v>4</v>
      </c>
      <c r="I72" s="1579"/>
      <c r="J72" s="1579"/>
      <c r="K72" s="1579"/>
      <c r="L72" s="1579"/>
      <c r="N72" s="1655"/>
      <c r="O72" s="1579"/>
      <c r="P72" s="1579"/>
      <c r="Q72" s="1579"/>
      <c r="S72" s="1655"/>
      <c r="T72" s="1579"/>
      <c r="U72" s="1579"/>
      <c r="V72" s="1579"/>
      <c r="AC72" s="1574"/>
      <c r="AD72" s="1574"/>
      <c r="AE72" s="1574"/>
      <c r="AF72" s="1574"/>
    </row>
    <row r="73" spans="1:32">
      <c r="A73" s="1536" t="s">
        <v>1705</v>
      </c>
      <c r="B73" s="1580">
        <f t="shared" ref="B73:C75" si="102">B74+(B$72-B$76)/4</f>
        <v>105</v>
      </c>
      <c r="C73" s="1580">
        <f t="shared" si="102"/>
        <v>106</v>
      </c>
      <c r="D73" s="1580">
        <f t="shared" si="66"/>
        <v>106</v>
      </c>
      <c r="E73" s="1580">
        <f t="shared" ref="E73:F75" si="103">E74+(E$72-E$76)/4</f>
        <v>104.5</v>
      </c>
      <c r="F73" s="1580">
        <f t="shared" si="103"/>
        <v>101.5</v>
      </c>
      <c r="G73" s="1887">
        <v>2002</v>
      </c>
      <c r="H73" s="1554">
        <v>3</v>
      </c>
      <c r="I73" s="1579"/>
      <c r="J73" s="1579"/>
      <c r="K73" s="1579"/>
      <c r="L73" s="1579"/>
      <c r="AC73" s="1574"/>
      <c r="AD73" s="1574"/>
      <c r="AE73" s="1574"/>
      <c r="AF73" s="1574"/>
    </row>
    <row r="74" spans="1:32">
      <c r="A74" s="1536" t="s">
        <v>1706</v>
      </c>
      <c r="B74" s="1580">
        <f t="shared" si="102"/>
        <v>104</v>
      </c>
      <c r="C74" s="1580">
        <f t="shared" si="102"/>
        <v>105</v>
      </c>
      <c r="D74" s="1580">
        <f t="shared" si="66"/>
        <v>105</v>
      </c>
      <c r="E74" s="1580">
        <f t="shared" si="103"/>
        <v>104</v>
      </c>
      <c r="F74" s="1580">
        <f t="shared" si="103"/>
        <v>101</v>
      </c>
      <c r="G74" s="1887">
        <v>2002</v>
      </c>
      <c r="H74" s="1540">
        <v>2</v>
      </c>
      <c r="I74" s="1579"/>
      <c r="J74" s="1579"/>
      <c r="K74" s="1579"/>
      <c r="L74" s="1579"/>
      <c r="AC74" s="1574"/>
      <c r="AD74" s="1574"/>
      <c r="AE74" s="1574"/>
      <c r="AF74" s="1574"/>
    </row>
    <row r="75" spans="1:32" s="1605" customFormat="1" ht="13.5" thickBot="1">
      <c r="A75" s="1601" t="s">
        <v>1707</v>
      </c>
      <c r="B75" s="1610">
        <f t="shared" si="102"/>
        <v>103</v>
      </c>
      <c r="C75" s="1610">
        <f t="shared" si="102"/>
        <v>104</v>
      </c>
      <c r="D75" s="1610">
        <f t="shared" si="66"/>
        <v>104</v>
      </c>
      <c r="E75" s="1610">
        <f t="shared" si="103"/>
        <v>103.5</v>
      </c>
      <c r="F75" s="1610">
        <f t="shared" si="103"/>
        <v>100.5</v>
      </c>
      <c r="G75" s="1888">
        <v>2002</v>
      </c>
      <c r="H75" s="1611">
        <v>1</v>
      </c>
      <c r="I75" s="1612"/>
      <c r="J75" s="1612"/>
      <c r="K75" s="1612"/>
      <c r="L75" s="1612"/>
      <c r="N75" s="1656"/>
      <c r="S75" s="1656"/>
      <c r="AC75" s="1613"/>
      <c r="AD75" s="1613"/>
      <c r="AE75" s="1613"/>
      <c r="AF75" s="1613"/>
    </row>
    <row r="76" spans="1:32" ht="13.5" thickBot="1">
      <c r="B76" s="1583">
        <v>102</v>
      </c>
      <c r="C76" s="1584">
        <v>103</v>
      </c>
      <c r="D76" s="1584">
        <f t="shared" si="66"/>
        <v>103</v>
      </c>
      <c r="E76" s="1584">
        <v>103</v>
      </c>
      <c r="F76" s="1644">
        <v>100</v>
      </c>
      <c r="I76" s="1579"/>
      <c r="J76" s="1579"/>
      <c r="K76" s="1579"/>
      <c r="L76" s="1579"/>
      <c r="N76" s="1655"/>
      <c r="O76" s="1579"/>
      <c r="P76" s="1579"/>
      <c r="Q76" s="1579"/>
      <c r="S76" s="1655"/>
      <c r="T76" s="1579"/>
      <c r="U76" s="1579"/>
      <c r="V76" s="1579"/>
      <c r="AC76" s="1545"/>
      <c r="AD76" s="1545"/>
      <c r="AE76" s="1545"/>
      <c r="AF76" s="1545"/>
    </row>
    <row r="78" spans="1:32" s="1664" customFormat="1">
      <c r="A78" s="1663" t="s">
        <v>1714</v>
      </c>
      <c r="G78" s="1665"/>
      <c r="N78" s="1665"/>
      <c r="S78" s="1665"/>
    </row>
    <row r="79" spans="1:32" s="1664" customFormat="1">
      <c r="A79" s="1664" t="s">
        <v>1715</v>
      </c>
      <c r="G79" s="1665"/>
      <c r="N79" s="1665"/>
      <c r="S79" s="1665"/>
    </row>
    <row r="80" spans="1:32" s="1664" customFormat="1">
      <c r="A80" s="1664" t="s">
        <v>1716</v>
      </c>
      <c r="G80" s="1665"/>
      <c r="I80" s="1666"/>
      <c r="J80" s="1666"/>
      <c r="K80" s="1666"/>
      <c r="L80" s="1666"/>
      <c r="N80" s="1667"/>
      <c r="O80" s="1666"/>
      <c r="P80" s="1666"/>
      <c r="Q80" s="1666"/>
      <c r="S80" s="1667"/>
      <c r="T80" s="1666"/>
      <c r="U80" s="1666"/>
      <c r="V80" s="1666"/>
    </row>
    <row r="81" spans="1:29" s="1664" customFormat="1">
      <c r="A81" s="1664" t="s">
        <v>1717</v>
      </c>
      <c r="G81" s="1665"/>
      <c r="N81" s="1665"/>
      <c r="S81" s="1665"/>
    </row>
    <row r="88" spans="1:29" ht="13.5" thickBot="1"/>
    <row r="89" spans="1:29" ht="24">
      <c r="S89" s="1659" t="s">
        <v>1708</v>
      </c>
      <c r="T89" s="1585" t="s">
        <v>1709</v>
      </c>
      <c r="U89" s="1585" t="s">
        <v>1710</v>
      </c>
      <c r="V89" s="1585" t="s">
        <v>1711</v>
      </c>
      <c r="W89" s="1586" t="s">
        <v>1712</v>
      </c>
      <c r="X89" s="1587">
        <v>2006</v>
      </c>
      <c r="Y89" s="1588">
        <v>4</v>
      </c>
      <c r="Z89" s="1588">
        <v>3.79</v>
      </c>
      <c r="AA89" s="1588">
        <v>2.21</v>
      </c>
      <c r="AB89" s="1588">
        <v>5.65</v>
      </c>
      <c r="AC89" s="1589">
        <v>5.41</v>
      </c>
    </row>
    <row r="90" spans="1:29">
      <c r="N90" s="1657"/>
      <c r="O90" s="1545"/>
      <c r="P90" s="1545"/>
      <c r="Q90" s="1545"/>
      <c r="S90" s="1660">
        <v>2006</v>
      </c>
      <c r="T90" s="1591">
        <v>15.1</v>
      </c>
      <c r="U90" s="1591">
        <v>7.43</v>
      </c>
      <c r="V90" s="1591">
        <v>26.26</v>
      </c>
      <c r="W90" s="1592">
        <v>7.6</v>
      </c>
      <c r="X90" s="1593">
        <v>2006</v>
      </c>
      <c r="Y90" s="1594">
        <v>3</v>
      </c>
      <c r="Z90" s="1594">
        <v>0.92</v>
      </c>
      <c r="AA90" s="1594">
        <v>1.08</v>
      </c>
      <c r="AB90" s="1594">
        <v>0.73</v>
      </c>
      <c r="AC90" s="1595">
        <v>1.08</v>
      </c>
    </row>
    <row r="91" spans="1:29">
      <c r="N91" s="1657"/>
      <c r="O91" s="1545"/>
      <c r="P91" s="1545"/>
      <c r="Q91" s="1545"/>
      <c r="S91" s="1661">
        <v>2005</v>
      </c>
      <c r="T91" s="1594">
        <v>13.9</v>
      </c>
      <c r="U91" s="1594">
        <v>7.49</v>
      </c>
      <c r="V91" s="1594">
        <v>24.92</v>
      </c>
      <c r="W91" s="1595">
        <v>6.51</v>
      </c>
      <c r="X91" s="1590">
        <v>2006</v>
      </c>
      <c r="Y91" s="1591">
        <v>2</v>
      </c>
      <c r="Z91" s="1591">
        <v>0.96</v>
      </c>
      <c r="AA91" s="1591">
        <v>0.25</v>
      </c>
      <c r="AB91" s="1591">
        <v>1.9</v>
      </c>
      <c r="AC91" s="1592">
        <v>0.95</v>
      </c>
    </row>
    <row r="92" spans="1:29" ht="13.5" thickBot="1">
      <c r="N92" s="1657"/>
      <c r="O92" s="1545"/>
      <c r="P92" s="1545"/>
      <c r="Q92" s="1545"/>
      <c r="S92" s="1660">
        <v>2004</v>
      </c>
      <c r="T92" s="1591">
        <v>9.48</v>
      </c>
      <c r="U92" s="1591">
        <v>7.2</v>
      </c>
      <c r="V92" s="1591">
        <v>14.68</v>
      </c>
      <c r="W92" s="1592">
        <v>2.2000000000000002</v>
      </c>
      <c r="X92" s="1596">
        <v>2006</v>
      </c>
      <c r="Y92" s="1597">
        <v>1</v>
      </c>
      <c r="Z92" s="1597">
        <v>2.29</v>
      </c>
      <c r="AA92" s="1597">
        <v>3.72</v>
      </c>
      <c r="AB92" s="1597">
        <v>0.75</v>
      </c>
      <c r="AC92" s="1598">
        <v>0.04</v>
      </c>
    </row>
    <row r="93" spans="1:29">
      <c r="N93" s="1657"/>
      <c r="O93" s="1545"/>
      <c r="P93" s="1545"/>
      <c r="Q93" s="1545"/>
      <c r="S93" s="1661">
        <v>2003</v>
      </c>
      <c r="T93" s="1594">
        <v>4.5</v>
      </c>
      <c r="U93" s="1594">
        <v>6.12</v>
      </c>
      <c r="V93" s="1594">
        <v>2.34</v>
      </c>
      <c r="W93" s="1595">
        <v>2.36</v>
      </c>
    </row>
    <row r="94" spans="1:29" ht="13.5" thickBot="1">
      <c r="N94" s="1657"/>
      <c r="O94" s="1545"/>
      <c r="P94" s="1545"/>
      <c r="Q94" s="1545"/>
      <c r="S94" s="1662">
        <v>2002</v>
      </c>
      <c r="T94" s="1599">
        <v>3.59</v>
      </c>
      <c r="U94" s="1599">
        <v>4.54</v>
      </c>
      <c r="V94" s="1599">
        <v>2.5499999999999998</v>
      </c>
      <c r="W94" s="1600">
        <v>1.52</v>
      </c>
    </row>
    <row r="95" spans="1:29">
      <c r="N95" s="1657"/>
      <c r="O95" s="1545"/>
      <c r="P95" s="1545"/>
      <c r="Q95" s="1545"/>
    </row>
    <row r="96" spans="1:29">
      <c r="N96" s="1657"/>
      <c r="O96" s="1545"/>
      <c r="P96" s="1545"/>
      <c r="Q96" s="1545"/>
    </row>
    <row r="97" spans="14:17">
      <c r="N97" s="1657"/>
      <c r="O97" s="1545"/>
      <c r="P97" s="1545"/>
      <c r="Q97" s="1545"/>
    </row>
    <row r="98" spans="14:17">
      <c r="N98" s="1657"/>
      <c r="O98" s="1545"/>
      <c r="P98" s="1545"/>
      <c r="Q98" s="1545"/>
    </row>
    <row r="99" spans="14:17">
      <c r="N99" s="1657"/>
      <c r="O99" s="1545"/>
      <c r="P99" s="1545"/>
      <c r="Q99" s="1545"/>
    </row>
    <row r="100" spans="14:17">
      <c r="N100" s="1657"/>
      <c r="O100" s="1545"/>
      <c r="P100" s="1545"/>
      <c r="Q100" s="1545"/>
    </row>
    <row r="101" spans="14:17">
      <c r="N101" s="1657"/>
      <c r="O101" s="1545"/>
      <c r="P101" s="1545"/>
      <c r="Q101" s="1545"/>
    </row>
    <row r="102" spans="14:17">
      <c r="N102" s="1657"/>
      <c r="O102" s="1545"/>
      <c r="P102" s="1545"/>
      <c r="Q102" s="1545"/>
    </row>
    <row r="103" spans="14:17">
      <c r="N103" s="1657"/>
      <c r="O103" s="1545"/>
      <c r="P103" s="1545"/>
      <c r="Q103" s="1545"/>
    </row>
    <row r="104" spans="14:17">
      <c r="N104" s="1657"/>
      <c r="O104" s="1545"/>
      <c r="P104" s="1545"/>
      <c r="Q104" s="1545"/>
    </row>
    <row r="105" spans="14:17">
      <c r="N105" s="1657"/>
      <c r="O105" s="1545"/>
      <c r="P105" s="1545"/>
      <c r="Q105" s="1545"/>
    </row>
    <row r="106" spans="14:17">
      <c r="N106" s="1657"/>
      <c r="O106" s="1545"/>
      <c r="P106" s="1545"/>
      <c r="Q106" s="1545"/>
    </row>
    <row r="107" spans="14:17">
      <c r="N107" s="1657"/>
      <c r="O107" s="1545"/>
      <c r="P107" s="1545"/>
      <c r="Q107" s="1545"/>
    </row>
    <row r="108" spans="14:17">
      <c r="N108" s="1657"/>
      <c r="O108" s="1545"/>
      <c r="P108" s="1545"/>
      <c r="Q108" s="1545"/>
    </row>
    <row r="109" spans="14:17">
      <c r="N109" s="1657"/>
      <c r="O109" s="1545"/>
      <c r="P109" s="1545"/>
      <c r="Q109" s="1545"/>
    </row>
    <row r="110" spans="14:17">
      <c r="N110" s="1657"/>
      <c r="O110" s="1545"/>
      <c r="P110" s="1545"/>
      <c r="Q110" s="1545"/>
    </row>
  </sheetData>
  <sheetProtection password="C66D" sheet="1" objects="1" scenarios="1" formatCells="0" formatColumns="0" formatRows="0"/>
  <mergeCells count="20">
    <mergeCell ref="G68:G71"/>
    <mergeCell ref="G72:G75"/>
    <mergeCell ref="G44:G47"/>
    <mergeCell ref="G48:G51"/>
    <mergeCell ref="G52:G55"/>
    <mergeCell ref="G56:G59"/>
    <mergeCell ref="G60:G63"/>
    <mergeCell ref="G64:G67"/>
    <mergeCell ref="S2:V2"/>
    <mergeCell ref="G40:G43"/>
    <mergeCell ref="G16:G19"/>
    <mergeCell ref="G20:G23"/>
    <mergeCell ref="G24:G27"/>
    <mergeCell ref="G28:G31"/>
    <mergeCell ref="G32:G35"/>
    <mergeCell ref="G36:G39"/>
    <mergeCell ref="G2:L2"/>
    <mergeCell ref="N2:Q2"/>
    <mergeCell ref="G8:G11"/>
    <mergeCell ref="G12:G15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51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1567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ColWidth="9" defaultRowHeight="13.5"/>
  <cols>
    <col min="1" max="1" width="9" style="1449"/>
    <col min="2" max="3" width="9" style="246"/>
    <col min="4" max="5" width="14" style="246" customWidth="1"/>
    <col min="6" max="6" width="9" style="246"/>
    <col min="7" max="7" width="9" style="1475" customWidth="1"/>
    <col min="8" max="8" width="9" style="246" customWidth="1"/>
    <col min="9" max="10" width="14" style="246" customWidth="1"/>
    <col min="11" max="11" width="9" style="246" customWidth="1"/>
    <col min="12" max="12" width="9" style="1475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6" t="s">
        <v>972</v>
      </c>
      <c r="H1" s="249">
        <f>'2014基准地价'!M18</f>
        <v>26</v>
      </c>
      <c r="I1" s="1436" t="s">
        <v>1647</v>
      </c>
      <c r="J1" s="1450" t="str">
        <f>'2014基准地价'!N19</f>
        <v>2017-1</v>
      </c>
      <c r="K1" s="298"/>
      <c r="L1" s="1448" t="s">
        <v>972</v>
      </c>
      <c r="M1" s="249">
        <f>'2002基准地价'!B24</f>
        <v>22</v>
      </c>
      <c r="N1" s="1436" t="s">
        <v>1647</v>
      </c>
      <c r="O1" s="1450" t="str">
        <f>'2002基准地价'!C25</f>
        <v>2007-2</v>
      </c>
      <c r="P1" s="299"/>
    </row>
    <row r="2" spans="1:23">
      <c r="G2" s="28">
        <f ca="1">ROUND(SUMIF(季度2014,$J$1,G4:G19),4)</f>
        <v>1.15E-2</v>
      </c>
      <c r="H2" s="28">
        <f ca="1">ROUND(SUMIF(季度2014,$J$1,H4:H19),4)</f>
        <v>1.2999999999999999E-2</v>
      </c>
      <c r="I2" s="28">
        <f ca="1">ROUND(SUMIF(季度2014,$J$1,I4:I19),4)</f>
        <v>1.2999999999999999E-2</v>
      </c>
      <c r="J2" s="28">
        <f ca="1">ROUND(SUMIF(季度2014,$J$1,J4:J19),4)</f>
        <v>1.12E-2</v>
      </c>
      <c r="K2" s="1438">
        <f ca="1">ROUND(SUMIF(季度2014,$J$1,K4:K19),4)</f>
        <v>1.04E-2</v>
      </c>
      <c r="L2" s="1443">
        <f>ROUND(SUMIF($A$17:$A$67,$O$1,L17:L67),4)</f>
        <v>1.41E-2</v>
      </c>
      <c r="M2" s="28">
        <f>ROUND(SUMIF($A$17:$A$67,$O$1,M17:M67),4)</f>
        <v>1.3100000000000001E-2</v>
      </c>
      <c r="N2" s="28">
        <f>ROUND(SUMIF($A$17:$A$67,$O$1,N17:N67),4)</f>
        <v>1.3100000000000001E-2</v>
      </c>
      <c r="O2" s="28">
        <f>ROUND(SUMIF($A$17:$A$67,$O$1,O17:O67),4)</f>
        <v>1.3299999999999999E-2</v>
      </c>
      <c r="P2" s="28">
        <f>ROUND(SUMIF($A$17:$A$67,$O$1,P17:P67),4)</f>
        <v>1.46E-2</v>
      </c>
    </row>
    <row r="3" spans="1:23">
      <c r="A3" s="1437" t="s">
        <v>267</v>
      </c>
      <c r="B3" s="1434" t="s">
        <v>281</v>
      </c>
      <c r="C3" s="1434" t="s">
        <v>283</v>
      </c>
      <c r="D3" s="1434" t="s">
        <v>1313</v>
      </c>
      <c r="E3" s="1434" t="s">
        <v>1360</v>
      </c>
      <c r="F3" s="1439" t="s">
        <v>2</v>
      </c>
      <c r="G3" s="1442" t="s">
        <v>281</v>
      </c>
      <c r="H3" s="1434" t="s">
        <v>0</v>
      </c>
      <c r="I3" s="1434" t="s">
        <v>1313</v>
      </c>
      <c r="J3" s="1434" t="s">
        <v>1360</v>
      </c>
      <c r="K3" s="1439" t="s">
        <v>2</v>
      </c>
      <c r="L3" s="1442" t="s">
        <v>281</v>
      </c>
      <c r="M3" s="1434" t="s">
        <v>0</v>
      </c>
      <c r="N3" s="1434" t="s">
        <v>1313</v>
      </c>
      <c r="O3" s="1434" t="s">
        <v>1360</v>
      </c>
      <c r="P3" s="1434" t="s">
        <v>2</v>
      </c>
    </row>
    <row r="4" spans="1:23">
      <c r="A4" s="681" t="s">
        <v>1598</v>
      </c>
      <c r="B4" s="621"/>
      <c r="C4" s="621"/>
      <c r="D4" s="621"/>
      <c r="E4" s="621"/>
      <c r="F4" s="1440"/>
      <c r="G4" s="1445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8">
        <f>AVERAGE(F4:F$18)</f>
        <v>1.32E-2</v>
      </c>
      <c r="L4" s="1445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40"/>
      <c r="G5" s="1445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8">
        <f>AVERAGE(F5:F$18)</f>
        <v>1.32E-2</v>
      </c>
      <c r="L5" s="1445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40"/>
      <c r="G6" s="1445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8">
        <f>AVERAGE(F6:F$18)</f>
        <v>1.32E-2</v>
      </c>
      <c r="L6" s="1445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40"/>
      <c r="G7" s="1445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8">
        <f>AVERAGE(F7:F$18)</f>
        <v>1.32E-2</v>
      </c>
      <c r="L7" s="1445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41">
        <f>W8/100</f>
        <v>1.5700000000000002E-2</v>
      </c>
      <c r="G8" s="1445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8">
        <f>AVERAGE(F8:F$18)</f>
        <v>1.32E-2</v>
      </c>
      <c r="L8" s="1445"/>
      <c r="M8" s="28"/>
      <c r="N8" s="28"/>
      <c r="O8" s="28"/>
      <c r="P8" s="28"/>
      <c r="R8" s="1451">
        <v>2016</v>
      </c>
      <c r="S8" s="1452">
        <v>4</v>
      </c>
      <c r="T8" s="1452">
        <v>4.5599999999999996</v>
      </c>
      <c r="U8" s="1452">
        <v>2.15</v>
      </c>
      <c r="V8" s="1452">
        <v>5.32</v>
      </c>
      <c r="W8" s="1453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41">
        <f t="shared" ref="F9:F59" si="4">W9/100</f>
        <v>1.9699999999999999E-2</v>
      </c>
      <c r="G9" s="1445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8">
        <f>AVERAGE(F9:F$18)</f>
        <v>1.295E-2</v>
      </c>
      <c r="L9" s="1445"/>
      <c r="M9" s="28"/>
      <c r="N9" s="28"/>
      <c r="O9" s="28"/>
      <c r="P9" s="28"/>
      <c r="R9" s="1454">
        <v>2016</v>
      </c>
      <c r="S9" s="1455">
        <v>3</v>
      </c>
      <c r="T9" s="1455">
        <v>4.12</v>
      </c>
      <c r="U9" s="1455">
        <v>2</v>
      </c>
      <c r="V9" s="1455">
        <v>4.79</v>
      </c>
      <c r="W9" s="1456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41">
        <f t="shared" si="4"/>
        <v>1.41E-2</v>
      </c>
      <c r="G10" s="1445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8">
        <f>AVERAGE(F10:F$18)</f>
        <v>1.2200000000000001E-2</v>
      </c>
      <c r="L10" s="1445"/>
      <c r="M10" s="28"/>
      <c r="N10" s="28"/>
      <c r="O10" s="28"/>
      <c r="P10" s="28"/>
      <c r="R10" s="1457">
        <v>2016</v>
      </c>
      <c r="S10" s="1458">
        <v>2</v>
      </c>
      <c r="T10" s="1458">
        <v>3.85</v>
      </c>
      <c r="U10" s="1458">
        <v>1.95</v>
      </c>
      <c r="V10" s="1458">
        <v>4.4800000000000004</v>
      </c>
      <c r="W10" s="1459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41">
        <f t="shared" si="4"/>
        <v>1.4800000000000001E-2</v>
      </c>
      <c r="G11" s="1445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8">
        <f>AVERAGE(F11:F$18)</f>
        <v>1.1962500000000001E-2</v>
      </c>
      <c r="L11" s="1445"/>
      <c r="M11" s="28"/>
      <c r="N11" s="28"/>
      <c r="O11" s="28"/>
      <c r="P11" s="28"/>
      <c r="R11" s="1454">
        <v>2016</v>
      </c>
      <c r="S11" s="1455">
        <v>1</v>
      </c>
      <c r="T11" s="1455">
        <v>4.09</v>
      </c>
      <c r="U11" s="1455">
        <v>2.93</v>
      </c>
      <c r="V11" s="1455">
        <v>4.54</v>
      </c>
      <c r="W11" s="1456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41">
        <f t="shared" si="4"/>
        <v>1.89E-2</v>
      </c>
      <c r="G12" s="1445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8">
        <f>AVERAGE(F12:F$18)</f>
        <v>1.155714285714286E-2</v>
      </c>
      <c r="L12" s="1445"/>
      <c r="M12" s="28"/>
      <c r="N12" s="28"/>
      <c r="O12" s="28"/>
      <c r="P12" s="28"/>
      <c r="R12" s="1460">
        <v>2015</v>
      </c>
      <c r="S12" s="1461">
        <v>4</v>
      </c>
      <c r="T12" s="1461">
        <v>1.63</v>
      </c>
      <c r="U12" s="1461">
        <v>1.1100000000000001</v>
      </c>
      <c r="V12" s="1461">
        <v>1.77</v>
      </c>
      <c r="W12" s="1462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41">
        <f t="shared" si="4"/>
        <v>1.26E-2</v>
      </c>
      <c r="G13" s="1445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8">
        <f>AVERAGE(F13:F$18)</f>
        <v>1.0333333333333333E-2</v>
      </c>
      <c r="L13" s="1445"/>
      <c r="M13" s="28"/>
      <c r="N13" s="28"/>
      <c r="O13" s="28"/>
      <c r="P13" s="28"/>
      <c r="R13" s="1463">
        <v>2015</v>
      </c>
      <c r="S13" s="1464">
        <v>3</v>
      </c>
      <c r="T13" s="1464">
        <v>1.65</v>
      </c>
      <c r="U13" s="1464">
        <v>0.92</v>
      </c>
      <c r="V13" s="1464">
        <v>1.88</v>
      </c>
      <c r="W13" s="1465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41">
        <f t="shared" si="4"/>
        <v>8.8000000000000005E-3</v>
      </c>
      <c r="G14" s="1445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8">
        <f>AVERAGE(F14:F$18)</f>
        <v>9.8799999999999999E-3</v>
      </c>
      <c r="L14" s="1445"/>
      <c r="M14" s="28"/>
      <c r="N14" s="28"/>
      <c r="O14" s="28"/>
      <c r="P14" s="28"/>
      <c r="R14" s="1457">
        <v>2015</v>
      </c>
      <c r="S14" s="1458">
        <v>2</v>
      </c>
      <c r="T14" s="1458">
        <v>0.77</v>
      </c>
      <c r="U14" s="1458">
        <v>0.69</v>
      </c>
      <c r="V14" s="1458">
        <v>0.8</v>
      </c>
      <c r="W14" s="1459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41">
        <f t="shared" si="4"/>
        <v>9.300000000000001E-3</v>
      </c>
      <c r="G15" s="1445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8">
        <f>AVERAGE(F15:F$18)</f>
        <v>1.0149999999999999E-2</v>
      </c>
      <c r="L15" s="1445"/>
      <c r="M15" s="28"/>
      <c r="N15" s="28"/>
      <c r="O15" s="28"/>
      <c r="P15" s="28"/>
      <c r="R15" s="1454">
        <v>2015</v>
      </c>
      <c r="S15" s="1455">
        <v>1</v>
      </c>
      <c r="T15" s="1455">
        <v>0.51</v>
      </c>
      <c r="U15" s="1455">
        <v>0.54</v>
      </c>
      <c r="V15" s="1455">
        <v>0.48</v>
      </c>
      <c r="W15" s="1456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41">
        <f t="shared" si="4"/>
        <v>8.8999999999999999E-3</v>
      </c>
      <c r="G16" s="1445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8">
        <f>AVERAGE(F16:F$18)</f>
        <v>1.0433333333333334E-2</v>
      </c>
      <c r="L16" s="1445"/>
      <c r="M16" s="28"/>
      <c r="N16" s="28"/>
      <c r="O16" s="28"/>
      <c r="P16" s="28"/>
      <c r="R16" s="1460">
        <v>2014</v>
      </c>
      <c r="S16" s="1461">
        <v>4</v>
      </c>
      <c r="T16" s="1461">
        <v>0.21</v>
      </c>
      <c r="U16" s="1461">
        <v>0.41</v>
      </c>
      <c r="V16" s="1461">
        <v>0.12</v>
      </c>
      <c r="W16" s="1462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41">
        <f t="shared" si="4"/>
        <v>7.1999999999999998E-3</v>
      </c>
      <c r="G17" s="1445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8">
        <f>AVERAGE(F17:F$18)</f>
        <v>1.12E-2</v>
      </c>
      <c r="L17" s="1445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6">
        <v>2014</v>
      </c>
      <c r="S17" s="1467">
        <v>3</v>
      </c>
      <c r="T17" s="1467">
        <v>0.83</v>
      </c>
      <c r="U17" s="1467">
        <v>1.47</v>
      </c>
      <c r="V17" s="1467">
        <v>0.65</v>
      </c>
      <c r="W17" s="1468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41">
        <f t="shared" si="4"/>
        <v>1.52E-2</v>
      </c>
      <c r="G18" s="1445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6">
        <f t="shared" si="5"/>
        <v>1.52E-2</v>
      </c>
      <c r="L18" s="1445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9">
        <v>2014</v>
      </c>
      <c r="S18" s="1470">
        <v>2</v>
      </c>
      <c r="T18" s="1470">
        <v>2.4</v>
      </c>
      <c r="U18" s="1470">
        <v>2.0299999999999998</v>
      </c>
      <c r="V18" s="1470">
        <v>2.59</v>
      </c>
      <c r="W18" s="1471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41">
        <f t="shared" si="4"/>
        <v>1.3600000000000001E-2</v>
      </c>
      <c r="G19" s="1444">
        <v>0</v>
      </c>
      <c r="H19" s="26">
        <v>0</v>
      </c>
      <c r="I19" s="26">
        <v>0</v>
      </c>
      <c r="J19" s="26">
        <v>0</v>
      </c>
      <c r="K19" s="1447">
        <v>0</v>
      </c>
      <c r="L19" s="1445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72">
        <v>2014</v>
      </c>
      <c r="S19" s="1473">
        <v>1</v>
      </c>
      <c r="T19" s="1473">
        <v>2.97</v>
      </c>
      <c r="U19" s="1473">
        <v>2.34</v>
      </c>
      <c r="V19" s="1473">
        <v>3.28</v>
      </c>
      <c r="W19" s="1474">
        <v>1.36</v>
      </c>
    </row>
    <row r="20" spans="1:23" ht="15" thickBot="1">
      <c r="A20" s="681" t="s">
        <v>1599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41">
        <f t="shared" si="4"/>
        <v>8.6999999999999994E-3</v>
      </c>
      <c r="L20" s="1445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6">
        <v>2013</v>
      </c>
      <c r="S20" s="1477">
        <v>4</v>
      </c>
      <c r="T20" s="1477">
        <v>1.83</v>
      </c>
      <c r="U20" s="1477">
        <v>1.68</v>
      </c>
      <c r="V20" s="1477">
        <v>1.97</v>
      </c>
      <c r="W20" s="1478">
        <v>0.87</v>
      </c>
    </row>
    <row r="21" spans="1:23" ht="14.25">
      <c r="A21" s="681" t="s">
        <v>1600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41">
        <f t="shared" si="4"/>
        <v>8.8000000000000005E-3</v>
      </c>
      <c r="L21" s="1445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3">
        <v>2013</v>
      </c>
      <c r="S21" s="1464">
        <v>3</v>
      </c>
      <c r="T21" s="1464">
        <v>1.86</v>
      </c>
      <c r="U21" s="1464">
        <v>1.72</v>
      </c>
      <c r="V21" s="1464">
        <v>1.98</v>
      </c>
      <c r="W21" s="1465">
        <v>0.88</v>
      </c>
    </row>
    <row r="22" spans="1:23" ht="14.25">
      <c r="A22" s="681" t="s">
        <v>1601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41">
        <f t="shared" si="4"/>
        <v>6.8999999999999999E-3</v>
      </c>
      <c r="L22" s="1445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7">
        <v>2013</v>
      </c>
      <c r="S22" s="1458">
        <v>2</v>
      </c>
      <c r="T22" s="1458">
        <v>2.04</v>
      </c>
      <c r="U22" s="1458">
        <v>2.33</v>
      </c>
      <c r="V22" s="1458">
        <v>2.0699999999999998</v>
      </c>
      <c r="W22" s="1459">
        <v>0.69</v>
      </c>
    </row>
    <row r="23" spans="1:23" ht="14.25">
      <c r="A23" s="681" t="s">
        <v>1602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41">
        <f t="shared" si="4"/>
        <v>9.5999999999999992E-3</v>
      </c>
      <c r="L23" s="1445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4">
        <v>2013</v>
      </c>
      <c r="S23" s="1455">
        <v>1</v>
      </c>
      <c r="T23" s="1455">
        <v>1.67</v>
      </c>
      <c r="U23" s="1455">
        <v>1.31</v>
      </c>
      <c r="V23" s="1455">
        <v>1.85</v>
      </c>
      <c r="W23" s="1456">
        <v>0.96</v>
      </c>
    </row>
    <row r="24" spans="1:23" ht="15" thickBot="1">
      <c r="A24" s="681" t="s">
        <v>1606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41">
        <f t="shared" si="4"/>
        <v>9.0000000000000011E-3</v>
      </c>
      <c r="L24" s="1445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60">
        <v>2012</v>
      </c>
      <c r="S24" s="1461">
        <v>4</v>
      </c>
      <c r="T24" s="1461">
        <v>0.91</v>
      </c>
      <c r="U24" s="1461">
        <v>0.68</v>
      </c>
      <c r="V24" s="1461">
        <v>0.98</v>
      </c>
      <c r="W24" s="1462">
        <v>0.9</v>
      </c>
    </row>
    <row r="25" spans="1:23" ht="14.25">
      <c r="A25" s="681" t="s">
        <v>1607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41">
        <f t="shared" si="4"/>
        <v>5.7999999999999996E-3</v>
      </c>
      <c r="L25" s="1445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3">
        <v>2012</v>
      </c>
      <c r="S25" s="1464">
        <v>3</v>
      </c>
      <c r="T25" s="1464">
        <v>0.09</v>
      </c>
      <c r="U25" s="1464">
        <v>0.28999999999999998</v>
      </c>
      <c r="V25" s="1464">
        <v>-0.01</v>
      </c>
      <c r="W25" s="1465">
        <v>0.57999999999999996</v>
      </c>
    </row>
    <row r="26" spans="1:23" ht="14.25">
      <c r="A26" s="681" t="s">
        <v>1608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41">
        <f t="shared" si="4"/>
        <v>1.24E-2</v>
      </c>
      <c r="L26" s="1445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7">
        <v>2012</v>
      </c>
      <c r="S26" s="1458">
        <v>2</v>
      </c>
      <c r="T26" s="1458">
        <v>0.02</v>
      </c>
      <c r="U26" s="1458">
        <v>0.12</v>
      </c>
      <c r="V26" s="1458">
        <v>-0.08</v>
      </c>
      <c r="W26" s="1459">
        <v>1.24</v>
      </c>
    </row>
    <row r="27" spans="1:23" ht="14.25">
      <c r="A27" s="681" t="s">
        <v>1609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41">
        <f t="shared" si="4"/>
        <v>4.5999999999999999E-3</v>
      </c>
      <c r="L27" s="1445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4">
        <v>2012</v>
      </c>
      <c r="S27" s="1455">
        <v>1</v>
      </c>
      <c r="T27" s="1455">
        <v>0.02</v>
      </c>
      <c r="U27" s="1455">
        <v>0.13</v>
      </c>
      <c r="V27" s="1455">
        <v>-0.04</v>
      </c>
      <c r="W27" s="1456">
        <v>0.46</v>
      </c>
    </row>
    <row r="28" spans="1:23" ht="15" thickBot="1">
      <c r="A28" s="681" t="s">
        <v>1610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41">
        <f t="shared" si="4"/>
        <v>4.5999999999999999E-3</v>
      </c>
      <c r="L28" s="1445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60">
        <v>2011</v>
      </c>
      <c r="S28" s="1461">
        <v>4</v>
      </c>
      <c r="T28" s="1461">
        <v>-0.2</v>
      </c>
      <c r="U28" s="1461">
        <v>0.04</v>
      </c>
      <c r="V28" s="1461">
        <v>-0.34</v>
      </c>
      <c r="W28" s="1462">
        <v>0.46</v>
      </c>
    </row>
    <row r="29" spans="1:23" ht="14.25">
      <c r="A29" s="681" t="s">
        <v>1611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41">
        <f t="shared" si="4"/>
        <v>5.3E-3</v>
      </c>
      <c r="L29" s="1445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3">
        <v>2011</v>
      </c>
      <c r="S29" s="1464">
        <v>3</v>
      </c>
      <c r="T29" s="1464">
        <v>0.13</v>
      </c>
      <c r="U29" s="1464">
        <v>0.75</v>
      </c>
      <c r="V29" s="1464">
        <v>-0.08</v>
      </c>
      <c r="W29" s="1465">
        <v>0.53</v>
      </c>
    </row>
    <row r="30" spans="1:23" ht="14.25">
      <c r="A30" s="681" t="s">
        <v>1612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41">
        <f t="shared" si="4"/>
        <v>-2E-3</v>
      </c>
      <c r="L30" s="1445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7">
        <v>2011</v>
      </c>
      <c r="S30" s="1458">
        <v>2</v>
      </c>
      <c r="T30" s="1458">
        <v>-0.4</v>
      </c>
      <c r="U30" s="1458">
        <v>0.17</v>
      </c>
      <c r="V30" s="1458">
        <v>-0.57999999999999996</v>
      </c>
      <c r="W30" s="1459">
        <v>-0.2</v>
      </c>
    </row>
    <row r="31" spans="1:23" ht="14.25">
      <c r="A31" s="681" t="s">
        <v>1613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41">
        <f t="shared" si="4"/>
        <v>7.9500000000000001E-2</v>
      </c>
      <c r="L31" s="1445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4">
        <v>2011</v>
      </c>
      <c r="S31" s="1455">
        <v>1</v>
      </c>
      <c r="T31" s="1455">
        <v>2.65</v>
      </c>
      <c r="U31" s="1455">
        <v>3.76</v>
      </c>
      <c r="V31" s="1455">
        <v>1.89</v>
      </c>
      <c r="W31" s="1456">
        <v>7.95</v>
      </c>
    </row>
    <row r="32" spans="1:23" ht="15" thickBot="1">
      <c r="A32" s="681" t="s">
        <v>1614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41">
        <f t="shared" si="4"/>
        <v>2.7200000000000002E-2</v>
      </c>
      <c r="L32" s="1445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60">
        <v>2010</v>
      </c>
      <c r="S32" s="1461">
        <v>4</v>
      </c>
      <c r="T32" s="1461">
        <v>5.72</v>
      </c>
      <c r="U32" s="1461">
        <v>6.57</v>
      </c>
      <c r="V32" s="1461">
        <v>5.72</v>
      </c>
      <c r="W32" s="1462">
        <v>2.72</v>
      </c>
    </row>
    <row r="33" spans="1:23" ht="14.25">
      <c r="A33" s="681" t="s">
        <v>1615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41">
        <f t="shared" si="4"/>
        <v>4.2099999999999999E-2</v>
      </c>
      <c r="L33" s="1445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3">
        <v>2010</v>
      </c>
      <c r="S33" s="1464">
        <v>3</v>
      </c>
      <c r="T33" s="1464">
        <v>4.7300000000000004</v>
      </c>
      <c r="U33" s="1464">
        <v>3.9</v>
      </c>
      <c r="V33" s="1464">
        <v>5.03</v>
      </c>
      <c r="W33" s="1465">
        <v>4.21</v>
      </c>
    </row>
    <row r="34" spans="1:23" ht="14.25">
      <c r="A34" s="681" t="s">
        <v>1616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41">
        <f t="shared" si="4"/>
        <v>4.2300000000000004E-2</v>
      </c>
      <c r="L34" s="1445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7">
        <v>2010</v>
      </c>
      <c r="S34" s="1458">
        <v>2</v>
      </c>
      <c r="T34" s="1458">
        <v>4.6900000000000004</v>
      </c>
      <c r="U34" s="1458">
        <v>3.55</v>
      </c>
      <c r="V34" s="1458">
        <v>5.07</v>
      </c>
      <c r="W34" s="1459">
        <v>4.2300000000000004</v>
      </c>
    </row>
    <row r="35" spans="1:23" ht="14.25">
      <c r="A35" s="681" t="s">
        <v>1617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41">
        <f t="shared" si="4"/>
        <v>4.5100000000000001E-2</v>
      </c>
      <c r="L35" s="1445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4">
        <v>2010</v>
      </c>
      <c r="S35" s="1455">
        <v>1</v>
      </c>
      <c r="T35" s="1455">
        <v>5.4</v>
      </c>
      <c r="U35" s="1455">
        <v>3.2</v>
      </c>
      <c r="V35" s="1455">
        <v>6.16</v>
      </c>
      <c r="W35" s="1456">
        <v>4.51</v>
      </c>
    </row>
    <row r="36" spans="1:23" ht="15" thickBot="1">
      <c r="A36" s="681" t="s">
        <v>1618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41">
        <f t="shared" si="4"/>
        <v>6.7000000000000002E-3</v>
      </c>
      <c r="L36" s="1445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60">
        <v>2009</v>
      </c>
      <c r="S36" s="1461">
        <v>4</v>
      </c>
      <c r="T36" s="1461">
        <v>2.2999999999999998</v>
      </c>
      <c r="U36" s="1461">
        <v>1.04</v>
      </c>
      <c r="V36" s="1461">
        <v>2.84</v>
      </c>
      <c r="W36" s="1462">
        <v>0.67</v>
      </c>
    </row>
    <row r="37" spans="1:23" ht="14.25">
      <c r="A37" s="681" t="s">
        <v>1619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41">
        <f t="shared" si="4"/>
        <v>8.5000000000000006E-3</v>
      </c>
      <c r="L37" s="1445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3">
        <v>2009</v>
      </c>
      <c r="S37" s="1464">
        <v>3</v>
      </c>
      <c r="T37" s="1464">
        <v>2.1</v>
      </c>
      <c r="U37" s="1464">
        <v>1.86</v>
      </c>
      <c r="V37" s="1464">
        <v>2.29</v>
      </c>
      <c r="W37" s="1465">
        <v>0.85</v>
      </c>
    </row>
    <row r="38" spans="1:23" ht="14.25">
      <c r="A38" s="681" t="s">
        <v>1620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41">
        <f t="shared" si="4"/>
        <v>-2.07E-2</v>
      </c>
      <c r="L38" s="1445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7">
        <v>2009</v>
      </c>
      <c r="S38" s="1458">
        <v>2</v>
      </c>
      <c r="T38" s="1458">
        <v>0.86</v>
      </c>
      <c r="U38" s="1458">
        <v>-1.1299999999999999</v>
      </c>
      <c r="V38" s="1458">
        <v>1.79</v>
      </c>
      <c r="W38" s="1459">
        <v>-2.0699999999999998</v>
      </c>
    </row>
    <row r="39" spans="1:23" ht="14.25">
      <c r="A39" s="681" t="s">
        <v>1621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41">
        <f t="shared" si="4"/>
        <v>1.52E-2</v>
      </c>
      <c r="L39" s="1445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4">
        <v>2009</v>
      </c>
      <c r="S39" s="1455">
        <v>1</v>
      </c>
      <c r="T39" s="1455">
        <v>-2.64</v>
      </c>
      <c r="U39" s="1455">
        <v>-2.5299999999999998</v>
      </c>
      <c r="V39" s="1455">
        <v>-3.02</v>
      </c>
      <c r="W39" s="1456">
        <v>1.52</v>
      </c>
    </row>
    <row r="40" spans="1:23" ht="15" thickBot="1">
      <c r="A40" s="681" t="s">
        <v>1622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41">
        <f t="shared" si="4"/>
        <v>-1.66E-2</v>
      </c>
      <c r="L40" s="1445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60">
        <v>2008</v>
      </c>
      <c r="S40" s="1461">
        <v>4</v>
      </c>
      <c r="T40" s="1461">
        <v>1.73</v>
      </c>
      <c r="U40" s="1461">
        <v>0.03</v>
      </c>
      <c r="V40" s="1461">
        <v>2.59</v>
      </c>
      <c r="W40" s="1462">
        <v>-1.66</v>
      </c>
    </row>
    <row r="41" spans="1:23" ht="14.25">
      <c r="A41" s="681" t="s">
        <v>1623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41">
        <f t="shared" si="4"/>
        <v>2.2200000000000001E-2</v>
      </c>
      <c r="L41" s="1445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3">
        <v>2008</v>
      </c>
      <c r="S41" s="1464">
        <v>3</v>
      </c>
      <c r="T41" s="1464">
        <v>1.96</v>
      </c>
      <c r="U41" s="1464">
        <v>2.36</v>
      </c>
      <c r="V41" s="1464">
        <v>1.82</v>
      </c>
      <c r="W41" s="1465">
        <v>2.2200000000000002</v>
      </c>
    </row>
    <row r="42" spans="1:23" ht="14.25">
      <c r="A42" s="681" t="s">
        <v>1624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41">
        <f t="shared" si="4"/>
        <v>6.8600000000000008E-2</v>
      </c>
      <c r="L42" s="1445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7">
        <v>2008</v>
      </c>
      <c r="S42" s="1458">
        <v>2</v>
      </c>
      <c r="T42" s="1458">
        <v>4.93</v>
      </c>
      <c r="U42" s="1458">
        <v>7.38</v>
      </c>
      <c r="V42" s="1458">
        <v>3.98</v>
      </c>
      <c r="W42" s="1459">
        <v>6.86</v>
      </c>
    </row>
    <row r="43" spans="1:23" ht="14.25">
      <c r="A43" s="681" t="s">
        <v>1625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41">
        <f t="shared" si="4"/>
        <v>4.82E-2</v>
      </c>
      <c r="L43" s="1445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4">
        <v>2008</v>
      </c>
      <c r="S43" s="1455">
        <v>1</v>
      </c>
      <c r="T43" s="1455">
        <v>4.1399999999999997</v>
      </c>
      <c r="U43" s="1455">
        <v>3.45</v>
      </c>
      <c r="V43" s="1455">
        <v>4.95</v>
      </c>
      <c r="W43" s="1456">
        <v>4.82</v>
      </c>
    </row>
    <row r="44" spans="1:23" ht="15" thickBot="1">
      <c r="A44" s="681" t="s">
        <v>1626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41">
        <f t="shared" si="4"/>
        <v>5.3600000000000002E-2</v>
      </c>
      <c r="L44" s="1445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60">
        <v>2007</v>
      </c>
      <c r="S44" s="1461">
        <v>4</v>
      </c>
      <c r="T44" s="1461">
        <v>5.51</v>
      </c>
      <c r="U44" s="1461">
        <v>4.8899999999999997</v>
      </c>
      <c r="V44" s="1461">
        <v>6.43</v>
      </c>
      <c r="W44" s="1462">
        <v>5.36</v>
      </c>
    </row>
    <row r="45" spans="1:23" ht="14.25">
      <c r="A45" s="681" t="s">
        <v>1627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41">
        <f t="shared" si="4"/>
        <v>5.7999999999999996E-2</v>
      </c>
      <c r="L45" s="1445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3">
        <v>2007</v>
      </c>
      <c r="S45" s="1464">
        <v>3</v>
      </c>
      <c r="T45" s="1464">
        <v>8.65</v>
      </c>
      <c r="U45" s="1464">
        <v>8.06</v>
      </c>
      <c r="V45" s="1464">
        <v>9.94</v>
      </c>
      <c r="W45" s="1465">
        <v>5.8</v>
      </c>
    </row>
    <row r="46" spans="1:23" ht="14.25">
      <c r="A46" s="681" t="s">
        <v>1628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41">
        <f t="shared" si="4"/>
        <v>6.7099999999999993E-2</v>
      </c>
      <c r="L46" s="1445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7">
        <v>2007</v>
      </c>
      <c r="S46" s="1458">
        <v>2</v>
      </c>
      <c r="T46" s="1458">
        <v>3.67</v>
      </c>
      <c r="U46" s="1458">
        <v>2.3199999999999998</v>
      </c>
      <c r="V46" s="1458">
        <v>5.0199999999999996</v>
      </c>
      <c r="W46" s="1459">
        <v>6.71</v>
      </c>
    </row>
    <row r="47" spans="1:23" ht="14.25">
      <c r="A47" s="681" t="s">
        <v>1629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41">
        <f t="shared" si="4"/>
        <v>3.2099999999999997E-2</v>
      </c>
      <c r="L47" s="1445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4">
        <v>2007</v>
      </c>
      <c r="S47" s="1455">
        <v>1</v>
      </c>
      <c r="T47" s="1455">
        <v>3.58</v>
      </c>
      <c r="U47" s="1455">
        <v>3.08</v>
      </c>
      <c r="V47" s="1455">
        <v>4.34</v>
      </c>
      <c r="W47" s="1456">
        <v>3.21</v>
      </c>
    </row>
    <row r="48" spans="1:23" ht="15" thickBot="1">
      <c r="A48" s="681" t="s">
        <v>1630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41">
        <f t="shared" si="4"/>
        <v>5.4100000000000002E-2</v>
      </c>
      <c r="L48" s="1445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60">
        <v>2006</v>
      </c>
      <c r="S48" s="1461">
        <v>4</v>
      </c>
      <c r="T48" s="1461">
        <v>3.79</v>
      </c>
      <c r="U48" s="1461">
        <v>2.21</v>
      </c>
      <c r="V48" s="1461">
        <v>5.65</v>
      </c>
      <c r="W48" s="1462">
        <v>5.41</v>
      </c>
    </row>
    <row r="49" spans="1:28" ht="14.25">
      <c r="A49" s="681" t="s">
        <v>1603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41">
        <f t="shared" si="4"/>
        <v>1.0800000000000001E-2</v>
      </c>
      <c r="L49" s="1445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3">
        <v>2006</v>
      </c>
      <c r="S49" s="1464">
        <v>3</v>
      </c>
      <c r="T49" s="1464">
        <v>0.92</v>
      </c>
      <c r="U49" s="1464">
        <v>1.08</v>
      </c>
      <c r="V49" s="1464">
        <v>0.73</v>
      </c>
      <c r="W49" s="1465">
        <v>1.08</v>
      </c>
    </row>
    <row r="50" spans="1:28" ht="14.25">
      <c r="A50" s="681" t="s">
        <v>1604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41">
        <f t="shared" si="4"/>
        <v>9.4999999999999998E-3</v>
      </c>
      <c r="L50" s="1445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7">
        <v>2006</v>
      </c>
      <c r="S50" s="1458">
        <v>2</v>
      </c>
      <c r="T50" s="1458">
        <v>0.96</v>
      </c>
      <c r="U50" s="1458">
        <v>0.25</v>
      </c>
      <c r="V50" s="1458">
        <v>1.9</v>
      </c>
      <c r="W50" s="1459">
        <v>0.95</v>
      </c>
    </row>
    <row r="51" spans="1:28" ht="14.25">
      <c r="A51" s="681" t="s">
        <v>1605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41">
        <f t="shared" si="4"/>
        <v>4.0000000000000002E-4</v>
      </c>
      <c r="L51" s="1445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4">
        <v>2006</v>
      </c>
      <c r="S51" s="1455">
        <v>1</v>
      </c>
      <c r="T51" s="1455">
        <v>2.29</v>
      </c>
      <c r="U51" s="1455">
        <v>3.72</v>
      </c>
      <c r="V51" s="1455">
        <v>0.75</v>
      </c>
      <c r="W51" s="1456">
        <v>0.04</v>
      </c>
    </row>
    <row r="52" spans="1:28" ht="15" thickBot="1">
      <c r="A52" s="681" t="s">
        <v>1631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41">
        <f t="shared" si="4"/>
        <v>7.7800000000000008E-2</v>
      </c>
      <c r="L52" s="1445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60">
        <v>2005</v>
      </c>
      <c r="S52" s="1461">
        <v>4</v>
      </c>
      <c r="T52" s="1461">
        <v>3.29</v>
      </c>
      <c r="U52" s="1461">
        <v>1.44</v>
      </c>
      <c r="V52" s="1461">
        <v>0.66</v>
      </c>
      <c r="W52" s="1462">
        <v>7.78</v>
      </c>
    </row>
    <row r="53" spans="1:28" ht="14.25">
      <c r="A53" s="681" t="s">
        <v>1632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41">
        <f t="shared" si="4"/>
        <v>6.4000000000000003E-3</v>
      </c>
      <c r="L53" s="1445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3">
        <v>2005</v>
      </c>
      <c r="S53" s="1464">
        <v>3</v>
      </c>
      <c r="T53" s="1464">
        <v>0.46</v>
      </c>
      <c r="U53" s="1464">
        <v>0.32</v>
      </c>
      <c r="V53" s="1464">
        <v>0.42</v>
      </c>
      <c r="W53" s="1465">
        <v>0.64</v>
      </c>
    </row>
    <row r="54" spans="1:28" ht="14.25">
      <c r="A54" s="681" t="s">
        <v>1633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41">
        <f t="shared" si="4"/>
        <v>7.9000000000000008E-3</v>
      </c>
      <c r="L54" s="1445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7">
        <v>2005</v>
      </c>
      <c r="S54" s="1458">
        <v>2</v>
      </c>
      <c r="T54" s="1458">
        <v>0.47</v>
      </c>
      <c r="U54" s="1458">
        <v>0.1</v>
      </c>
      <c r="V54" s="1458">
        <v>0.52</v>
      </c>
      <c r="W54" s="1459">
        <v>0.79</v>
      </c>
    </row>
    <row r="55" spans="1:28" ht="14.25">
      <c r="A55" s="681" t="s">
        <v>1634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41">
        <f t="shared" si="4"/>
        <v>5.5000000000000005E-3</v>
      </c>
      <c r="L55" s="1445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4">
        <v>2005</v>
      </c>
      <c r="S55" s="1455">
        <v>1</v>
      </c>
      <c r="T55" s="1455">
        <v>0.43</v>
      </c>
      <c r="U55" s="1455">
        <v>0.37</v>
      </c>
      <c r="V55" s="1455">
        <v>0.37</v>
      </c>
      <c r="W55" s="1456">
        <v>0.55000000000000004</v>
      </c>
    </row>
    <row r="56" spans="1:28" ht="15" thickBot="1">
      <c r="A56" s="681" t="s">
        <v>1635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41">
        <f t="shared" si="4"/>
        <v>0</v>
      </c>
      <c r="L56" s="1445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60">
        <v>2004</v>
      </c>
      <c r="S56" s="1461">
        <v>4</v>
      </c>
      <c r="T56" s="1461">
        <v>0.33</v>
      </c>
      <c r="U56" s="1461">
        <v>0.5</v>
      </c>
      <c r="V56" s="1461">
        <v>0.5</v>
      </c>
      <c r="W56" s="1462">
        <v>0</v>
      </c>
    </row>
    <row r="57" spans="1:28" ht="14.25">
      <c r="A57" s="681" t="s">
        <v>1636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41">
        <f t="shared" si="4"/>
        <v>5.9999999999999995E-4</v>
      </c>
      <c r="L57" s="1445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3">
        <v>2004</v>
      </c>
      <c r="S57" s="1464">
        <v>3</v>
      </c>
      <c r="T57" s="1464">
        <v>0.56000000000000005</v>
      </c>
      <c r="U57" s="1464">
        <v>0.8</v>
      </c>
      <c r="V57" s="1464">
        <v>0.83</v>
      </c>
      <c r="W57" s="1465">
        <v>0.06</v>
      </c>
    </row>
    <row r="58" spans="1:28" ht="15" thickBot="1">
      <c r="A58" s="681" t="s">
        <v>1637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41">
        <f t="shared" si="4"/>
        <v>0</v>
      </c>
      <c r="L58" s="1445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7">
        <v>2004</v>
      </c>
      <c r="S58" s="1458">
        <v>2</v>
      </c>
      <c r="T58" s="1458">
        <v>1</v>
      </c>
      <c r="U58" s="1458">
        <v>1.5</v>
      </c>
      <c r="V58" s="1458">
        <v>1.5</v>
      </c>
      <c r="W58" s="1459">
        <v>0</v>
      </c>
    </row>
    <row r="59" spans="1:28" ht="15" thickBot="1">
      <c r="A59" s="681" t="s">
        <v>1638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41">
        <f t="shared" si="4"/>
        <v>0</v>
      </c>
      <c r="L59" s="1445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9">
        <v>2004</v>
      </c>
      <c r="S59" s="1480">
        <v>1</v>
      </c>
      <c r="T59" s="1480">
        <v>0.33</v>
      </c>
      <c r="U59" s="1480">
        <v>0.5</v>
      </c>
      <c r="V59" s="1480">
        <v>0.5</v>
      </c>
      <c r="W59" s="1481">
        <v>0</v>
      </c>
      <c r="X59" s="1451">
        <v>2004</v>
      </c>
      <c r="Y59" s="1452">
        <v>121</v>
      </c>
      <c r="Z59" s="1452">
        <v>122</v>
      </c>
      <c r="AA59" s="1452">
        <v>124</v>
      </c>
      <c r="AB59" s="1453">
        <v>107</v>
      </c>
    </row>
    <row r="60" spans="1:28" ht="15" thickBot="1">
      <c r="A60" s="681" t="s">
        <v>1639</v>
      </c>
      <c r="B60" s="1482">
        <f t="shared" ref="B60:C67" si="6">T60</f>
        <v>1.14E-2</v>
      </c>
      <c r="C60" s="1482">
        <f t="shared" si="6"/>
        <v>1.5599999999999999E-2</v>
      </c>
      <c r="D60" s="492">
        <f t="shared" si="2"/>
        <v>1.5599999999999999E-2</v>
      </c>
      <c r="E60" s="1482">
        <f t="shared" ref="E60:F67" si="7">V60</f>
        <v>7.0000000000000001E-3</v>
      </c>
      <c r="F60" s="1483">
        <f t="shared" si="7"/>
        <v>4.7999999999999996E-3</v>
      </c>
      <c r="L60" s="1445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51">
        <v>2003</v>
      </c>
      <c r="S60" s="1461">
        <v>4</v>
      </c>
      <c r="T60" s="1484">
        <f>ROUND(Y60/Y61-1,4)</f>
        <v>1.14E-2</v>
      </c>
      <c r="U60" s="1484">
        <f t="shared" ref="U60:W60" si="8">ROUND(Z60/Z61-1,4)</f>
        <v>1.5599999999999999E-2</v>
      </c>
      <c r="V60" s="1484">
        <f t="shared" si="8"/>
        <v>7.0000000000000001E-3</v>
      </c>
      <c r="W60" s="1484">
        <f t="shared" si="8"/>
        <v>4.7999999999999996E-3</v>
      </c>
      <c r="X60" s="1454">
        <v>2003</v>
      </c>
      <c r="Y60" s="1455">
        <v>111</v>
      </c>
      <c r="Z60" s="1455">
        <v>114</v>
      </c>
      <c r="AA60" s="1455">
        <v>108</v>
      </c>
      <c r="AB60" s="1456">
        <v>104</v>
      </c>
    </row>
    <row r="61" spans="1:28" ht="14.25">
      <c r="A61" s="681" t="s">
        <v>1640</v>
      </c>
      <c r="B61" s="1482">
        <f t="shared" si="6"/>
        <v>1.15E-2</v>
      </c>
      <c r="C61" s="1482">
        <f t="shared" si="6"/>
        <v>1.5800000000000002E-2</v>
      </c>
      <c r="D61" s="492">
        <f t="shared" si="2"/>
        <v>1.5800000000000002E-2</v>
      </c>
      <c r="E61" s="1482">
        <f t="shared" si="7"/>
        <v>7.0000000000000001E-3</v>
      </c>
      <c r="F61" s="1483">
        <f t="shared" si="7"/>
        <v>4.8999999999999998E-3</v>
      </c>
      <c r="L61" s="1445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4">
        <v>3</v>
      </c>
      <c r="T61" s="1484">
        <f t="shared" ref="T61:T66" si="9">ROUND(Y61/Y62-1,4)</f>
        <v>1.15E-2</v>
      </c>
      <c r="U61" s="1484">
        <f t="shared" ref="U61:U66" si="10">ROUND(Z61/Z62-1,4)</f>
        <v>1.5800000000000002E-2</v>
      </c>
      <c r="V61" s="1484">
        <f t="shared" ref="V61:V66" si="11">ROUND(AA61/AA62-1,4)</f>
        <v>7.0000000000000001E-3</v>
      </c>
      <c r="W61" s="1484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1641</v>
      </c>
      <c r="B62" s="1482">
        <f t="shared" si="6"/>
        <v>1.17E-2</v>
      </c>
      <c r="C62" s="1482">
        <f t="shared" si="6"/>
        <v>1.61E-2</v>
      </c>
      <c r="D62" s="492">
        <f t="shared" si="2"/>
        <v>1.61E-2</v>
      </c>
      <c r="E62" s="1482">
        <f t="shared" si="7"/>
        <v>7.1000000000000004E-3</v>
      </c>
      <c r="F62" s="1483">
        <f t="shared" si="7"/>
        <v>4.8999999999999998E-3</v>
      </c>
      <c r="L62" s="1445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8">
        <v>2</v>
      </c>
      <c r="T62" s="1484">
        <f t="shared" si="9"/>
        <v>1.17E-2</v>
      </c>
      <c r="U62" s="1484">
        <f t="shared" si="10"/>
        <v>1.61E-2</v>
      </c>
      <c r="V62" s="1484">
        <f t="shared" si="11"/>
        <v>7.1000000000000004E-3</v>
      </c>
      <c r="W62" s="1484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1642</v>
      </c>
      <c r="B63" s="1482">
        <f t="shared" si="6"/>
        <v>1.18E-2</v>
      </c>
      <c r="C63" s="1482">
        <f t="shared" si="6"/>
        <v>1.6400000000000001E-2</v>
      </c>
      <c r="D63" s="492">
        <f t="shared" si="2"/>
        <v>1.6400000000000001E-2</v>
      </c>
      <c r="E63" s="1482">
        <f t="shared" si="7"/>
        <v>7.1000000000000004E-3</v>
      </c>
      <c r="F63" s="1483">
        <f t="shared" si="7"/>
        <v>4.8999999999999998E-3</v>
      </c>
      <c r="L63" s="1445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80">
        <v>1</v>
      </c>
      <c r="T63" s="1484">
        <f t="shared" si="9"/>
        <v>1.18E-2</v>
      </c>
      <c r="U63" s="1484">
        <f t="shared" si="10"/>
        <v>1.6400000000000001E-2</v>
      </c>
      <c r="V63" s="1484">
        <f t="shared" si="11"/>
        <v>7.1000000000000004E-3</v>
      </c>
      <c r="W63" s="1484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1643</v>
      </c>
      <c r="B64" s="1482">
        <f t="shared" si="6"/>
        <v>9.4999999999999998E-3</v>
      </c>
      <c r="C64" s="1482">
        <f t="shared" si="6"/>
        <v>9.4000000000000004E-3</v>
      </c>
      <c r="D64" s="492">
        <f t="shared" si="2"/>
        <v>9.4000000000000004E-3</v>
      </c>
      <c r="E64" s="1482">
        <f t="shared" si="7"/>
        <v>4.7999999999999996E-3</v>
      </c>
      <c r="F64" s="1483">
        <f t="shared" si="7"/>
        <v>4.8999999999999998E-3</v>
      </c>
      <c r="L64" s="1445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4">
        <v>2002</v>
      </c>
      <c r="S64" s="1461">
        <v>4</v>
      </c>
      <c r="T64" s="1484">
        <f t="shared" si="9"/>
        <v>9.4999999999999998E-3</v>
      </c>
      <c r="U64" s="1484">
        <f t="shared" si="10"/>
        <v>9.4000000000000004E-3</v>
      </c>
      <c r="V64" s="1484">
        <f t="shared" si="11"/>
        <v>4.7999999999999996E-3</v>
      </c>
      <c r="W64" s="1484">
        <f t="shared" si="12"/>
        <v>4.8999999999999998E-3</v>
      </c>
      <c r="X64" s="1457">
        <v>2002</v>
      </c>
      <c r="Y64" s="1458">
        <v>106</v>
      </c>
      <c r="Z64" s="1458">
        <v>107</v>
      </c>
      <c r="AA64" s="1458">
        <v>105</v>
      </c>
      <c r="AB64" s="1459">
        <v>102</v>
      </c>
    </row>
    <row r="65" spans="1:28" ht="14.25">
      <c r="A65" s="681" t="s">
        <v>1644</v>
      </c>
      <c r="B65" s="1482">
        <f t="shared" si="6"/>
        <v>9.5999999999999992E-3</v>
      </c>
      <c r="C65" s="1482">
        <f t="shared" si="6"/>
        <v>9.4999999999999998E-3</v>
      </c>
      <c r="D65" s="492">
        <f t="shared" si="2"/>
        <v>9.4999999999999998E-3</v>
      </c>
      <c r="E65" s="1482">
        <f t="shared" si="7"/>
        <v>4.7999999999999996E-3</v>
      </c>
      <c r="F65" s="1483">
        <f t="shared" si="7"/>
        <v>5.0000000000000001E-3</v>
      </c>
      <c r="L65" s="1445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4">
        <v>3</v>
      </c>
      <c r="T65" s="1484">
        <f t="shared" si="9"/>
        <v>9.5999999999999992E-3</v>
      </c>
      <c r="U65" s="1484">
        <f t="shared" si="10"/>
        <v>9.4999999999999998E-3</v>
      </c>
      <c r="V65" s="1484">
        <f t="shared" si="11"/>
        <v>4.7999999999999996E-3</v>
      </c>
      <c r="W65" s="1484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1645</v>
      </c>
      <c r="B66" s="1482">
        <f t="shared" si="6"/>
        <v>9.7000000000000003E-3</v>
      </c>
      <c r="C66" s="1482">
        <f t="shared" si="6"/>
        <v>9.5999999999999992E-3</v>
      </c>
      <c r="D66" s="492">
        <f t="shared" si="2"/>
        <v>9.5999999999999992E-3</v>
      </c>
      <c r="E66" s="1482">
        <f t="shared" si="7"/>
        <v>4.7999999999999996E-3</v>
      </c>
      <c r="F66" s="1483">
        <f t="shared" si="7"/>
        <v>5.0000000000000001E-3</v>
      </c>
      <c r="L66" s="1445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8">
        <v>2</v>
      </c>
      <c r="T66" s="1484">
        <f t="shared" si="9"/>
        <v>9.7000000000000003E-3</v>
      </c>
      <c r="U66" s="1484">
        <f t="shared" si="10"/>
        <v>9.5999999999999992E-3</v>
      </c>
      <c r="V66" s="1484">
        <f t="shared" si="11"/>
        <v>4.7999999999999996E-3</v>
      </c>
      <c r="W66" s="1484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1646</v>
      </c>
      <c r="B67" s="1482">
        <f t="shared" si="6"/>
        <v>9.7999999999999997E-3</v>
      </c>
      <c r="C67" s="1482">
        <f t="shared" si="6"/>
        <v>9.7000000000000003E-3</v>
      </c>
      <c r="D67" s="492">
        <f t="shared" si="2"/>
        <v>9.7000000000000003E-3</v>
      </c>
      <c r="E67" s="1482">
        <f t="shared" si="7"/>
        <v>4.8999999999999998E-3</v>
      </c>
      <c r="F67" s="1483">
        <f t="shared" si="7"/>
        <v>5.0000000000000001E-3</v>
      </c>
      <c r="L67" s="1444">
        <v>0</v>
      </c>
      <c r="M67" s="26">
        <v>0</v>
      </c>
      <c r="N67" s="26">
        <v>0</v>
      </c>
      <c r="O67" s="26">
        <v>0</v>
      </c>
      <c r="P67" s="26">
        <v>0</v>
      </c>
      <c r="S67" s="1480">
        <v>1</v>
      </c>
      <c r="T67" s="1484">
        <f>ROUND(Y67/Y68-1,4)</f>
        <v>9.7999999999999997E-3</v>
      </c>
      <c r="U67" s="1484">
        <f>ROUND(Z67/Z68-1,4)</f>
        <v>9.7000000000000003E-3</v>
      </c>
      <c r="V67" s="1484">
        <f>ROUND(AA67/AA68-1,4)</f>
        <v>4.8999999999999998E-3</v>
      </c>
      <c r="W67" s="1484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4">
        <v>2001</v>
      </c>
      <c r="Y68" s="1455">
        <v>102</v>
      </c>
      <c r="Z68" s="1455">
        <v>103</v>
      </c>
      <c r="AA68" s="1455">
        <v>103</v>
      </c>
      <c r="AB68" s="1456">
        <v>100</v>
      </c>
    </row>
    <row r="70" spans="1:28">
      <c r="A70" s="813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42"/>
  <sheetViews>
    <sheetView topLeftCell="B1" workbookViewId="0">
      <selection activeCell="E40" sqref="E9:E40"/>
    </sheetView>
  </sheetViews>
  <sheetFormatPr defaultColWidth="9" defaultRowHeight="13.5"/>
  <cols>
    <col min="1" max="4" width="9" style="1760"/>
    <col min="5" max="5" width="14.375" style="1760" customWidth="1"/>
    <col min="6" max="6" width="9" style="1760"/>
    <col min="7" max="7" width="16.25" style="1760" customWidth="1"/>
    <col min="8" max="8" width="15.875" style="1760" customWidth="1"/>
    <col min="9" max="9" width="9" style="1760"/>
    <col min="10" max="10" width="12" style="1760" customWidth="1"/>
    <col min="11" max="16384" width="9" style="1760"/>
  </cols>
  <sheetData>
    <row r="5" spans="4:10">
      <c r="D5" s="1759" t="s">
        <v>1786</v>
      </c>
      <c r="E5" s="1759" t="s">
        <v>1788</v>
      </c>
    </row>
    <row r="6" spans="4:10">
      <c r="D6" s="1760">
        <v>-3</v>
      </c>
      <c r="E6" s="1760">
        <v>1525.65</v>
      </c>
    </row>
    <row r="7" spans="4:10">
      <c r="D7" s="1760">
        <v>-2</v>
      </c>
      <c r="E7" s="1760">
        <v>1536.22</v>
      </c>
    </row>
    <row r="8" spans="4:10">
      <c r="D8" s="1760">
        <v>-1</v>
      </c>
      <c r="E8" s="1760">
        <v>3047.68</v>
      </c>
    </row>
    <row r="9" spans="4:10">
      <c r="D9" s="1760">
        <v>1</v>
      </c>
      <c r="E9" s="1760">
        <v>2458.69</v>
      </c>
    </row>
    <row r="10" spans="4:10">
      <c r="D10" s="1760">
        <v>2</v>
      </c>
      <c r="E10" s="1760">
        <v>1620.79</v>
      </c>
    </row>
    <row r="11" spans="4:10">
      <c r="D11" s="1760">
        <v>3</v>
      </c>
      <c r="E11" s="1760">
        <v>1607.55</v>
      </c>
    </row>
    <row r="12" spans="4:10">
      <c r="D12" s="1760">
        <v>4</v>
      </c>
      <c r="E12" s="1760">
        <v>1607.55</v>
      </c>
    </row>
    <row r="13" spans="4:10">
      <c r="D13" s="1760">
        <v>5</v>
      </c>
      <c r="E13" s="1760">
        <v>1607.55</v>
      </c>
    </row>
    <row r="14" spans="4:10">
      <c r="D14" s="1760">
        <v>6</v>
      </c>
      <c r="E14" s="1761">
        <v>1618.4</v>
      </c>
      <c r="I14" s="1759" t="s">
        <v>1792</v>
      </c>
      <c r="J14" s="1760">
        <f ca="1">结果表!B19</f>
        <v>140721.21109999999</v>
      </c>
    </row>
    <row r="15" spans="4:10">
      <c r="D15" s="1760">
        <v>7</v>
      </c>
      <c r="E15" s="1761">
        <v>1618.4</v>
      </c>
      <c r="G15" s="1759" t="s">
        <v>1789</v>
      </c>
      <c r="H15" s="1759" t="s">
        <v>1790</v>
      </c>
      <c r="I15" s="1759" t="s">
        <v>1793</v>
      </c>
      <c r="J15" s="1760">
        <v>5782.1655000000001</v>
      </c>
    </row>
    <row r="16" spans="4:10">
      <c r="D16" s="1760">
        <v>8</v>
      </c>
      <c r="E16" s="1761">
        <v>1618.4</v>
      </c>
      <c r="G16" s="1760">
        <f>SUM(E6:E8,E11:E40)</f>
        <v>54536.910000000025</v>
      </c>
      <c r="H16" s="1760">
        <f>SUM(E9:E10)</f>
        <v>4079.48</v>
      </c>
      <c r="J16" s="1760">
        <f ca="1">ROUND((J14*10000+J15*10000)/52820.64,0)</f>
        <v>27736</v>
      </c>
    </row>
    <row r="17" spans="4:5">
      <c r="D17" s="1760">
        <v>9</v>
      </c>
      <c r="E17" s="1761">
        <v>1618.4</v>
      </c>
    </row>
    <row r="18" spans="4:5">
      <c r="D18" s="1760">
        <v>10</v>
      </c>
      <c r="E18" s="1761">
        <v>1618.4</v>
      </c>
    </row>
    <row r="19" spans="4:5">
      <c r="D19" s="1760">
        <v>11</v>
      </c>
      <c r="E19" s="1761">
        <v>1618.4</v>
      </c>
    </row>
    <row r="20" spans="4:5">
      <c r="D20" s="1760">
        <v>12</v>
      </c>
      <c r="E20" s="1761">
        <v>1618.4</v>
      </c>
    </row>
    <row r="21" spans="4:5">
      <c r="D21" s="1760">
        <v>13</v>
      </c>
      <c r="E21" s="1761">
        <v>1618.4</v>
      </c>
    </row>
    <row r="22" spans="4:5">
      <c r="D22" s="1760">
        <v>14</v>
      </c>
      <c r="E22" s="1761">
        <v>1618.4</v>
      </c>
    </row>
    <row r="23" spans="4:5">
      <c r="D23" s="1760">
        <v>15</v>
      </c>
      <c r="E23" s="1761">
        <v>1618.4</v>
      </c>
    </row>
    <row r="24" spans="4:5">
      <c r="D24" s="1760">
        <v>16</v>
      </c>
      <c r="E24" s="1761">
        <v>1618.4</v>
      </c>
    </row>
    <row r="25" spans="4:5">
      <c r="D25" s="1760">
        <v>17</v>
      </c>
      <c r="E25" s="1761">
        <v>1618.4</v>
      </c>
    </row>
    <row r="26" spans="4:5">
      <c r="D26" s="1760">
        <v>18</v>
      </c>
      <c r="E26" s="1761">
        <v>1618.4</v>
      </c>
    </row>
    <row r="27" spans="4:5">
      <c r="D27" s="1760">
        <v>19</v>
      </c>
      <c r="E27" s="1761">
        <v>1618.4</v>
      </c>
    </row>
    <row r="28" spans="4:5">
      <c r="D28" s="1760">
        <v>20</v>
      </c>
      <c r="E28" s="1761">
        <v>1618.4</v>
      </c>
    </row>
    <row r="29" spans="4:5">
      <c r="D29" s="1760">
        <v>21</v>
      </c>
      <c r="E29" s="1761">
        <v>1618.4</v>
      </c>
    </row>
    <row r="30" spans="4:5">
      <c r="D30" s="1760">
        <v>22</v>
      </c>
      <c r="E30" s="1761">
        <v>1618.4</v>
      </c>
    </row>
    <row r="31" spans="4:5">
      <c r="D31" s="1760">
        <v>23</v>
      </c>
      <c r="E31" s="1761">
        <v>1618.4</v>
      </c>
    </row>
    <row r="32" spans="4:5">
      <c r="D32" s="1760">
        <v>24</v>
      </c>
      <c r="E32" s="1761">
        <v>1618.4</v>
      </c>
    </row>
    <row r="33" spans="4:5">
      <c r="D33" s="1760">
        <v>25</v>
      </c>
      <c r="E33" s="1761">
        <v>1618.4</v>
      </c>
    </row>
    <row r="34" spans="4:5">
      <c r="D34" s="1760">
        <v>26</v>
      </c>
      <c r="E34" s="1761">
        <v>1618.4</v>
      </c>
    </row>
    <row r="35" spans="4:5">
      <c r="D35" s="1760">
        <v>27</v>
      </c>
      <c r="E35" s="1761">
        <v>1618.4</v>
      </c>
    </row>
    <row r="36" spans="4:5">
      <c r="D36" s="1760">
        <v>28</v>
      </c>
      <c r="E36" s="1761">
        <v>1618.4</v>
      </c>
    </row>
    <row r="37" spans="4:5">
      <c r="D37" s="1760">
        <v>29</v>
      </c>
      <c r="E37" s="1761">
        <v>1618.4</v>
      </c>
    </row>
    <row r="38" spans="4:5">
      <c r="D38" s="1760">
        <v>30</v>
      </c>
      <c r="E38" s="1761">
        <v>1618.4</v>
      </c>
    </row>
    <row r="39" spans="4:5">
      <c r="D39" s="1760">
        <v>31</v>
      </c>
      <c r="E39" s="1761">
        <v>1618.4</v>
      </c>
    </row>
    <row r="40" spans="4:5">
      <c r="D40" s="1760">
        <v>32</v>
      </c>
      <c r="E40" s="1761">
        <v>1526.31</v>
      </c>
    </row>
    <row r="41" spans="4:5">
      <c r="D41" s="1759"/>
    </row>
    <row r="42" spans="4:5">
      <c r="D42" s="1759" t="s">
        <v>1787</v>
      </c>
      <c r="E42" s="1759">
        <f>SUM(E6:E41)</f>
        <v>58616.390000000029</v>
      </c>
    </row>
  </sheetData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7" sqref="C27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7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1752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 ht="37.5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14" sqref="B14"/>
    </sheetView>
  </sheetViews>
  <sheetFormatPr defaultColWidth="9" defaultRowHeight="13.5"/>
  <cols>
    <col min="1" max="1" width="23.375" style="1680" customWidth="1"/>
    <col min="2" max="9" width="15.75" style="1680" customWidth="1"/>
    <col min="10" max="16384" width="9" style="1680"/>
  </cols>
  <sheetData>
    <row r="1" spans="1:10" ht="16.5">
      <c r="A1" s="1677" t="s">
        <v>1720</v>
      </c>
      <c r="B1" s="1677">
        <f>SUM(B14:B23)</f>
        <v>49651.21</v>
      </c>
      <c r="C1" s="1678"/>
      <c r="D1" s="1678"/>
      <c r="E1" s="1678"/>
      <c r="F1" s="1678"/>
      <c r="G1" s="1679"/>
    </row>
    <row r="2" spans="1:10" ht="16.5">
      <c r="A2" s="1677" t="s">
        <v>1721</v>
      </c>
      <c r="B2" s="1677">
        <f>SUM(C14:C23)</f>
        <v>0</v>
      </c>
      <c r="C2" s="1678"/>
      <c r="D2" s="1678"/>
      <c r="E2" s="1678"/>
      <c r="F2" s="1678"/>
      <c r="G2" s="1679"/>
    </row>
    <row r="3" spans="1:10" ht="16.5">
      <c r="A3" s="1677" t="s">
        <v>1722</v>
      </c>
      <c r="B3" s="1681">
        <f>主表!B3</f>
        <v>44501</v>
      </c>
      <c r="C3" s="1678"/>
      <c r="D3" s="1678"/>
      <c r="E3" s="1678"/>
      <c r="F3" s="1678"/>
      <c r="G3" s="1679"/>
    </row>
    <row r="4" spans="1:10" ht="33">
      <c r="A4" s="1677" t="s">
        <v>1723</v>
      </c>
      <c r="B4" s="1677" t="s">
        <v>1724</v>
      </c>
      <c r="C4" s="1677" t="s">
        <v>1725</v>
      </c>
      <c r="D4" s="1677" t="s">
        <v>1726</v>
      </c>
      <c r="E4" s="1678"/>
      <c r="F4" s="1679"/>
      <c r="G4" s="1679"/>
    </row>
    <row r="5" spans="1:10" ht="16.5">
      <c r="A5" s="1677" t="s">
        <v>1727</v>
      </c>
      <c r="B5" s="1677">
        <f>SUM(D14:D23)</f>
        <v>0</v>
      </c>
      <c r="C5" s="1677">
        <f>ROUND(B5*10000/$B$1,0)</f>
        <v>0</v>
      </c>
      <c r="D5" s="1677" t="e">
        <f>ROUND(B5*10000/$B$2,0)</f>
        <v>#DIV/0!</v>
      </c>
      <c r="E5" s="1678"/>
      <c r="F5" s="1679"/>
      <c r="G5" s="1679"/>
    </row>
    <row r="6" spans="1:10" ht="16.5">
      <c r="A6" s="1677" t="s">
        <v>1728</v>
      </c>
      <c r="B6" s="1677">
        <f>SUM(G14:G23)</f>
        <v>0</v>
      </c>
      <c r="C6" s="1677">
        <f>ROUND(B6*10000/$B$1,0)</f>
        <v>0</v>
      </c>
      <c r="D6" s="1677" t="e">
        <f>ROUND(B6*10000/$B$2,0)</f>
        <v>#DIV/0!</v>
      </c>
      <c r="E6" s="1678"/>
      <c r="F6" s="1679"/>
      <c r="G6" s="1679"/>
    </row>
    <row r="7" spans="1:10" ht="16.5">
      <c r="A7" s="1677" t="s">
        <v>1729</v>
      </c>
      <c r="B7" s="1677">
        <f>SUM(H14:H23)</f>
        <v>0</v>
      </c>
      <c r="C7" s="1677">
        <f>ROUND(B7*10000/$B$1,0)</f>
        <v>0</v>
      </c>
      <c r="D7" s="1677" t="e">
        <f>ROUND(B7*10000/$B$2,0)</f>
        <v>#DIV/0!</v>
      </c>
      <c r="E7" s="1678"/>
      <c r="F7" s="1679"/>
      <c r="G7" s="1679"/>
    </row>
    <row r="8" spans="1:10" ht="16.5">
      <c r="A8" s="1677" t="s">
        <v>1730</v>
      </c>
      <c r="B8" s="1677">
        <f>SUM(I14:I23)</f>
        <v>0</v>
      </c>
      <c r="C8" s="1677">
        <f>ROUND(B8*10000/$B$1,0)</f>
        <v>0</v>
      </c>
      <c r="D8" s="1677" t="e">
        <f>ROUND(B8*10000/$B$2,0)</f>
        <v>#DIV/0!</v>
      </c>
      <c r="E8" s="1678"/>
      <c r="F8" s="1679"/>
      <c r="G8" s="1679"/>
    </row>
    <row r="9" spans="1:10" ht="16.5">
      <c r="A9" s="1677" t="s">
        <v>1731</v>
      </c>
      <c r="B9" s="1682"/>
      <c r="C9" s="1678"/>
      <c r="D9" s="1678"/>
      <c r="E9" s="1678"/>
      <c r="F9" s="1679"/>
      <c r="G9" s="1679"/>
    </row>
    <row r="10" spans="1:10" ht="16.5">
      <c r="A10" s="1677" t="s">
        <v>1732</v>
      </c>
      <c r="B10" s="1682"/>
      <c r="C10" s="1678"/>
      <c r="D10" s="1678"/>
      <c r="E10" s="1678"/>
      <c r="F10" s="1679"/>
      <c r="G10" s="1679"/>
    </row>
    <row r="11" spans="1:10" ht="16.5">
      <c r="A11" s="1677" t="s">
        <v>1751</v>
      </c>
      <c r="B11" s="1677">
        <f ca="1">结果表!B19</f>
        <v>140721.21109999999</v>
      </c>
      <c r="C11" s="1677">
        <f ca="1">结果表!B18</f>
        <v>28342</v>
      </c>
      <c r="D11" s="1678"/>
      <c r="E11" s="1678"/>
      <c r="F11" s="1679"/>
      <c r="G11" s="1679"/>
    </row>
    <row r="12" spans="1:10" ht="16.5">
      <c r="A12" s="1678"/>
      <c r="B12" s="1678"/>
      <c r="C12" s="1678"/>
      <c r="D12" s="1678"/>
      <c r="E12" s="1678"/>
      <c r="F12" s="1679"/>
      <c r="G12" s="1679"/>
    </row>
    <row r="13" spans="1:10" ht="33">
      <c r="A13" s="1683" t="s">
        <v>1733</v>
      </c>
      <c r="B13" s="1684" t="s">
        <v>1734</v>
      </c>
      <c r="C13" s="1684" t="s">
        <v>1735</v>
      </c>
      <c r="D13" s="1684" t="s">
        <v>1736</v>
      </c>
      <c r="E13" s="1677" t="s">
        <v>1725</v>
      </c>
      <c r="F13" s="1677" t="s">
        <v>1737</v>
      </c>
      <c r="G13" s="1684" t="s">
        <v>1738</v>
      </c>
      <c r="H13" s="1684" t="s">
        <v>1739</v>
      </c>
      <c r="I13" s="1684" t="s">
        <v>1740</v>
      </c>
      <c r="J13" s="1679"/>
    </row>
    <row r="14" spans="1:10" ht="16.5">
      <c r="A14" s="1685" t="s">
        <v>1741</v>
      </c>
      <c r="B14" s="1684">
        <f>主表!B7</f>
        <v>49651.21</v>
      </c>
      <c r="C14" s="1684">
        <f>主表!B6</f>
        <v>0</v>
      </c>
      <c r="D14" s="1684"/>
      <c r="E14" s="1684">
        <f>ROUND(D14*10000/B14,0)</f>
        <v>0</v>
      </c>
      <c r="F14" s="1684" t="e">
        <f>ROUND(D14*10000/C14,0)</f>
        <v>#DIV/0!</v>
      </c>
      <c r="G14" s="1684"/>
      <c r="H14" s="1684"/>
      <c r="I14" s="1684"/>
      <c r="J14" s="1679"/>
    </row>
    <row r="15" spans="1:10" ht="16.5">
      <c r="A15" s="1685" t="s">
        <v>1742</v>
      </c>
      <c r="B15" s="1686"/>
      <c r="C15" s="1686"/>
      <c r="D15" s="1686"/>
      <c r="E15" s="1684" t="e">
        <f t="shared" ref="E15:E23" si="0">ROUND(D15*10000/B15,0)</f>
        <v>#DIV/0!</v>
      </c>
      <c r="F15" s="1684" t="e">
        <f t="shared" ref="F15:F23" si="1">ROUND(D15*10000/C15,0)</f>
        <v>#DIV/0!</v>
      </c>
      <c r="G15" s="1687"/>
      <c r="H15" s="1687"/>
      <c r="I15" s="1686"/>
      <c r="J15" s="1679"/>
    </row>
    <row r="16" spans="1:10" ht="16.5">
      <c r="A16" s="1685" t="s">
        <v>1743</v>
      </c>
      <c r="B16" s="1686"/>
      <c r="C16" s="1686"/>
      <c r="D16" s="1686"/>
      <c r="E16" s="1684" t="e">
        <f t="shared" si="0"/>
        <v>#DIV/0!</v>
      </c>
      <c r="F16" s="1684" t="e">
        <f t="shared" si="1"/>
        <v>#DIV/0!</v>
      </c>
      <c r="G16" s="1687"/>
      <c r="H16" s="1687"/>
      <c r="I16" s="1686"/>
    </row>
    <row r="17" spans="1:9" ht="16.5">
      <c r="A17" s="1685" t="s">
        <v>1744</v>
      </c>
      <c r="B17" s="1686"/>
      <c r="C17" s="1686"/>
      <c r="D17" s="1686"/>
      <c r="E17" s="1684" t="e">
        <f t="shared" si="0"/>
        <v>#DIV/0!</v>
      </c>
      <c r="F17" s="1684" t="e">
        <f t="shared" si="1"/>
        <v>#DIV/0!</v>
      </c>
      <c r="G17" s="1687"/>
      <c r="H17" s="1687"/>
      <c r="I17" s="1686"/>
    </row>
    <row r="18" spans="1:9" ht="16.5">
      <c r="A18" s="1685" t="s">
        <v>1745</v>
      </c>
      <c r="B18" s="1686"/>
      <c r="C18" s="1686"/>
      <c r="D18" s="1686"/>
      <c r="E18" s="1684" t="e">
        <f t="shared" si="0"/>
        <v>#DIV/0!</v>
      </c>
      <c r="F18" s="1684" t="e">
        <f t="shared" si="1"/>
        <v>#DIV/0!</v>
      </c>
      <c r="G18" s="1686"/>
      <c r="H18" s="1686"/>
      <c r="I18" s="1686"/>
    </row>
    <row r="19" spans="1:9" ht="16.5">
      <c r="A19" s="1685" t="s">
        <v>1746</v>
      </c>
      <c r="B19" s="1686"/>
      <c r="C19" s="1686"/>
      <c r="D19" s="1686"/>
      <c r="E19" s="1684" t="e">
        <f t="shared" si="0"/>
        <v>#DIV/0!</v>
      </c>
      <c r="F19" s="1684" t="e">
        <f t="shared" si="1"/>
        <v>#DIV/0!</v>
      </c>
      <c r="G19" s="1686"/>
      <c r="H19" s="1686"/>
      <c r="I19" s="1686"/>
    </row>
    <row r="20" spans="1:9" ht="16.5">
      <c r="A20" s="1685" t="s">
        <v>1747</v>
      </c>
      <c r="B20" s="1686"/>
      <c r="C20" s="1686"/>
      <c r="D20" s="1686"/>
      <c r="E20" s="1684" t="e">
        <f t="shared" si="0"/>
        <v>#DIV/0!</v>
      </c>
      <c r="F20" s="1684" t="e">
        <f t="shared" si="1"/>
        <v>#DIV/0!</v>
      </c>
      <c r="G20" s="1686"/>
      <c r="H20" s="1686"/>
      <c r="I20" s="1686"/>
    </row>
    <row r="21" spans="1:9" ht="16.5">
      <c r="A21" s="1685" t="s">
        <v>1748</v>
      </c>
      <c r="B21" s="1686"/>
      <c r="C21" s="1686"/>
      <c r="D21" s="1686"/>
      <c r="E21" s="1684" t="e">
        <f t="shared" si="0"/>
        <v>#DIV/0!</v>
      </c>
      <c r="F21" s="1684" t="e">
        <f t="shared" si="1"/>
        <v>#DIV/0!</v>
      </c>
      <c r="G21" s="1686"/>
      <c r="H21" s="1686"/>
      <c r="I21" s="1686"/>
    </row>
    <row r="22" spans="1:9" ht="16.5">
      <c r="A22" s="1685" t="s">
        <v>1749</v>
      </c>
      <c r="B22" s="1686"/>
      <c r="C22" s="1686"/>
      <c r="D22" s="1686"/>
      <c r="E22" s="1684" t="e">
        <f t="shared" si="0"/>
        <v>#DIV/0!</v>
      </c>
      <c r="F22" s="1684" t="e">
        <f t="shared" si="1"/>
        <v>#DIV/0!</v>
      </c>
      <c r="G22" s="1686"/>
      <c r="H22" s="1686"/>
      <c r="I22" s="1686"/>
    </row>
    <row r="23" spans="1:9" ht="16.5">
      <c r="A23" s="1685" t="s">
        <v>1750</v>
      </c>
      <c r="B23" s="1686"/>
      <c r="C23" s="1686"/>
      <c r="D23" s="1686"/>
      <c r="E23" s="1684" t="e">
        <f t="shared" si="0"/>
        <v>#DIV/0!</v>
      </c>
      <c r="F23" s="1684" t="e">
        <f t="shared" si="1"/>
        <v>#DIV/0!</v>
      </c>
      <c r="G23" s="1686"/>
      <c r="H23" s="1686"/>
      <c r="I23" s="1686"/>
    </row>
  </sheetData>
  <sheetProtection password="C66D" sheet="1" objects="1" scenarios="1" formatCells="0" formatColumns="0" formatRows="0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K24" sqref="K24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78" t="s">
        <v>1366</v>
      </c>
      <c r="B2" s="1778"/>
      <c r="C2" s="1778"/>
      <c r="D2" s="1778"/>
      <c r="E2" s="1778"/>
      <c r="F2" s="1778"/>
      <c r="G2" s="1778"/>
      <c r="H2" s="662"/>
      <c r="I2" s="227"/>
      <c r="X2" s="221"/>
      <c r="AG2" s="189"/>
    </row>
    <row r="3" spans="1:33" ht="13.5">
      <c r="A3" s="1779" t="s">
        <v>1367</v>
      </c>
      <c r="B3" s="1780"/>
      <c r="C3" s="1781"/>
      <c r="D3" s="1782" t="s">
        <v>1368</v>
      </c>
      <c r="E3" s="1780"/>
      <c r="F3" s="1780"/>
      <c r="G3" s="1783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784" t="s">
        <v>1369</v>
      </c>
      <c r="E4" s="1776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785" t="s">
        <v>1373</v>
      </c>
      <c r="B5" s="1770">
        <f>主表!F5</f>
        <v>5830</v>
      </c>
      <c r="C5" s="1786" t="s">
        <v>1374</v>
      </c>
      <c r="D5" s="1776" t="s">
        <v>1375</v>
      </c>
      <c r="E5" s="1777"/>
      <c r="F5" s="1322">
        <f>SUM(F6:F10)</f>
        <v>14445</v>
      </c>
      <c r="G5" s="1323" t="s">
        <v>1652</v>
      </c>
      <c r="H5" s="662"/>
      <c r="I5" s="227"/>
      <c r="X5" s="221"/>
      <c r="AG5" s="189"/>
    </row>
    <row r="6" spans="1:33" ht="27">
      <c r="A6" s="1785"/>
      <c r="B6" s="1770"/>
      <c r="C6" s="1786"/>
      <c r="D6" s="1787" t="s">
        <v>1396</v>
      </c>
      <c r="E6" s="1322" t="s">
        <v>1376</v>
      </c>
      <c r="F6" s="1322">
        <f>主表!F14</f>
        <v>3000</v>
      </c>
      <c r="G6" s="1323" t="s">
        <v>1377</v>
      </c>
      <c r="H6" s="662"/>
      <c r="I6" s="227"/>
      <c r="X6" s="221"/>
      <c r="AG6" s="189"/>
    </row>
    <row r="7" spans="1:33" ht="13.5">
      <c r="A7" s="1785"/>
      <c r="B7" s="1770"/>
      <c r="C7" s="1786"/>
      <c r="D7" s="1787"/>
      <c r="E7" s="1322" t="s">
        <v>1378</v>
      </c>
      <c r="F7" s="1322">
        <f>主表!F15</f>
        <v>7700</v>
      </c>
      <c r="G7" s="1323"/>
      <c r="H7" s="662"/>
      <c r="I7" s="227"/>
      <c r="X7" s="221"/>
      <c r="AG7" s="189"/>
    </row>
    <row r="8" spans="1:33" ht="13.5">
      <c r="A8" s="1785"/>
      <c r="B8" s="1770"/>
      <c r="C8" s="1786"/>
      <c r="D8" s="1772" t="s">
        <v>1397</v>
      </c>
      <c r="E8" s="1773"/>
      <c r="F8" s="1322">
        <f>主表!F16</f>
        <v>749</v>
      </c>
      <c r="G8" s="1323" t="str">
        <f>"按建安工程费的"&amp;TEXT(主表!G16,"0.0%")&amp;"计取"</f>
        <v>按建安工程费的7.0%计取</v>
      </c>
      <c r="H8" s="662"/>
      <c r="I8" s="227"/>
      <c r="X8" s="221"/>
      <c r="AG8" s="189"/>
    </row>
    <row r="9" spans="1:33" ht="13.5">
      <c r="A9" s="1785"/>
      <c r="B9" s="1770"/>
      <c r="C9" s="1786"/>
      <c r="D9" s="1772" t="s">
        <v>1398</v>
      </c>
      <c r="E9" s="1773"/>
      <c r="F9" s="1322">
        <f>主表!F18</f>
        <v>1498</v>
      </c>
      <c r="G9" s="1323" t="str">
        <f>"按建安工程费的"&amp;TEXT(主表!G18,"0.0%")&amp;"计取"</f>
        <v>按建安工程费的14.0%计取</v>
      </c>
      <c r="H9" s="662"/>
      <c r="I9" s="227"/>
      <c r="X9" s="221"/>
      <c r="AG9" s="189"/>
    </row>
    <row r="10" spans="1:33" ht="13.5">
      <c r="A10" s="1785"/>
      <c r="B10" s="1770"/>
      <c r="C10" s="1786"/>
      <c r="D10" s="1772" t="s">
        <v>1399</v>
      </c>
      <c r="E10" s="1773"/>
      <c r="F10" s="1322">
        <f>主表!F19</f>
        <v>1498</v>
      </c>
      <c r="G10" s="1323" t="str">
        <f>"按建安工程费的"&amp;TEXT(主表!G19,"0.0%")&amp;"计取"</f>
        <v>按建安工程费的14.0%计取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>主表!F8</f>
        <v>146</v>
      </c>
      <c r="C11" s="1324" t="str">
        <f>"按前期开发成本的"&amp;TEXT(主表!G8,"0.0%")&amp;"计取"</f>
        <v>按前期开发成本的2.5%计取</v>
      </c>
      <c r="D11" s="1776" t="s">
        <v>1380</v>
      </c>
      <c r="E11" s="1777"/>
      <c r="F11" s="1322">
        <f>主表!F20</f>
        <v>578</v>
      </c>
      <c r="G11" s="1323" t="str">
        <f>"按房屋建设成本的"&amp;主表!G20&amp;"计取"</f>
        <v>按房屋建设成本的0.04计取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主表!F9</f>
        <v>165</v>
      </c>
      <c r="C12" s="1325" t="str">
        <f ca="1">"前期开发期为"&amp;主表!B24&amp;"年，贷款利率为"&amp;TEXT(主表!G9,"0.00%")&amp;"，"&amp;主表!H9</f>
        <v>前期开发期为0.5年，贷款利率为5.67%，计息期为0.5年，单利计息</v>
      </c>
      <c r="D12" s="1776" t="s">
        <v>1382</v>
      </c>
      <c r="E12" s="1777"/>
      <c r="F12" s="1322">
        <f ca="1">主表!F21</f>
        <v>532</v>
      </c>
      <c r="G12" s="1323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>主表!F10</f>
        <v>2689</v>
      </c>
      <c r="C13" s="1325" t="str">
        <f>"按前期开发成本及其管理费用的"&amp;TEXT(主表!G10,"0%")&amp;"计取"</f>
        <v>按前期开发成本及其管理费用的45%计取</v>
      </c>
      <c r="D13" s="1776" t="s">
        <v>1383</v>
      </c>
      <c r="E13" s="1777"/>
      <c r="F13" s="1322">
        <f>主表!F22</f>
        <v>6760</v>
      </c>
      <c r="G13" s="1323" t="str">
        <f>"按房屋建设成本及其管理费用的"&amp;TEXT(主表!G22,"0%")&amp;"计取"</f>
        <v>按房屋建设成本及其管理费用的45%计取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8830</v>
      </c>
      <c r="C14" s="1325" t="s">
        <v>1385</v>
      </c>
      <c r="D14" s="1776" t="s">
        <v>1384</v>
      </c>
      <c r="E14" s="1777"/>
      <c r="F14" s="1322">
        <f ca="1">F5+F11+F12+F13</f>
        <v>22315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770">
        <f ca="1">主表!F24</f>
        <v>31145</v>
      </c>
      <c r="C15" s="1771"/>
      <c r="D15" s="1772" t="s">
        <v>1387</v>
      </c>
      <c r="E15" s="1773"/>
      <c r="F15" s="1773"/>
      <c r="G15" s="1774"/>
      <c r="H15" s="662"/>
      <c r="I15" s="227"/>
      <c r="X15" s="221"/>
      <c r="AG15" s="189"/>
    </row>
    <row r="16" spans="1:33" ht="27.75" thickBot="1">
      <c r="A16" s="1318" t="s">
        <v>1388</v>
      </c>
      <c r="B16" s="1770">
        <f ca="1">主表!F25</f>
        <v>154638.69349999999</v>
      </c>
      <c r="C16" s="1771"/>
      <c r="D16" s="1772" t="s">
        <v>1389</v>
      </c>
      <c r="E16" s="1773"/>
      <c r="F16" s="1773"/>
      <c r="G16" s="1774"/>
      <c r="H16" s="1327" t="str">
        <f ca="1">NUMBERSTRING(INT(B16*10000),2)&amp;"元整"</f>
        <v>壹拾伍亿肆仟陆佰叁拾捌万陆仟玖佰叁拾伍元整</v>
      </c>
      <c r="I16" s="1328"/>
      <c r="X16" s="221"/>
      <c r="AG16" s="189"/>
    </row>
    <row r="17" spans="1:33" ht="13.5">
      <c r="A17" s="1318" t="s">
        <v>1390</v>
      </c>
      <c r="B17" s="1775">
        <f>主表!F33</f>
        <v>0.91</v>
      </c>
      <c r="C17" s="1771"/>
      <c r="D17" s="1772" t="s">
        <v>1391</v>
      </c>
      <c r="E17" s="1773"/>
      <c r="F17" s="1773"/>
      <c r="G17" s="1774"/>
      <c r="H17" s="662"/>
      <c r="I17" s="227"/>
      <c r="X17" s="221"/>
      <c r="AG17" s="189"/>
    </row>
    <row r="18" spans="1:33" ht="27.75" thickBot="1">
      <c r="A18" s="1318" t="s">
        <v>1392</v>
      </c>
      <c r="B18" s="1770">
        <f ca="1">主表!F35</f>
        <v>28342</v>
      </c>
      <c r="C18" s="1771"/>
      <c r="D18" s="1772" t="s">
        <v>1393</v>
      </c>
      <c r="E18" s="1773"/>
      <c r="F18" s="1773"/>
      <c r="G18" s="1774"/>
      <c r="H18" s="660"/>
      <c r="I18" s="227"/>
      <c r="X18" s="221"/>
      <c r="AG18" s="189"/>
    </row>
    <row r="19" spans="1:33" ht="27.75" thickBot="1">
      <c r="A19" s="1326" t="s">
        <v>1394</v>
      </c>
      <c r="B19" s="1765">
        <f ca="1">主表!F36</f>
        <v>140721.21109999999</v>
      </c>
      <c r="C19" s="1766"/>
      <c r="D19" s="1767" t="s">
        <v>1395</v>
      </c>
      <c r="E19" s="1768"/>
      <c r="F19" s="1768"/>
      <c r="G19" s="1769"/>
      <c r="H19" s="1327" t="str">
        <f ca="1">NUMBERSTRING(INT(B19*10000),2)&amp;"元整"</f>
        <v>壹拾肆亿零柒佰贰拾壹万贰仟壹佰壹拾壹元整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3" sqref="B3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793" t="s">
        <v>1286</v>
      </c>
      <c r="E2" s="1794"/>
      <c r="F2" s="1794"/>
      <c r="G2" s="1794"/>
      <c r="H2" s="1795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44501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21">
        <f>IF(B22="",O2,YEAR(B3)-B22)</f>
        <v>12</v>
      </c>
    </row>
    <row r="4" spans="1:18" ht="15.75" customHeight="1">
      <c r="A4" s="1186" t="s">
        <v>1544</v>
      </c>
      <c r="B4" s="515">
        <v>39212</v>
      </c>
      <c r="C4" s="1184"/>
      <c r="D4" s="1192" t="s">
        <v>1287</v>
      </c>
      <c r="E4" s="1193" t="s">
        <v>1583</v>
      </c>
      <c r="F4" s="1194">
        <f ca="1">F5+F8+F9+F10</f>
        <v>8830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1584</v>
      </c>
      <c r="F5" s="1039">
        <f>IF(B4&lt;DATE(2002,12,10),F6,F6-F7)</f>
        <v>5830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/>
      <c r="C6" s="1184"/>
      <c r="D6" s="1205" t="s">
        <v>1279</v>
      </c>
      <c r="E6" s="1201" t="s">
        <v>1232</v>
      </c>
      <c r="F6" s="1039">
        <f>IF(B4&lt;DATE(2002,12,10),'1993基准地价'!B3,IF(B4&gt;=DATE(2014,8,28),'2014基准地价'!B3,'2002基准地价'!B3))</f>
        <v>7224</v>
      </c>
      <c r="G6" s="1202"/>
      <c r="H6" s="1206" t="str">
        <f>"采用"&amp;IF(B4&lt;DATE(2002,12,10),"1993版",IF(B4&gt;=DATE(2014,8,28),"2014版","2002版"))&amp;"基准地价系数修正法计算"</f>
        <v>采用2002版基准地价系数修正法计算</v>
      </c>
      <c r="I6" s="1671" t="s">
        <v>1578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v>49651.21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1394</v>
      </c>
      <c r="G7" s="1210"/>
      <c r="H7" s="1372" t="s">
        <v>1796</v>
      </c>
      <c r="I7" s="1211" t="s">
        <v>1571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 t="e">
        <f>ROUND(B7/B6,2)</f>
        <v>#DIV/0!</v>
      </c>
      <c r="C8" s="1184"/>
      <c r="D8" s="1213">
        <v>2</v>
      </c>
      <c r="E8" s="1214" t="s">
        <v>1235</v>
      </c>
      <c r="F8" s="1215">
        <f>ROUND(F5*G8,0)</f>
        <v>146</v>
      </c>
      <c r="G8" s="661">
        <v>2.5000000000000001E-2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1648</v>
      </c>
      <c r="B9" s="1274">
        <v>16.48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165</v>
      </c>
      <c r="G9" s="1217">
        <f ca="1">存贷款利率!G2</f>
        <v>5.67E-2</v>
      </c>
      <c r="H9" s="1218" t="str">
        <f>"计息期为"&amp;B24&amp;"年，"&amp;IF(B24&lt;=1,"单利计息","复利计息")</f>
        <v>计息期为0.5年，单利计息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406</v>
      </c>
      <c r="C10" s="1184"/>
      <c r="D10" s="1222">
        <v>4</v>
      </c>
      <c r="E10" s="1223" t="s">
        <v>1237</v>
      </c>
      <c r="F10" s="1224">
        <f>ROUND((F5+F8)*G10,0)</f>
        <v>2689</v>
      </c>
      <c r="G10" s="518">
        <v>0.45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/>
      <c r="C11" s="1184"/>
      <c r="D11" s="1228" t="s">
        <v>1293</v>
      </c>
      <c r="E11" s="1229" t="s">
        <v>1585</v>
      </c>
      <c r="F11" s="1194">
        <f ca="1">F12+F20+F21+F22</f>
        <v>22315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1779</v>
      </c>
      <c r="C12" s="1184"/>
      <c r="D12" s="1213">
        <v>1</v>
      </c>
      <c r="E12" s="1214" t="s">
        <v>1586</v>
      </c>
      <c r="F12" s="1215">
        <f>F13+F16+F17</f>
        <v>14445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70</v>
      </c>
      <c r="C13" s="1184"/>
      <c r="D13" s="1205" t="s">
        <v>1279</v>
      </c>
      <c r="E13" s="1214" t="s">
        <v>1241</v>
      </c>
      <c r="F13" s="1215">
        <f>F14+F15</f>
        <v>10700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>
        <v>63414</v>
      </c>
      <c r="C14" s="1184"/>
      <c r="D14" s="1213" t="s">
        <v>1282</v>
      </c>
      <c r="E14" s="1214" t="s">
        <v>1242</v>
      </c>
      <c r="F14" s="519">
        <v>3000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66.3</v>
      </c>
      <c r="C15" s="1184"/>
      <c r="D15" s="1213" t="s">
        <v>1283</v>
      </c>
      <c r="E15" s="1214" t="s">
        <v>1243</v>
      </c>
      <c r="F15" s="519">
        <v>7700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1649</v>
      </c>
      <c r="B16" s="1274"/>
      <c r="C16" s="1184"/>
      <c r="D16" s="1205" t="s">
        <v>1280</v>
      </c>
      <c r="E16" s="1214" t="s">
        <v>1244</v>
      </c>
      <c r="F16" s="1039">
        <f>ROUND(F13*G16,0)</f>
        <v>749</v>
      </c>
      <c r="G16" s="517">
        <v>7.0000000000000007E-2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1650</v>
      </c>
      <c r="B17" s="1489">
        <f>IF(B4&lt;DATE(2002,12,10),'1993基准地价'!C23,IF(B4&gt;=DATE(2014,8,28),'2014基准地价'!G20,'2002基准地价'!E10))</f>
        <v>4.4999999999999998E-2</v>
      </c>
      <c r="C17" s="1184"/>
      <c r="D17" s="1205" t="s">
        <v>1281</v>
      </c>
      <c r="E17" s="1214" t="s">
        <v>1247</v>
      </c>
      <c r="F17" s="1215">
        <f>F18+F19</f>
        <v>2996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>IF(ISERROR(ROUND(POWER(1+B17,B13-B15)*(POWER(1+B17,B15)-1)/(POWER(1+B17,B13)-1),3)),0,ROUND(POWER(1+B17,B13-B15)*(POWER(1+B17,B15)-1)/(POWER(1+B17,B13)-1),3))</f>
        <v>0.99099999999999999</v>
      </c>
      <c r="C18" s="1184"/>
      <c r="D18" s="1213" t="s">
        <v>1284</v>
      </c>
      <c r="E18" s="1214" t="s">
        <v>1294</v>
      </c>
      <c r="F18" s="1039">
        <f>ROUND(IF(B12="住宅/居住",F13*G18,0),0)</f>
        <v>1498</v>
      </c>
      <c r="G18" s="517">
        <v>0.14000000000000001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1498</v>
      </c>
      <c r="G19" s="517">
        <v>0.14000000000000001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1778</v>
      </c>
      <c r="C20" s="1184"/>
      <c r="D20" s="1213">
        <v>2</v>
      </c>
      <c r="E20" s="1214" t="s">
        <v>1235</v>
      </c>
      <c r="F20" s="1215">
        <f>ROUND(F12*G20,0)</f>
        <v>578</v>
      </c>
      <c r="G20" s="661">
        <v>0.04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7">
        <v>3</v>
      </c>
      <c r="E21" s="1408" t="s">
        <v>1587</v>
      </c>
      <c r="F21" s="1409">
        <f ca="1">ROUND((F12+F20)*(POWER((1+G21),B23/2)-1),0)</f>
        <v>532</v>
      </c>
      <c r="G21" s="1410">
        <f ca="1">存贷款利率!G1</f>
        <v>4.7500000000000001E-2</v>
      </c>
      <c r="H21" s="1218" t="str">
        <f>"计息期为"&amp;B23&amp;"年，"&amp;"复利计息"</f>
        <v>计息期为1.5年，复利计息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2009</v>
      </c>
      <c r="C22" s="1184"/>
      <c r="D22" s="1222">
        <v>4</v>
      </c>
      <c r="E22" s="1223" t="s">
        <v>1588</v>
      </c>
      <c r="F22" s="1224">
        <f>ROUND((F12+F20)*G22,0)</f>
        <v>6760</v>
      </c>
      <c r="G22" s="518">
        <v>0.45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居住用途30%-50%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1.5</v>
      </c>
      <c r="C23" s="1236"/>
      <c r="D23" s="1228" t="s">
        <v>1589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1653</v>
      </c>
      <c r="B24" s="516">
        <v>0.5</v>
      </c>
      <c r="C24" s="1236"/>
      <c r="D24" s="1200">
        <v>1</v>
      </c>
      <c r="E24" s="1201" t="s">
        <v>1253</v>
      </c>
      <c r="F24" s="1039">
        <f ca="1">F4+F11</f>
        <v>31145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154638.69349999999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796" t="s">
        <v>1288</v>
      </c>
      <c r="E26" s="1797"/>
      <c r="F26" s="1797"/>
      <c r="G26" s="1797"/>
      <c r="H26" s="1798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0.8</v>
      </c>
      <c r="G28" s="520">
        <v>0.3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0.95</v>
      </c>
      <c r="G29" s="1252">
        <f>1-G28</f>
        <v>0.7</v>
      </c>
      <c r="H29" s="1206"/>
      <c r="I29" s="1197"/>
      <c r="J29" s="1180"/>
      <c r="K29" s="1236"/>
      <c r="L29" s="1236"/>
      <c r="N29" s="1427"/>
      <c r="O29" s="1428" t="s">
        <v>1593</v>
      </c>
      <c r="P29" s="1428" t="s">
        <v>1594</v>
      </c>
      <c r="Q29" s="1428" t="s">
        <v>1595</v>
      </c>
      <c r="R29" s="1429" t="s">
        <v>1596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95</v>
      </c>
      <c r="G30" s="1252">
        <f>IF(ISNUMBER(FIND("砖木",B20)),O30,SUMPRODUCT((N30:N32=E30)*(O29:R29=B20)*(O30:R32)))</f>
        <v>0.2</v>
      </c>
      <c r="H30" s="1253"/>
      <c r="I30" s="1788" t="s">
        <v>1597</v>
      </c>
      <c r="J30" s="1422"/>
      <c r="K30" s="1236"/>
      <c r="L30" s="1236"/>
      <c r="N30" s="1430" t="s">
        <v>1590</v>
      </c>
      <c r="O30" s="1431">
        <v>0.2</v>
      </c>
      <c r="P30" s="1431">
        <v>0.2</v>
      </c>
      <c r="Q30" s="1431">
        <v>0.2</v>
      </c>
      <c r="R30" s="1432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95</v>
      </c>
      <c r="G31" s="1252">
        <f>IF(ISNUMBER(FIND("砖木",B20)),O31,SUMPRODUCT((N30:N32=E31)*(O29:R29=B20)*(O30:R32)))</f>
        <v>0.5</v>
      </c>
      <c r="H31" s="1253"/>
      <c r="I31" s="1788"/>
      <c r="J31" s="1422"/>
      <c r="K31" s="1236"/>
      <c r="L31" s="1236"/>
      <c r="N31" s="1430" t="s">
        <v>1591</v>
      </c>
      <c r="O31" s="1431">
        <v>0.55000000000000004</v>
      </c>
      <c r="P31" s="1431">
        <v>0.45</v>
      </c>
      <c r="Q31" s="1431">
        <v>0.5</v>
      </c>
      <c r="R31" s="1432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95</v>
      </c>
      <c r="G32" s="1252">
        <f>IF(ISNUMBER(FIND("砖木",B20)),O32,SUMPRODUCT((N30:N32=E32)*(O29:R29=B20)*(O30:R32)))</f>
        <v>0.3</v>
      </c>
      <c r="H32" s="1253"/>
      <c r="I32" s="1788"/>
      <c r="J32" s="1422"/>
      <c r="K32" s="1236"/>
      <c r="L32" s="1236"/>
      <c r="N32" s="1430" t="s">
        <v>1592</v>
      </c>
      <c r="O32" s="1431">
        <v>0.25</v>
      </c>
      <c r="P32" s="1431">
        <v>0.35</v>
      </c>
      <c r="Q32" s="1431">
        <v>0.3</v>
      </c>
      <c r="R32" s="1432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0.91</v>
      </c>
      <c r="G33" s="1245"/>
      <c r="H33" s="1246"/>
      <c r="I33" s="1277"/>
      <c r="J33" s="1180"/>
      <c r="K33" s="1236"/>
      <c r="L33" s="1236"/>
      <c r="N33" s="1433"/>
      <c r="O33" s="1512">
        <f>SUM(O30:O32)</f>
        <v>1</v>
      </c>
      <c r="P33" s="1512">
        <f t="shared" ref="P33:R33" si="0">SUM(P30:P32)</f>
        <v>1</v>
      </c>
      <c r="Q33" s="1512">
        <f t="shared" si="0"/>
        <v>1</v>
      </c>
      <c r="R33" s="1513">
        <f t="shared" si="0"/>
        <v>1</v>
      </c>
    </row>
    <row r="34" spans="1:18" ht="15.75" customHeight="1" thickBot="1">
      <c r="A34" s="1235"/>
      <c r="B34" s="1236"/>
      <c r="C34" s="1236"/>
      <c r="D34" s="1796" t="s">
        <v>1291</v>
      </c>
      <c r="E34" s="1797"/>
      <c r="F34" s="1797"/>
      <c r="G34" s="1797"/>
      <c r="H34" s="1798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28342</v>
      </c>
      <c r="G35" s="1789" t="s">
        <v>1265</v>
      </c>
      <c r="H35" s="1790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140721.21109999999</v>
      </c>
      <c r="G36" s="1791" t="s">
        <v>1267</v>
      </c>
      <c r="H36" s="1792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5" sqref="C5:D5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1481</v>
      </c>
      <c r="B1" s="825"/>
      <c r="C1" s="723" t="s">
        <v>1184</v>
      </c>
      <c r="D1" s="523">
        <f>主表!B7</f>
        <v>49651.21</v>
      </c>
      <c r="E1" s="722" t="s">
        <v>1569</v>
      </c>
      <c r="F1" s="1338"/>
      <c r="G1" s="1514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 t="e">
        <f ca="1">C26</f>
        <v>#DIV/0!</v>
      </c>
      <c r="C2" s="683" t="s">
        <v>984</v>
      </c>
      <c r="D2" s="730" t="s">
        <v>987</v>
      </c>
      <c r="E2" s="731" t="str">
        <f>主表!B12</f>
        <v>住宅/居住</v>
      </c>
      <c r="F2" s="730" t="s">
        <v>914</v>
      </c>
      <c r="G2" s="732" t="str">
        <f>主表!B10</f>
        <v>二级</v>
      </c>
      <c r="H2" s="827" t="s">
        <v>915</v>
      </c>
      <c r="I2" s="681">
        <f>主表!B11</f>
        <v>0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15.75">
      <c r="A3" s="829" t="s">
        <v>916</v>
      </c>
      <c r="B3" s="32">
        <f>IF(F1="地上",C29,SUMIF(B33:B39,G1,C33:C39))</f>
        <v>0</v>
      </c>
      <c r="C3" s="683" t="s">
        <v>917</v>
      </c>
      <c r="D3" s="730" t="s">
        <v>256</v>
      </c>
      <c r="E3" s="734"/>
      <c r="F3" s="1486" t="s">
        <v>1227</v>
      </c>
      <c r="G3" s="238" t="e">
        <f>IF(F3="容积率",主表!B8,主表!B9)</f>
        <v>#DIV/0!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1773</v>
      </c>
      <c r="B4" s="748">
        <f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40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>
        <f>ROUND(IF(E2="商业",C6*C7+C16,(IF(E2="住宅/居住",C6*C12+C16,C6+C16))),0)</f>
        <v>-150</v>
      </c>
      <c r="D5" s="1694">
        <f>ROUND(IF(F17="增加",C6+C16,C6-C16),0)</f>
        <v>150</v>
      </c>
      <c r="E5" s="1694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0</v>
      </c>
      <c r="D6" s="838" t="s">
        <v>1482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806" t="str">
        <f>IF(E2="商业",IF(C8="不临58条商业街","",2),"")</f>
        <v/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807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1498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807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1499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807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1500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807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1501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806">
        <f>IF(E2="住宅/居住",2,"")</f>
        <v>2</v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808"/>
      <c r="B13" s="858" t="s">
        <v>1483</v>
      </c>
      <c r="C13" s="325" t="s">
        <v>1484</v>
      </c>
      <c r="D13" s="668" t="s">
        <v>1485</v>
      </c>
      <c r="E13" s="668" t="s">
        <v>1486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808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809"/>
      <c r="B15" s="869" t="s">
        <v>1487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806">
        <f>IF(E2="办公/综合",2,IF(E2="工业",2,IF(E2="住宅/居住",3,IF(E2="商业",IF(C8="不临58条商业街",2,3)))))</f>
        <v>3</v>
      </c>
      <c r="B16" s="842" t="s">
        <v>928</v>
      </c>
      <c r="C16" s="1499">
        <f>ROUND(IF(F17="与级别开发程度一致",0,(G17-E17)/C17),0)</f>
        <v>-150</v>
      </c>
      <c r="D16" s="1815" t="s">
        <v>931</v>
      </c>
      <c r="E16" s="1816"/>
      <c r="F16" s="1815" t="s">
        <v>929</v>
      </c>
      <c r="G16" s="1817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810"/>
      <c r="B17" s="1750" t="s">
        <v>930</v>
      </c>
      <c r="C17" s="1751">
        <f>SUMPRODUCT(('2014修正'!A2:A5=E2)*('2014修正'!B1:M1=G2)*('2014修正'!B2:M5))</f>
        <v>2.5</v>
      </c>
      <c r="D17" s="1752" t="str">
        <f>IF(OR(G2="八级",G2="九级",G2="十级",G2="十一级",G2="十二级"),"五通一平","七通一平")</f>
        <v>七通一平</v>
      </c>
      <c r="E17" s="1755">
        <f>SUMPRODUCT(('2014修正'!B1:M1=G2)*('2014修正'!B15:M15))</f>
        <v>375</v>
      </c>
      <c r="F17" s="1756"/>
      <c r="G17" s="1757">
        <f>SUM(H17:O17)</f>
        <v>0</v>
      </c>
      <c r="H17" s="1753">
        <f>SUMPRODUCT((七通一平=H16)*('2014修正'!B1:M1=G2)*('2014修正'!B6:M14))</f>
        <v>0</v>
      </c>
      <c r="I17" s="1753">
        <f>SUMPRODUCT((七通一平=I16)*('2014修正'!B1:M1=G2)*('2014修正'!B6:M14))</f>
        <v>0</v>
      </c>
      <c r="J17" s="1754">
        <f>SUMPRODUCT((七通一平=J16)*('2014修正'!B1:M1=G2)*('2014修正'!B6:M14))</f>
        <v>0</v>
      </c>
      <c r="K17" s="1753">
        <f>SUMPRODUCT((七通一平=K16)*('2014修正'!B1:M1=G2)*('2014修正'!B6:M14))</f>
        <v>0</v>
      </c>
      <c r="L17" s="1753">
        <f>SUMPRODUCT((七通一平=L16)*('2014修正'!B1:M1=G2)*('2014修正'!B6:M14))</f>
        <v>0</v>
      </c>
      <c r="M17" s="1753">
        <f>SUMPRODUCT((七通一平=M16)*('2014修正'!B1:M1=G2)*('2014修正'!B6:M14))</f>
        <v>0</v>
      </c>
      <c r="N17" s="1753">
        <f>SUMPRODUCT((七通一平=N16)*('2014修正'!B1:M1=G2)*('2014修正'!B6:M14))</f>
        <v>0</v>
      </c>
      <c r="O17" s="1754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41" t="s">
        <v>932</v>
      </c>
      <c r="B18" s="1742" t="s">
        <v>933</v>
      </c>
      <c r="C18" s="1743">
        <f>SUMIF('2014修正'!C18:C39,E3,'2014修正'!E18:E39)</f>
        <v>0</v>
      </c>
      <c r="D18" s="1744"/>
      <c r="E18" s="1745"/>
      <c r="F18" s="1745"/>
      <c r="G18" s="1745"/>
      <c r="H18" s="1745"/>
      <c r="I18" s="1746"/>
      <c r="J18" s="1747"/>
      <c r="K18" s="781"/>
      <c r="L18" s="1748" t="s">
        <v>972</v>
      </c>
      <c r="M18" s="1749">
        <f>ROUNDDOWN(IF(H19&gt;=E19,DATEDIF(E19,H19,"M")/3,DATEDIF(H19,E19,"M")/3),0)</f>
        <v>26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91">
        <f>IF(H19&lt;DATE(2014,8,28),0,ROUND(I19/F19,4))</f>
        <v>0</v>
      </c>
      <c r="D19" s="1494" t="s">
        <v>265</v>
      </c>
      <c r="E19" s="1533">
        <v>41640</v>
      </c>
      <c r="F19" s="1615">
        <f>ROUND(SUMIF(地价!B3:F3,E2,地价!B27:F27),0)</f>
        <v>423</v>
      </c>
      <c r="G19" s="1494" t="s">
        <v>266</v>
      </c>
      <c r="H19" s="1335">
        <f>主表!B4</f>
        <v>39212</v>
      </c>
      <c r="I19" s="1616">
        <f>ROUND(SUMPRODUCT((地价!A12:A27=YEAR(H19)&amp;"-"&amp;ROUNDUP(MONTH(H19)/3,0))*(地价!B3:F3=E2)*(地价!B12:F27)),0)</f>
        <v>0</v>
      </c>
      <c r="J19" s="1617"/>
      <c r="K19" s="781"/>
      <c r="L19" s="796" t="s">
        <v>267</v>
      </c>
      <c r="M19" s="797" t="s">
        <v>268</v>
      </c>
      <c r="N19" s="620" t="s">
        <v>1753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92">
        <f ca="1">ROUND(POWER(1+G20,J20-I20)*(POWER(1+G20,I20)-1)/(POWER(1+G20,J20)-1),4)</f>
        <v>0.99780000000000002</v>
      </c>
      <c r="D20" s="1495" t="s">
        <v>938</v>
      </c>
      <c r="E20" s="1496">
        <f ca="1">INDIRECT("'存贷款利率'!e"&amp;存贷款利率!$K$4)/100</f>
        <v>6.3899999999999998E-2</v>
      </c>
      <c r="F20" s="1493" t="s">
        <v>939</v>
      </c>
      <c r="G20" s="1497">
        <f ca="1">SUMIF(P18:S18,E2,P20:S20)</f>
        <v>7.2999999999999995E-2</v>
      </c>
      <c r="H20" s="1498" t="s">
        <v>1651</v>
      </c>
      <c r="I20" s="1040">
        <f>IF(H20="剩余土地使用年限",主表!B15,主表!B16)</f>
        <v>66.3</v>
      </c>
      <c r="J20" s="387">
        <f>IF(E2="住宅/居住",70,IF(E2="商业",40,50))</f>
        <v>70</v>
      </c>
      <c r="K20" s="781"/>
      <c r="L20" s="800" t="s">
        <v>281</v>
      </c>
      <c r="M20" s="670"/>
      <c r="N20" s="28">
        <f ca="1">'地价（废）'!G2</f>
        <v>1.15E-2</v>
      </c>
      <c r="O20" s="874" t="s">
        <v>939</v>
      </c>
      <c r="P20" s="622">
        <f ca="1">ROUND($E$20*(1+P19),3)</f>
        <v>0.08</v>
      </c>
      <c r="Q20" s="622">
        <f ca="1">ROUND($E$20*(1+Q19),3)</f>
        <v>7.6999999999999999E-2</v>
      </c>
      <c r="R20" s="622">
        <f ca="1">ROUND($E$20*(1+R19),3)</f>
        <v>7.2999999999999995E-2</v>
      </c>
      <c r="S20" s="951">
        <f ca="1">ROUND($E$20*(1+S19),3)</f>
        <v>7.0000000000000007E-2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 t="e">
        <f>IF(B21="容积率修正",IF(G3&lt;=10,D22,J22),C23)</f>
        <v>#DIV/0!</v>
      </c>
      <c r="D21" s="881"/>
      <c r="E21" s="881" t="s">
        <v>1777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1.2999999999999999E-2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7" t="s">
        <v>1494</v>
      </c>
      <c r="D22" s="1487" t="e">
        <f>IF(E22=G22,F22,IF(G3&lt;=10,ROUND(F22+(H22-F22)*(G3-E22)/(G22-E22),4),"——"))</f>
        <v>#DIV/0!</v>
      </c>
      <c r="E22" s="1502" t="e">
        <f>ROUNDDOWN(G3,1)</f>
        <v>#DIV/0!</v>
      </c>
      <c r="F22" s="1503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01" t="e">
        <f>ROUNDUP(G3,1)</f>
        <v>#DIV/0!</v>
      </c>
      <c r="H22" s="148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00" t="s">
        <v>284</v>
      </c>
      <c r="J22" s="389" t="e">
        <f>IF(G3&gt;10,D114,"——")</f>
        <v>#DIV/0!</v>
      </c>
      <c r="K22" s="781"/>
      <c r="L22" s="800" t="s">
        <v>1315</v>
      </c>
      <c r="M22" s="627"/>
      <c r="N22" s="28">
        <f ca="1">'地价（废）'!I2</f>
        <v>1.2999999999999999E-2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1.12E-2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1.04E-2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 t="e">
        <f ca="1">E29+SUM(E33:E39)</f>
        <v>#DIV/0!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 t="e">
        <f ca="1">E30+SUM(I33:I39)</f>
        <v>#DIV/0!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 t="e">
        <f ca="1">ROUND(C5*C18*C19*C20*C21*C24,0)</f>
        <v>#DIV/0!</v>
      </c>
      <c r="D29" s="621"/>
      <c r="E29" s="397" t="e">
        <f ca="1">ROUND(C29*D29,0)</f>
        <v>#DIV/0!</v>
      </c>
      <c r="F29" s="341" t="s">
        <v>1488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 t="e">
        <f ca="1">ROUND(IF(E2="工业",C29*M39,C29*M38),0)</f>
        <v>#DIV/0!</v>
      </c>
      <c r="D30" s="623"/>
      <c r="E30" s="397" t="e">
        <f ca="1">ROUND(C30*D30,0)</f>
        <v>#DIV/0!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7" t="s">
        <v>1769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812" t="s">
        <v>1757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813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0.5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813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0.36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814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0.3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0.3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0.3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0.25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4" t="s">
        <v>1770</v>
      </c>
      <c r="C41" s="1735">
        <f ca="1">ROUND(POWER(1+E41,H41-G41)*(POWER(1+E41,G41)-1)/(POWER(1+E41,H41)-1),4)</f>
        <v>0</v>
      </c>
      <c r="D41" s="26" t="s">
        <v>1767</v>
      </c>
      <c r="E41" s="1733">
        <f ca="1">G20</f>
        <v>7.2999999999999995E-2</v>
      </c>
      <c r="F41" s="26" t="s">
        <v>1768</v>
      </c>
      <c r="G41" s="1736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1468</v>
      </c>
      <c r="E47" s="809" t="s">
        <v>1469</v>
      </c>
      <c r="F47" s="938" t="s">
        <v>1144</v>
      </c>
      <c r="G47" s="248" t="s">
        <v>1490</v>
      </c>
      <c r="H47" s="939" t="s">
        <v>1163</v>
      </c>
      <c r="I47" s="248" t="s">
        <v>1489</v>
      </c>
      <c r="J47" s="810" t="s">
        <v>1470</v>
      </c>
      <c r="K47" s="810" t="s">
        <v>1471</v>
      </c>
      <c r="L47" s="810" t="s">
        <v>1472</v>
      </c>
      <c r="M47" s="810" t="s">
        <v>1473</v>
      </c>
      <c r="N47" s="810" t="s">
        <v>1474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8" t="s">
        <v>1754</v>
      </c>
      <c r="C51" s="811"/>
      <c r="D51" s="490">
        <f t="shared" si="4"/>
        <v>0</v>
      </c>
      <c r="E51" s="255"/>
      <c r="F51" s="953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89" t="s">
        <v>1755</v>
      </c>
      <c r="C53" s="811"/>
      <c r="D53" s="490">
        <f t="shared" si="4"/>
        <v>0</v>
      </c>
      <c r="E53" s="255"/>
      <c r="F53" s="953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1468</v>
      </c>
      <c r="E58" s="809" t="s">
        <v>1475</v>
      </c>
      <c r="F58" s="938" t="s">
        <v>1144</v>
      </c>
      <c r="G58" s="248" t="s">
        <v>1491</v>
      </c>
      <c r="H58" s="939" t="s">
        <v>1164</v>
      </c>
      <c r="I58" s="248" t="s">
        <v>1489</v>
      </c>
      <c r="J58" s="810" t="s">
        <v>14</v>
      </c>
      <c r="K58" s="810" t="s">
        <v>13</v>
      </c>
      <c r="L58" s="810" t="s">
        <v>1476</v>
      </c>
      <c r="M58" s="810" t="s">
        <v>1477</v>
      </c>
      <c r="N58" s="810" t="s">
        <v>1478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8" t="s">
        <v>1754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89" t="s">
        <v>1755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1468</v>
      </c>
      <c r="E69" s="809" t="s">
        <v>1475</v>
      </c>
      <c r="F69" s="938" t="s">
        <v>1144</v>
      </c>
      <c r="G69" s="248" t="s">
        <v>1491</v>
      </c>
      <c r="H69" s="939" t="s">
        <v>1164</v>
      </c>
      <c r="I69" s="248" t="s">
        <v>1489</v>
      </c>
      <c r="J69" s="810" t="s">
        <v>14</v>
      </c>
      <c r="K69" s="810" t="s">
        <v>13</v>
      </c>
      <c r="L69" s="810" t="s">
        <v>1476</v>
      </c>
      <c r="M69" s="810" t="s">
        <v>1477</v>
      </c>
      <c r="N69" s="810" t="s">
        <v>1478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89" t="s">
        <v>1755</v>
      </c>
      <c r="C76" s="811"/>
      <c r="D76" s="490">
        <f t="shared" si="14"/>
        <v>0</v>
      </c>
      <c r="E76" s="263"/>
      <c r="F76" s="954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1468</v>
      </c>
      <c r="E80" s="809" t="s">
        <v>1475</v>
      </c>
      <c r="F80" s="938" t="s">
        <v>1144</v>
      </c>
      <c r="G80" s="248" t="s">
        <v>1491</v>
      </c>
      <c r="H80" s="939" t="s">
        <v>1164</v>
      </c>
      <c r="I80" s="248" t="s">
        <v>1489</v>
      </c>
      <c r="J80" s="810" t="s">
        <v>14</v>
      </c>
      <c r="K80" s="810" t="s">
        <v>13</v>
      </c>
      <c r="L80" s="810" t="s">
        <v>1476</v>
      </c>
      <c r="M80" s="810" t="s">
        <v>1477</v>
      </c>
      <c r="N80" s="810" t="s">
        <v>1478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89" t="s">
        <v>1755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811" t="s">
        <v>1165</v>
      </c>
      <c r="B91" s="1811"/>
      <c r="C91" s="1811"/>
      <c r="D91" s="1811"/>
      <c r="E91" s="1811"/>
      <c r="F91" s="1811"/>
      <c r="G91" s="1811"/>
      <c r="H91" s="1811"/>
      <c r="I91" s="1811"/>
      <c r="J91" s="1811"/>
      <c r="K91" s="669"/>
      <c r="L91" s="669"/>
      <c r="M91" s="669"/>
      <c r="N91" s="669"/>
    </row>
    <row r="92" spans="1:37">
      <c r="A92" s="1800" t="s">
        <v>1166</v>
      </c>
      <c r="B92" s="1800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0"/>
      <c r="B93" s="1800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801" t="s">
        <v>1492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802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802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802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802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802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802"/>
      <c r="B100" s="955" t="s">
        <v>1495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803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801" t="s">
        <v>1493</v>
      </c>
      <c r="B102" s="959" t="s">
        <v>1496</v>
      </c>
      <c r="C102" s="960" t="e">
        <f>$G$3</f>
        <v>#DIV/0!</v>
      </c>
      <c r="D102" s="960" t="e">
        <f t="shared" ref="D102:N102" si="25">$G$3</f>
        <v>#DIV/0!</v>
      </c>
      <c r="E102" s="960" t="e">
        <f t="shared" si="25"/>
        <v>#DIV/0!</v>
      </c>
      <c r="F102" s="960" t="e">
        <f t="shared" si="25"/>
        <v>#DIV/0!</v>
      </c>
      <c r="G102" s="960" t="e">
        <f t="shared" si="25"/>
        <v>#DIV/0!</v>
      </c>
      <c r="H102" s="960" t="e">
        <f t="shared" si="25"/>
        <v>#DIV/0!</v>
      </c>
      <c r="I102" s="960" t="e">
        <f t="shared" si="25"/>
        <v>#DIV/0!</v>
      </c>
      <c r="J102" s="960" t="e">
        <f t="shared" si="25"/>
        <v>#DIV/0!</v>
      </c>
      <c r="K102" s="960" t="e">
        <f t="shared" si="25"/>
        <v>#DIV/0!</v>
      </c>
      <c r="L102" s="960" t="e">
        <f t="shared" si="25"/>
        <v>#DIV/0!</v>
      </c>
      <c r="M102" s="960" t="e">
        <f t="shared" si="25"/>
        <v>#DIV/0!</v>
      </c>
      <c r="N102" s="960" t="e">
        <f t="shared" si="25"/>
        <v>#DIV/0!</v>
      </c>
    </row>
    <row r="103" spans="1:14" ht="12.75">
      <c r="A103" s="1802"/>
      <c r="B103" s="955">
        <v>1</v>
      </c>
      <c r="C103" s="956" t="e">
        <f>1.9362/C102</f>
        <v>#DIV/0!</v>
      </c>
      <c r="D103" s="956" t="e">
        <f>1.9362/D102</f>
        <v>#DIV/0!</v>
      </c>
      <c r="E103" s="956" t="e">
        <f>1.8629/E102</f>
        <v>#DIV/0!</v>
      </c>
      <c r="F103" s="956" t="e">
        <f>1.8629/F102</f>
        <v>#DIV/0!</v>
      </c>
      <c r="G103" s="956" t="e">
        <f>1.8629/G102</f>
        <v>#DIV/0!</v>
      </c>
      <c r="H103" s="956" t="e">
        <f>1.8629/H102</f>
        <v>#DIV/0!</v>
      </c>
      <c r="I103" s="956" t="e">
        <f>1.8629/I102</f>
        <v>#DIV/0!</v>
      </c>
      <c r="J103" s="956" t="e">
        <f>1.942/J102</f>
        <v>#DIV/0!</v>
      </c>
      <c r="K103" s="956" t="e">
        <f>1.942/K102</f>
        <v>#DIV/0!</v>
      </c>
      <c r="L103" s="956" t="e">
        <f>1.942/L102</f>
        <v>#DIV/0!</v>
      </c>
      <c r="M103" s="956" t="e">
        <f>1.942/M102</f>
        <v>#DIV/0!</v>
      </c>
      <c r="N103" s="956" t="e">
        <f>1.942/N102</f>
        <v>#DIV/0!</v>
      </c>
    </row>
    <row r="104" spans="1:14" ht="12.75">
      <c r="A104" s="1802"/>
      <c r="B104" s="955">
        <v>2</v>
      </c>
      <c r="C104" s="956" t="e">
        <f>1.4198/C102</f>
        <v>#DIV/0!</v>
      </c>
      <c r="D104" s="956" t="e">
        <f>1.4198/D102</f>
        <v>#DIV/0!</v>
      </c>
      <c r="E104" s="956" t="e">
        <f>1.3372/E102</f>
        <v>#DIV/0!</v>
      </c>
      <c r="F104" s="956" t="e">
        <f>1.3372/F102</f>
        <v>#DIV/0!</v>
      </c>
      <c r="G104" s="956" t="e">
        <f>1.3372/G102</f>
        <v>#DIV/0!</v>
      </c>
      <c r="H104" s="956" t="e">
        <f>1.3372/H102</f>
        <v>#DIV/0!</v>
      </c>
      <c r="I104" s="956" t="e">
        <f>1.3372/I102</f>
        <v>#DIV/0!</v>
      </c>
      <c r="J104" s="956" t="e">
        <f>1.2799/J102</f>
        <v>#DIV/0!</v>
      </c>
      <c r="K104" s="956" t="e">
        <f>1.2799/K102</f>
        <v>#DIV/0!</v>
      </c>
      <c r="L104" s="956" t="e">
        <f>1.2799/L102</f>
        <v>#DIV/0!</v>
      </c>
      <c r="M104" s="956" t="e">
        <f>1.2799/M102</f>
        <v>#DIV/0!</v>
      </c>
      <c r="N104" s="956" t="e">
        <f>1.2799/N102</f>
        <v>#DIV/0!</v>
      </c>
    </row>
    <row r="105" spans="1:14" ht="12.75">
      <c r="A105" s="1802"/>
      <c r="B105" s="955">
        <v>3</v>
      </c>
      <c r="C105" s="956" t="e">
        <f>1.1594/C102</f>
        <v>#DIV/0!</v>
      </c>
      <c r="D105" s="956" t="e">
        <f>1.1594/D102</f>
        <v>#DIV/0!</v>
      </c>
      <c r="E105" s="956" t="e">
        <f>1.0788/E102</f>
        <v>#DIV/0!</v>
      </c>
      <c r="F105" s="956" t="e">
        <f>1.0788/F102</f>
        <v>#DIV/0!</v>
      </c>
      <c r="G105" s="956" t="e">
        <f>1.0788/G102</f>
        <v>#DIV/0!</v>
      </c>
      <c r="H105" s="956" t="e">
        <f>1.0788/H102</f>
        <v>#DIV/0!</v>
      </c>
      <c r="I105" s="956" t="e">
        <f>1.0788/I102</f>
        <v>#DIV/0!</v>
      </c>
      <c r="J105" s="956" t="e">
        <f>1.0072/J102</f>
        <v>#DIV/0!</v>
      </c>
      <c r="K105" s="956" t="e">
        <f>1.0072/K102</f>
        <v>#DIV/0!</v>
      </c>
      <c r="L105" s="956" t="e">
        <f>1.0072/L102</f>
        <v>#DIV/0!</v>
      </c>
      <c r="M105" s="956" t="e">
        <f>1.0072/M102</f>
        <v>#DIV/0!</v>
      </c>
      <c r="N105" s="956" t="e">
        <f>1.0072/N102</f>
        <v>#DIV/0!</v>
      </c>
    </row>
    <row r="106" spans="1:14" ht="12.75">
      <c r="A106" s="1802"/>
      <c r="B106" s="955">
        <v>4</v>
      </c>
      <c r="C106" s="956" t="e">
        <f>0.9622/C102</f>
        <v>#DIV/0!</v>
      </c>
      <c r="D106" s="956" t="e">
        <f>0.9622/D102</f>
        <v>#DIV/0!</v>
      </c>
      <c r="E106" s="956" t="e">
        <f>0.8656/E102</f>
        <v>#DIV/0!</v>
      </c>
      <c r="F106" s="956" t="e">
        <f>0.8656/F102</f>
        <v>#DIV/0!</v>
      </c>
      <c r="G106" s="956" t="e">
        <f>0.8656/G102</f>
        <v>#DIV/0!</v>
      </c>
      <c r="H106" s="956" t="e">
        <f>0.8656/H102</f>
        <v>#DIV/0!</v>
      </c>
      <c r="I106" s="956" t="e">
        <f>0.8656/I102</f>
        <v>#DIV/0!</v>
      </c>
      <c r="J106" s="956" t="e">
        <f>0.7525/J102</f>
        <v>#DIV/0!</v>
      </c>
      <c r="K106" s="956" t="e">
        <f>0.7525/K102</f>
        <v>#DIV/0!</v>
      </c>
      <c r="L106" s="956" t="e">
        <f>0.7525/L102</f>
        <v>#DIV/0!</v>
      </c>
      <c r="M106" s="956" t="e">
        <f>0.7525/M102</f>
        <v>#DIV/0!</v>
      </c>
      <c r="N106" s="956" t="e">
        <f>0.7525/N102</f>
        <v>#DIV/0!</v>
      </c>
    </row>
    <row r="107" spans="1:14" ht="12.75">
      <c r="A107" s="1802"/>
      <c r="B107" s="955">
        <v>5</v>
      </c>
      <c r="C107" s="956" t="e">
        <f>0.8417/C102</f>
        <v>#DIV/0!</v>
      </c>
      <c r="D107" s="956" t="e">
        <f>0.8417/D102</f>
        <v>#DIV/0!</v>
      </c>
      <c r="E107" s="956" t="e">
        <f>0.7371/E102</f>
        <v>#DIV/0!</v>
      </c>
      <c r="F107" s="956" t="e">
        <f>0.7371/F102</f>
        <v>#DIV/0!</v>
      </c>
      <c r="G107" s="956" t="e">
        <f>0.7371/G102</f>
        <v>#DIV/0!</v>
      </c>
      <c r="H107" s="956" t="e">
        <f>0.7371/H102</f>
        <v>#DIV/0!</v>
      </c>
      <c r="I107" s="956" t="e">
        <f>0.7371/I102</f>
        <v>#DIV/0!</v>
      </c>
      <c r="J107" s="956" t="e">
        <f>0.5659/J102</f>
        <v>#DIV/0!</v>
      </c>
      <c r="K107" s="956" t="e">
        <f>0.5659/K102</f>
        <v>#DIV/0!</v>
      </c>
      <c r="L107" s="956" t="e">
        <f>0.5659/L102</f>
        <v>#DIV/0!</v>
      </c>
      <c r="M107" s="956" t="e">
        <f>0.5659/M102</f>
        <v>#DIV/0!</v>
      </c>
      <c r="N107" s="956" t="e">
        <f>0.5659/N102</f>
        <v>#DIV/0!</v>
      </c>
    </row>
    <row r="108" spans="1:14" ht="12.75">
      <c r="A108" s="1802"/>
      <c r="B108" s="955">
        <v>6</v>
      </c>
      <c r="C108" s="956" t="e">
        <f>0.7608/C102</f>
        <v>#DIV/0!</v>
      </c>
      <c r="D108" s="956" t="e">
        <f>0.7608/D102</f>
        <v>#DIV/0!</v>
      </c>
      <c r="E108" s="956" t="e">
        <f>0.6482/E102</f>
        <v>#DIV/0!</v>
      </c>
      <c r="F108" s="956" t="e">
        <f>0.6482/F102</f>
        <v>#DIV/0!</v>
      </c>
      <c r="G108" s="956" t="e">
        <f>0.6482/G102</f>
        <v>#DIV/0!</v>
      </c>
      <c r="H108" s="956" t="e">
        <f>0.6482/H102</f>
        <v>#DIV/0!</v>
      </c>
      <c r="I108" s="956" t="e">
        <f>0.6482/I102</f>
        <v>#DIV/0!</v>
      </c>
      <c r="J108" s="956" t="e">
        <f>0.4525/J102</f>
        <v>#DIV/0!</v>
      </c>
      <c r="K108" s="956" t="e">
        <f>0.4525/K102</f>
        <v>#DIV/0!</v>
      </c>
      <c r="L108" s="956" t="e">
        <f>0.4525/L102</f>
        <v>#DIV/0!</v>
      </c>
      <c r="M108" s="956" t="e">
        <f>0.4525/M102</f>
        <v>#DIV/0!</v>
      </c>
      <c r="N108" s="956" t="e">
        <f>0.4525/N102</f>
        <v>#DIV/0!</v>
      </c>
    </row>
    <row r="109" spans="1:14" ht="12.75">
      <c r="A109" s="1802"/>
      <c r="B109" s="1804" t="s">
        <v>1497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803"/>
      <c r="B110" s="1805"/>
      <c r="C110" s="958" t="e">
        <f>(-0.163*(C109^2)-0.59*C109+7617)*(10^(-4))/C102</f>
        <v>#DIV/0!</v>
      </c>
      <c r="D110" s="958" t="e">
        <f>(-0.163*(D109^2)-0.59*D109+7617)*(10^(-4))/D102</f>
        <v>#DIV/0!</v>
      </c>
      <c r="E110" s="958" t="e">
        <f>(-0.161*(E109^2)-7.509*E109+6533)*(10^(-4))/E102</f>
        <v>#DIV/0!</v>
      </c>
      <c r="F110" s="958" t="e">
        <f>(-0.161*(F109^2)-7.509*F109+6533)*(10^(-4))/F102</f>
        <v>#DIV/0!</v>
      </c>
      <c r="G110" s="958" t="e">
        <f>(-0.161*(G109^2)-7.509*G109+6533)*(10^(-4))/G102</f>
        <v>#DIV/0!</v>
      </c>
      <c r="H110" s="958" t="e">
        <f>(-0.161*(H109^2)-7.509*H109+6533)*(10^(-4))/H102</f>
        <v>#DIV/0!</v>
      </c>
      <c r="I110" s="958" t="e">
        <f>(-0.161*(I109^2)-7.509*I109+6533)*(10^(-4))/I102</f>
        <v>#DIV/0!</v>
      </c>
      <c r="J110" s="958" t="e">
        <f>(-0.214*(J109^2)-21.991*J109+4665)*(10^(-4))/J102</f>
        <v>#DIV/0!</v>
      </c>
      <c r="K110" s="958" t="e">
        <f>(-0.214*(K109^2)-21.991*K109+4665)*(10^(-4))/K102</f>
        <v>#DIV/0!</v>
      </c>
      <c r="L110" s="958" t="e">
        <f>(-0.214*(L109^2)-21.991*L109+4665)*(10^(-4))/L102</f>
        <v>#DIV/0!</v>
      </c>
      <c r="M110" s="958" t="e">
        <f>(-0.214*(M109^2)-21.991*M109+4665)*(10^(-4))/M102</f>
        <v>#DIV/0!</v>
      </c>
      <c r="N110" s="958" t="e">
        <f>(-0.214*(N109^2)-21.991*N109+4665)*(10^(-4))/N102</f>
        <v>#DIV/0!</v>
      </c>
    </row>
    <row r="111" spans="1:14">
      <c r="A111" s="1799" t="s">
        <v>1181</v>
      </c>
      <c r="B111" s="1799"/>
      <c r="C111" s="1799"/>
      <c r="D111" s="1799"/>
      <c r="E111" s="1799"/>
      <c r="F111" s="1799"/>
      <c r="G111" s="1799"/>
      <c r="H111" s="1799"/>
      <c r="I111" s="1799"/>
      <c r="J111" s="1799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1479</v>
      </c>
      <c r="B114" s="495" t="e">
        <f>G3</f>
        <v>#DIV/0!</v>
      </c>
      <c r="C114" s="941" t="s">
        <v>1480</v>
      </c>
      <c r="D114" s="351" t="e">
        <f>SUMPRODUCT((A116:A119=F114)*(B115:M115=H114)*B116:M119)</f>
        <v>#DIV/0!</v>
      </c>
      <c r="E114" s="732" t="s">
        <v>1166</v>
      </c>
      <c r="F114" s="942" t="str">
        <f>E2</f>
        <v>住宅/居住</v>
      </c>
      <c r="G114" s="732" t="s">
        <v>1183</v>
      </c>
      <c r="H114" s="942" t="str">
        <f>G2</f>
        <v>二级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4" t="s">
        <v>1315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4" t="s">
        <v>1316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5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8" t="s">
        <v>988</v>
      </c>
      <c r="B1" s="1818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8" t="s">
        <v>292</v>
      </c>
      <c r="B1" s="1818"/>
      <c r="C1" s="1818"/>
      <c r="D1" s="1818"/>
      <c r="E1" s="1818"/>
      <c r="F1" s="1818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19" t="s">
        <v>305</v>
      </c>
      <c r="B2" s="1819"/>
      <c r="C2" s="1819"/>
      <c r="D2" s="1819"/>
      <c r="E2" s="1819"/>
      <c r="F2" s="1819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20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21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2017-02-10T06:38:27Z</cp:lastPrinted>
  <dcterms:created xsi:type="dcterms:W3CDTF">2015-07-13T07:17:23Z</dcterms:created>
  <dcterms:modified xsi:type="dcterms:W3CDTF">2019-08-16T06:50:55Z</dcterms:modified>
</cp:coreProperties>
</file>