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070" yWindow="90" windowWidth="14655" windowHeight="1176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存贷款利率!$B$11:$J$64</definedName>
    <definedName name="_xlnm.Print_Area" localSheetId="18">地价!$A$1:$V$84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地价!$A$3:$A$35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Q6" i="67" l="1"/>
  <c r="P6" i="67"/>
  <c r="O6" i="67"/>
  <c r="N6" i="67"/>
  <c r="G14" i="65" l="1"/>
  <c r="F14" i="65"/>
  <c r="E14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V11" i="67" l="1"/>
  <c r="U11" i="67"/>
  <c r="T11" i="67"/>
  <c r="S11" i="67"/>
  <c r="Q10" i="67" l="1"/>
  <c r="P10" i="67"/>
  <c r="O10" i="67"/>
  <c r="N10" i="67"/>
  <c r="Q11" i="67" l="1"/>
  <c r="F11" i="67" s="1"/>
  <c r="F10" i="67" s="1"/>
  <c r="F9" i="67" s="1"/>
  <c r="F8" i="67" s="1"/>
  <c r="F7" i="67" s="1"/>
  <c r="P11" i="67"/>
  <c r="O11" i="67"/>
  <c r="C11" i="67" s="1"/>
  <c r="N11" i="67"/>
  <c r="B11" i="67" s="1"/>
  <c r="B10" i="67" s="1"/>
  <c r="B9" i="67" s="1"/>
  <c r="B8" i="67" s="1"/>
  <c r="B7" i="67" s="1"/>
  <c r="Q12" i="67"/>
  <c r="F12" i="67"/>
  <c r="P12" i="67"/>
  <c r="E12" i="67"/>
  <c r="E11" i="67"/>
  <c r="E10" i="67" s="1"/>
  <c r="E9" i="67" s="1"/>
  <c r="E8" i="67" s="1"/>
  <c r="E7" i="67" s="1"/>
  <c r="O12" i="67"/>
  <c r="C12" i="67"/>
  <c r="N12" i="67"/>
  <c r="B12" i="67"/>
  <c r="H9" i="59"/>
  <c r="Q13" i="67"/>
  <c r="P13" i="67"/>
  <c r="O13" i="67"/>
  <c r="N13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4" i="67"/>
  <c r="P14" i="67"/>
  <c r="O14" i="67"/>
  <c r="N14" i="67"/>
  <c r="Q15" i="67"/>
  <c r="P15" i="67"/>
  <c r="O15" i="67"/>
  <c r="N15" i="67"/>
  <c r="L4" i="67"/>
  <c r="K4" i="67"/>
  <c r="J4" i="67"/>
  <c r="I4" i="67"/>
  <c r="Q16" i="67"/>
  <c r="P16" i="67"/>
  <c r="O16" i="67"/>
  <c r="N16" i="67"/>
  <c r="Q17" i="67"/>
  <c r="P17" i="67"/>
  <c r="O17" i="67"/>
  <c r="N17" i="67"/>
  <c r="D20" i="67"/>
  <c r="Q18" i="67"/>
  <c r="P18" i="67"/>
  <c r="O18" i="67"/>
  <c r="N18" i="67"/>
  <c r="Q19" i="67"/>
  <c r="P19" i="67"/>
  <c r="E19" i="67"/>
  <c r="O19" i="67"/>
  <c r="N19" i="67"/>
  <c r="N20" i="67"/>
  <c r="O20" i="67"/>
  <c r="P20" i="67"/>
  <c r="Q20" i="67"/>
  <c r="B15" i="59"/>
  <c r="C24" i="64" s="1"/>
  <c r="N21" i="67"/>
  <c r="O21" i="67"/>
  <c r="P21" i="67"/>
  <c r="Q21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2" i="67"/>
  <c r="O22" i="67"/>
  <c r="P22" i="67"/>
  <c r="Q22" i="67"/>
  <c r="N23" i="67"/>
  <c r="O23" i="67"/>
  <c r="P23" i="67"/>
  <c r="Q23" i="67"/>
  <c r="C22" i="67"/>
  <c r="C21" i="67"/>
  <c r="B23" i="67"/>
  <c r="S23" i="67"/>
  <c r="F23" i="67"/>
  <c r="V23" i="67"/>
  <c r="E23" i="67"/>
  <c r="U23" i="67"/>
  <c r="C23" i="67"/>
  <c r="T23" i="67"/>
  <c r="D21" i="67"/>
  <c r="D22" i="67"/>
  <c r="E22" i="67"/>
  <c r="E21" i="67"/>
  <c r="B22" i="67"/>
  <c r="B21" i="67"/>
  <c r="B19" i="67"/>
  <c r="B18" i="67"/>
  <c r="B17" i="67"/>
  <c r="F22" i="67"/>
  <c r="F21" i="67"/>
  <c r="F19" i="67"/>
  <c r="D23" i="67"/>
  <c r="S19" i="67"/>
  <c r="F18" i="67"/>
  <c r="F17" i="67"/>
  <c r="F16" i="67"/>
  <c r="F15" i="67"/>
  <c r="V19" i="67"/>
  <c r="C19" i="67"/>
  <c r="T19" i="67"/>
  <c r="D84" i="67"/>
  <c r="D80" i="67"/>
  <c r="D76" i="67"/>
  <c r="D72" i="67"/>
  <c r="D68" i="67"/>
  <c r="D64" i="67"/>
  <c r="D60" i="67"/>
  <c r="D56" i="67"/>
  <c r="D52" i="67"/>
  <c r="D48" i="67"/>
  <c r="D44" i="67"/>
  <c r="D43" i="67"/>
  <c r="D40" i="67"/>
  <c r="D36" i="67"/>
  <c r="D32" i="67"/>
  <c r="D28" i="67"/>
  <c r="D24" i="67"/>
  <c r="F83" i="67"/>
  <c r="E83" i="67"/>
  <c r="C83" i="67"/>
  <c r="D83" i="67"/>
  <c r="B83" i="67"/>
  <c r="F82" i="67"/>
  <c r="E82" i="67"/>
  <c r="C82" i="67"/>
  <c r="D82" i="67"/>
  <c r="B82" i="67"/>
  <c r="F81" i="67"/>
  <c r="E81" i="67"/>
  <c r="C81" i="67"/>
  <c r="D81" i="67"/>
  <c r="B81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Q75" i="67"/>
  <c r="P75" i="67"/>
  <c r="O75" i="67"/>
  <c r="N75" i="67"/>
  <c r="F75" i="67"/>
  <c r="V75" i="67"/>
  <c r="E75" i="67"/>
  <c r="U75" i="67"/>
  <c r="C75" i="67"/>
  <c r="T75" i="67"/>
  <c r="B75" i="67"/>
  <c r="S75" i="67"/>
  <c r="Q74" i="67"/>
  <c r="P74" i="67"/>
  <c r="O74" i="67"/>
  <c r="N74" i="67"/>
  <c r="F74" i="67"/>
  <c r="E74" i="67"/>
  <c r="C74" i="67"/>
  <c r="D74" i="67"/>
  <c r="B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3" i="67"/>
  <c r="V63" i="67"/>
  <c r="E63" i="67"/>
  <c r="U63" i="67"/>
  <c r="C63" i="67"/>
  <c r="T63" i="67"/>
  <c r="B63" i="67"/>
  <c r="S63" i="67"/>
  <c r="F62" i="67"/>
  <c r="Q62" i="67"/>
  <c r="E62" i="67"/>
  <c r="P62" i="67"/>
  <c r="C62" i="67"/>
  <c r="O62" i="67"/>
  <c r="B62" i="67"/>
  <c r="N62" i="67"/>
  <c r="F61" i="67"/>
  <c r="Q61" i="67"/>
  <c r="E61" i="67"/>
  <c r="P61" i="67"/>
  <c r="C61" i="67"/>
  <c r="O61" i="67"/>
  <c r="B61" i="67"/>
  <c r="N61" i="67"/>
  <c r="Q60" i="67"/>
  <c r="P60" i="67"/>
  <c r="O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F57" i="67"/>
  <c r="F58" i="67"/>
  <c r="F59" i="67"/>
  <c r="V59" i="67"/>
  <c r="P56" i="67"/>
  <c r="E57" i="67"/>
  <c r="E58" i="67"/>
  <c r="E59" i="67"/>
  <c r="U59" i="67"/>
  <c r="O56" i="67"/>
  <c r="C57" i="67"/>
  <c r="C58" i="67"/>
  <c r="C59" i="67"/>
  <c r="T59" i="67"/>
  <c r="N56" i="67"/>
  <c r="B57" i="67"/>
  <c r="B58" i="67"/>
  <c r="B59" i="67"/>
  <c r="S59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T43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D42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D19" i="67"/>
  <c r="C18" i="67"/>
  <c r="C17" i="67"/>
  <c r="D25" i="67"/>
  <c r="D27" i="67"/>
  <c r="D29" i="67"/>
  <c r="D31" i="67"/>
  <c r="D33" i="67"/>
  <c r="D35" i="67"/>
  <c r="D37" i="67"/>
  <c r="D39" i="67"/>
  <c r="D41" i="67"/>
  <c r="D45" i="67"/>
  <c r="D47" i="67"/>
  <c r="D49" i="67"/>
  <c r="D51" i="67"/>
  <c r="D53" i="67"/>
  <c r="D55" i="67"/>
  <c r="D57" i="67"/>
  <c r="D59" i="67"/>
  <c r="D61" i="67"/>
  <c r="D63" i="67"/>
  <c r="D67" i="67"/>
  <c r="D71" i="67"/>
  <c r="D75" i="67"/>
  <c r="D26" i="67"/>
  <c r="D30" i="67"/>
  <c r="D34" i="67"/>
  <c r="D38" i="67"/>
  <c r="D46" i="67"/>
  <c r="D50" i="67"/>
  <c r="D54" i="67"/>
  <c r="D58" i="67"/>
  <c r="D62" i="67"/>
  <c r="N63" i="67"/>
  <c r="P63" i="67"/>
  <c r="O63" i="67"/>
  <c r="Q63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8" i="67"/>
  <c r="H6" i="59"/>
  <c r="G3" i="63"/>
  <c r="G3" i="4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F29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J20" i="43"/>
  <c r="A16" i="43"/>
  <c r="J71" i="63"/>
  <c r="I71" i="63" s="1"/>
  <c r="D20" i="63"/>
  <c r="D19" i="63"/>
  <c r="K1" i="60"/>
  <c r="F45" i="63"/>
  <c r="G45" i="63" s="1"/>
  <c r="D43" i="63"/>
  <c r="D42" i="63"/>
  <c r="F54" i="63"/>
  <c r="J56" i="63"/>
  <c r="I56" i="63" s="1"/>
  <c r="J52" i="63"/>
  <c r="I52" i="63" s="1"/>
  <c r="D60" i="63"/>
  <c r="F64" i="63"/>
  <c r="G64" i="63" s="1"/>
  <c r="D64" i="63" s="1"/>
  <c r="F62" i="63"/>
  <c r="G62" i="63" s="1"/>
  <c r="D62" i="63" s="1"/>
  <c r="J65" i="63"/>
  <c r="I65" i="63" s="1"/>
  <c r="J61" i="63"/>
  <c r="I61" i="63" s="1"/>
  <c r="D70" i="63"/>
  <c r="F74" i="63"/>
  <c r="G74" i="63" s="1"/>
  <c r="D72" i="63"/>
  <c r="D74" i="63"/>
  <c r="J72" i="63"/>
  <c r="I72" i="63" s="1"/>
  <c r="F46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D75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54" i="63"/>
  <c r="D54" i="63"/>
  <c r="D45" i="63"/>
  <c r="D63" i="63"/>
  <c r="D55" i="63"/>
  <c r="G46" i="63"/>
  <c r="D46" i="63"/>
  <c r="D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F22" i="43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D75" i="43"/>
  <c r="D73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9" i="43"/>
  <c r="H9" i="44"/>
  <c r="H7" i="44"/>
  <c r="F35" i="43"/>
  <c r="I17" i="43"/>
  <c r="G22" i="43"/>
  <c r="E22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/>
  <c r="J119" i="43" s="1"/>
  <c r="K119" i="43" s="1"/>
  <c r="L119" i="43" s="1"/>
  <c r="M119" i="43" s="1"/>
  <c r="M102" i="43"/>
  <c r="M107" i="43"/>
  <c r="K102" i="43"/>
  <c r="I102" i="43"/>
  <c r="I108" i="43" s="1"/>
  <c r="G102" i="43"/>
  <c r="G108" i="43" s="1"/>
  <c r="E102" i="43"/>
  <c r="E110" i="43" s="1"/>
  <c r="C102" i="43"/>
  <c r="C108" i="43"/>
  <c r="N102" i="43"/>
  <c r="N110" i="43"/>
  <c r="L102" i="43"/>
  <c r="L108" i="43"/>
  <c r="J102" i="43"/>
  <c r="J108" i="43"/>
  <c r="H102" i="43"/>
  <c r="F102" i="43"/>
  <c r="F110" i="43" s="1"/>
  <c r="D102" i="43"/>
  <c r="D108" i="43"/>
  <c r="AA10" i="39"/>
  <c r="AB10" i="39"/>
  <c r="S14" i="39"/>
  <c r="AC44" i="39"/>
  <c r="J12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59" i="43"/>
  <c r="B57" i="43" s="1"/>
  <c r="D50" i="43"/>
  <c r="E48" i="43" s="1"/>
  <c r="B46" i="43" s="1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E8" i="43"/>
  <c r="E10" i="43"/>
  <c r="E11" i="43"/>
  <c r="E9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B12" i="39"/>
  <c r="N103" i="43"/>
  <c r="D116" i="43"/>
  <c r="E116" i="43" s="1"/>
  <c r="J110" i="43"/>
  <c r="I117" i="43"/>
  <c r="J117" i="43" s="1"/>
  <c r="K117" i="43" s="1"/>
  <c r="L117" i="43" s="1"/>
  <c r="M117" i="43" s="1"/>
  <c r="B118" i="43"/>
  <c r="C118" i="43" s="1"/>
  <c r="M103" i="43"/>
  <c r="N107" i="43"/>
  <c r="J106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N105" i="43"/>
  <c r="N108" i="43"/>
  <c r="J104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N106" i="43"/>
  <c r="N104" i="43"/>
  <c r="J107" i="43"/>
  <c r="J105" i="43"/>
  <c r="J103" i="43"/>
  <c r="S10" i="39"/>
  <c r="L106" i="43"/>
  <c r="D105" i="43"/>
  <c r="M12" i="43"/>
  <c r="M6" i="43"/>
  <c r="N11" i="43"/>
  <c r="M5" i="43"/>
  <c r="N4" i="43"/>
  <c r="F48" i="43"/>
  <c r="H56" i="43" s="1"/>
  <c r="H14" i="44"/>
  <c r="H16" i="44"/>
  <c r="L110" i="43"/>
  <c r="H108" i="43"/>
  <c r="K107" i="43"/>
  <c r="C105" i="43"/>
  <c r="L104" i="43"/>
  <c r="H107" i="43"/>
  <c r="H103" i="43"/>
  <c r="D104" i="43"/>
  <c r="D110" i="43"/>
  <c r="K105" i="43"/>
  <c r="K108" i="43"/>
  <c r="G104" i="43"/>
  <c r="C107" i="43"/>
  <c r="C103" i="43"/>
  <c r="L107" i="43"/>
  <c r="L105" i="43"/>
  <c r="L103" i="43"/>
  <c r="H105" i="43"/>
  <c r="H104" i="43"/>
  <c r="D106" i="43"/>
  <c r="D107" i="43"/>
  <c r="D103" i="43"/>
  <c r="K106" i="43"/>
  <c r="K104" i="43"/>
  <c r="G105" i="43"/>
  <c r="C106" i="43"/>
  <c r="C104" i="43"/>
  <c r="W10" i="39"/>
  <c r="AC10" i="39"/>
  <c r="AB35" i="39"/>
  <c r="U31" i="39"/>
  <c r="S43" i="39"/>
  <c r="W27" i="39"/>
  <c r="U42" i="39"/>
  <c r="AC31" i="39"/>
  <c r="W32" i="39"/>
  <c r="AB23" i="39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J22" i="43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J1" i="65"/>
  <c r="C16" i="67"/>
  <c r="D17" i="67"/>
  <c r="F14" i="67"/>
  <c r="F13" i="67"/>
  <c r="V15" i="67"/>
  <c r="U19" i="67"/>
  <c r="E18" i="67"/>
  <c r="E17" i="67"/>
  <c r="E16" i="67"/>
  <c r="E15" i="67"/>
  <c r="B16" i="67"/>
  <c r="B15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H61" i="43" s="1"/>
  <c r="F19" i="43"/>
  <c r="H9" i="39"/>
  <c r="AB9" i="39" s="1"/>
  <c r="AA7" i="39"/>
  <c r="R47" i="39"/>
  <c r="E47" i="39" s="1"/>
  <c r="J2" i="65"/>
  <c r="J7" i="39"/>
  <c r="AC7" i="39" s="1"/>
  <c r="V47" i="39" s="1"/>
  <c r="I47" i="39" s="1"/>
  <c r="U9" i="39"/>
  <c r="H50" i="43"/>
  <c r="H51" i="43"/>
  <c r="H53" i="43"/>
  <c r="H55" i="43"/>
  <c r="H49" i="43"/>
  <c r="W9" i="39"/>
  <c r="F17" i="59"/>
  <c r="F12" i="59" s="1"/>
  <c r="C10" i="63"/>
  <c r="H54" i="43"/>
  <c r="H48" i="43"/>
  <c r="H52" i="43"/>
  <c r="O3" i="59"/>
  <c r="F28" i="59" s="1"/>
  <c r="F33" i="59" s="1"/>
  <c r="B17" i="9" s="1"/>
  <c r="S9" i="39"/>
  <c r="H16" i="63"/>
  <c r="I3" i="63"/>
  <c r="E14" i="67"/>
  <c r="E13" i="67"/>
  <c r="U15" i="67"/>
  <c r="B14" i="67"/>
  <c r="B13" i="67"/>
  <c r="S15" i="67"/>
  <c r="C15" i="67"/>
  <c r="D16" i="67"/>
  <c r="H88" i="43"/>
  <c r="H67" i="43"/>
  <c r="T15" i="67"/>
  <c r="D15" i="67"/>
  <c r="C14" i="67"/>
  <c r="C13" i="67"/>
  <c r="D14" i="67"/>
  <c r="D13" i="67"/>
  <c r="D12" i="67"/>
  <c r="I19" i="43"/>
  <c r="C19" i="43" s="1"/>
  <c r="H5" i="65"/>
  <c r="G5" i="65"/>
  <c r="H7" i="65"/>
  <c r="E4" i="65"/>
  <c r="H6" i="65"/>
  <c r="D4" i="65"/>
  <c r="E8" i="65"/>
  <c r="G7" i="65"/>
  <c r="G6" i="65"/>
  <c r="D7" i="65"/>
  <c r="D5" i="65"/>
  <c r="E5" i="65"/>
  <c r="G4" i="65"/>
  <c r="G8" i="65"/>
  <c r="D6" i="65"/>
  <c r="H4" i="65"/>
  <c r="H8" i="65"/>
  <c r="D8" i="65"/>
  <c r="E6" i="65"/>
  <c r="E7" i="65"/>
  <c r="D14" i="64" l="1"/>
  <c r="C8" i="68"/>
  <c r="C7" i="68"/>
  <c r="C6" i="68"/>
  <c r="C5" i="68"/>
  <c r="H11" i="39"/>
  <c r="AB11" i="39" s="1"/>
  <c r="F11" i="39"/>
  <c r="J11" i="39"/>
  <c r="I110" i="43"/>
  <c r="I106" i="43"/>
  <c r="B11" i="64"/>
  <c r="C21" i="64" s="1"/>
  <c r="U11" i="39"/>
  <c r="D22" i="43"/>
  <c r="C21" i="43" s="1"/>
  <c r="B82" i="63"/>
  <c r="D13" i="63"/>
  <c r="C11" i="63" s="1"/>
  <c r="AC12" i="39"/>
  <c r="W12" i="39"/>
  <c r="H62" i="43"/>
  <c r="H63" i="43"/>
  <c r="O17" i="43"/>
  <c r="D17" i="43"/>
  <c r="H22" i="43"/>
  <c r="F33" i="43"/>
  <c r="H17" i="43"/>
  <c r="F34" i="43"/>
  <c r="F37" i="43"/>
  <c r="J17" i="43"/>
  <c r="F36" i="43"/>
  <c r="N104" i="46"/>
  <c r="C23" i="43"/>
  <c r="C6" i="43"/>
  <c r="E42" i="63"/>
  <c r="B40" i="63" s="1"/>
  <c r="E51" i="63"/>
  <c r="B49" i="63" s="1"/>
  <c r="F73" i="63"/>
  <c r="G73" i="63" s="1"/>
  <c r="F75" i="63"/>
  <c r="G75" i="63" s="1"/>
  <c r="F63" i="63"/>
  <c r="G63" i="63" s="1"/>
  <c r="F55" i="63"/>
  <c r="G55" i="63" s="1"/>
  <c r="F44" i="63"/>
  <c r="G44" i="63" s="1"/>
  <c r="F48" i="63"/>
  <c r="G48" i="63" s="1"/>
  <c r="J74" i="63"/>
  <c r="I74" i="63" s="1"/>
  <c r="J76" i="63"/>
  <c r="I76" i="63" s="1"/>
  <c r="F72" i="63"/>
  <c r="G72" i="63" s="1"/>
  <c r="F76" i="63"/>
  <c r="G76" i="63" s="1"/>
  <c r="F70" i="63"/>
  <c r="G70" i="63" s="1"/>
  <c r="J63" i="63"/>
  <c r="I63" i="63" s="1"/>
  <c r="J67" i="63"/>
  <c r="I67" i="63" s="1"/>
  <c r="F66" i="63"/>
  <c r="G66" i="63" s="1"/>
  <c r="D66" i="63" s="1"/>
  <c r="E60" i="63" s="1"/>
  <c r="F60" i="63"/>
  <c r="G60" i="63" s="1"/>
  <c r="J54" i="63"/>
  <c r="I54" i="63" s="1"/>
  <c r="F52" i="63"/>
  <c r="G52" i="63" s="1"/>
  <c r="F56" i="63"/>
  <c r="G56" i="63" s="1"/>
  <c r="J51" i="63"/>
  <c r="I51" i="63" s="1"/>
  <c r="F42" i="63"/>
  <c r="G42" i="63" s="1"/>
  <c r="J44" i="63"/>
  <c r="I44" i="63" s="1"/>
  <c r="J46" i="63"/>
  <c r="I46" i="63" s="1"/>
  <c r="J48" i="63"/>
  <c r="I48" i="63" s="1"/>
  <c r="F43" i="63"/>
  <c r="G43" i="63" s="1"/>
  <c r="F47" i="63"/>
  <c r="G47" i="63" s="1"/>
  <c r="D8" i="63"/>
  <c r="W7" i="39"/>
  <c r="E70" i="43"/>
  <c r="B68" i="43" s="1"/>
  <c r="C24" i="43" s="1"/>
  <c r="B84" i="63"/>
  <c r="B81" i="63" s="1"/>
  <c r="B85" i="63"/>
  <c r="D12" i="63"/>
  <c r="I103" i="43"/>
  <c r="F116" i="43"/>
  <c r="G116" i="43" s="1"/>
  <c r="H116" i="43" s="1"/>
  <c r="F106" i="43"/>
  <c r="E104" i="43"/>
  <c r="I107" i="43"/>
  <c r="F103" i="43"/>
  <c r="E107" i="43"/>
  <c r="F105" i="43"/>
  <c r="F108" i="43"/>
  <c r="G103" i="43"/>
  <c r="G107" i="43"/>
  <c r="G106" i="43"/>
  <c r="G110" i="43"/>
  <c r="F104" i="43"/>
  <c r="E106" i="43"/>
  <c r="I105" i="43"/>
  <c r="F107" i="43"/>
  <c r="E103" i="43"/>
  <c r="I104" i="43"/>
  <c r="E108" i="43"/>
  <c r="E105" i="43"/>
  <c r="F20" i="59"/>
  <c r="F11" i="9" s="1"/>
  <c r="H75" i="43"/>
  <c r="G75" i="43" s="1"/>
  <c r="H77" i="43"/>
  <c r="G77" i="43" s="1"/>
  <c r="H71" i="43"/>
  <c r="G71" i="43" s="1"/>
  <c r="H78" i="43"/>
  <c r="G78" i="43" s="1"/>
  <c r="H74" i="43"/>
  <c r="G74" i="43" s="1"/>
  <c r="H72" i="43"/>
  <c r="G72" i="43" s="1"/>
  <c r="H76" i="43"/>
  <c r="G76" i="43" s="1"/>
  <c r="H73" i="43"/>
  <c r="G73" i="43" s="1"/>
  <c r="H70" i="43"/>
  <c r="G70" i="43" s="1"/>
  <c r="M1" i="60"/>
  <c r="C7" i="63" s="1"/>
  <c r="C15" i="64"/>
  <c r="H66" i="43"/>
  <c r="H64" i="43"/>
  <c r="H86" i="43"/>
  <c r="H87" i="43"/>
  <c r="H85" i="43"/>
  <c r="AA12" i="39"/>
  <c r="H59" i="43"/>
  <c r="H60" i="43"/>
  <c r="H65" i="43"/>
  <c r="H81" i="43"/>
  <c r="H82" i="43"/>
  <c r="H83" i="43"/>
  <c r="L17" i="43"/>
  <c r="N17" i="43"/>
  <c r="E17" i="43"/>
  <c r="E19" i="64"/>
  <c r="E16" i="64"/>
  <c r="D19" i="64"/>
  <c r="D16" i="64"/>
  <c r="M17" i="43"/>
  <c r="B6" i="67"/>
  <c r="S6" i="67" s="1"/>
  <c r="S7" i="67"/>
  <c r="E6" i="67"/>
  <c r="U6" i="67" s="1"/>
  <c r="U7" i="67"/>
  <c r="F6" i="67"/>
  <c r="V6" i="67" s="1"/>
  <c r="V7" i="67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10" i="67"/>
  <c r="D11" i="67"/>
  <c r="I9" i="63"/>
  <c r="C9" i="63" s="1"/>
  <c r="K3" i="65"/>
  <c r="K1" i="65"/>
  <c r="K2" i="65"/>
  <c r="K4" i="65"/>
  <c r="I3" i="65"/>
  <c r="G1" i="65"/>
  <c r="E20" i="43"/>
  <c r="G3" i="65"/>
  <c r="G2" i="65"/>
  <c r="AA11" i="39" l="1"/>
  <c r="S11" i="39"/>
  <c r="AC11" i="39"/>
  <c r="W11" i="39"/>
  <c r="B58" i="63"/>
  <c r="C15" i="63" s="1"/>
  <c r="C21" i="63" s="1"/>
  <c r="E21" i="63" s="1"/>
  <c r="G17" i="43"/>
  <c r="C16" i="43" s="1"/>
  <c r="K73" i="43"/>
  <c r="J73" i="43" s="1"/>
  <c r="M73" i="43"/>
  <c r="N73" i="43" s="1"/>
  <c r="M72" i="43"/>
  <c r="N72" i="43" s="1"/>
  <c r="K72" i="43"/>
  <c r="J72" i="43" s="1"/>
  <c r="M78" i="43"/>
  <c r="N78" i="43" s="1"/>
  <c r="K78" i="43"/>
  <c r="J78" i="43" s="1"/>
  <c r="M77" i="43"/>
  <c r="N77" i="43" s="1"/>
  <c r="K77" i="43"/>
  <c r="J77" i="43" s="1"/>
  <c r="M70" i="43"/>
  <c r="N70" i="43" s="1"/>
  <c r="K70" i="43"/>
  <c r="J70" i="43" s="1"/>
  <c r="M76" i="43"/>
  <c r="N76" i="43" s="1"/>
  <c r="K76" i="43"/>
  <c r="J76" i="43" s="1"/>
  <c r="K74" i="43"/>
  <c r="J74" i="43" s="1"/>
  <c r="M74" i="43"/>
  <c r="N74" i="43" s="1"/>
  <c r="M71" i="43"/>
  <c r="N71" i="43" s="1"/>
  <c r="K71" i="43"/>
  <c r="J71" i="43" s="1"/>
  <c r="M75" i="43"/>
  <c r="N75" i="43" s="1"/>
  <c r="K75" i="43"/>
  <c r="J75" i="43" s="1"/>
  <c r="D114" i="43"/>
  <c r="F22" i="59"/>
  <c r="F13" i="9" s="1"/>
  <c r="D5" i="43"/>
  <c r="C5" i="43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D10" i="67"/>
  <c r="C9" i="67"/>
  <c r="R20" i="43"/>
  <c r="G20" i="43" s="1"/>
  <c r="S20" i="43"/>
  <c r="P20" i="43"/>
  <c r="Q20" i="43"/>
  <c r="G9" i="59"/>
  <c r="C12" i="9" s="1"/>
  <c r="G21" i="59"/>
  <c r="C23" i="64"/>
  <c r="C18" i="63" l="1"/>
  <c r="E18" i="63" s="1"/>
  <c r="C20" i="63"/>
  <c r="B4" i="63" s="1"/>
  <c r="C19" i="63"/>
  <c r="E19" i="63" s="1"/>
  <c r="C22" i="63"/>
  <c r="B5" i="63" s="1"/>
  <c r="E20" i="63"/>
  <c r="C20" i="43"/>
  <c r="C34" i="43" s="1"/>
  <c r="E41" i="43"/>
  <c r="C41" i="43" s="1"/>
  <c r="C38" i="43" s="1"/>
  <c r="E58" i="39"/>
  <c r="F56" i="39"/>
  <c r="D9" i="67"/>
  <c r="C8" i="67"/>
  <c r="B17" i="59"/>
  <c r="B18" i="59" s="1"/>
  <c r="C22" i="64"/>
  <c r="G12" i="9"/>
  <c r="F21" i="59"/>
  <c r="B3" i="63" l="1"/>
  <c r="C29" i="43"/>
  <c r="B3" i="43" s="1"/>
  <c r="C36" i="43"/>
  <c r="G36" i="43" s="1"/>
  <c r="I36" i="43" s="1"/>
  <c r="C39" i="43"/>
  <c r="G39" i="43" s="1"/>
  <c r="I39" i="43" s="1"/>
  <c r="C35" i="43"/>
  <c r="E35" i="43" s="1"/>
  <c r="C33" i="43"/>
  <c r="G33" i="43" s="1"/>
  <c r="I33" i="43" s="1"/>
  <c r="C37" i="43"/>
  <c r="G37" i="43" s="1"/>
  <c r="I37" i="43" s="1"/>
  <c r="E38" i="43"/>
  <c r="G38" i="43"/>
  <c r="I38" i="43" s="1"/>
  <c r="E29" i="43"/>
  <c r="G34" i="43"/>
  <c r="I34" i="43" s="1"/>
  <c r="E34" i="43"/>
  <c r="G56" i="39"/>
  <c r="F58" i="39"/>
  <c r="D8" i="67"/>
  <c r="C7" i="67"/>
  <c r="C28" i="64"/>
  <c r="C30" i="64"/>
  <c r="B3" i="64"/>
  <c r="F6" i="59" s="1"/>
  <c r="F11" i="59"/>
  <c r="F12" i="9"/>
  <c r="F14" i="9" s="1"/>
  <c r="E39" i="43" l="1"/>
  <c r="C30" i="43"/>
  <c r="E30" i="43" s="1"/>
  <c r="E33" i="43"/>
  <c r="E36" i="43"/>
  <c r="E37" i="43"/>
  <c r="G35" i="43"/>
  <c r="I35" i="43" s="1"/>
  <c r="D7" i="67"/>
  <c r="C6" i="67"/>
  <c r="T7" i="67"/>
  <c r="G58" i="39"/>
  <c r="H56" i="39"/>
  <c r="C29" i="64"/>
  <c r="E29" i="64" s="1"/>
  <c r="E30" i="64"/>
  <c r="E28" i="64"/>
  <c r="C27" i="64"/>
  <c r="E27" i="64" s="1"/>
  <c r="B4" i="43" l="1"/>
  <c r="F7" i="59" s="1"/>
  <c r="F5" i="59" s="1"/>
  <c r="F8" i="59" s="1"/>
  <c r="B11" i="9" s="1"/>
  <c r="C26" i="43"/>
  <c r="B2" i="43" s="1"/>
  <c r="C27" i="43"/>
  <c r="T6" i="67"/>
  <c r="D6" i="67"/>
  <c r="H58" i="39"/>
  <c r="I56" i="39"/>
  <c r="B5" i="9" l="1"/>
  <c r="F9" i="59"/>
  <c r="B12" i="9" s="1"/>
  <c r="F10" i="59"/>
  <c r="B13" i="9" s="1"/>
  <c r="I58" i="39"/>
  <c r="J56" i="39"/>
  <c r="B14" i="9" l="1"/>
  <c r="F4" i="59"/>
  <c r="F24" i="59" s="1"/>
  <c r="B15" i="9" s="1"/>
  <c r="K56" i="39"/>
  <c r="J58" i="39"/>
  <c r="F35" i="59" l="1"/>
  <c r="B18" i="9" s="1"/>
  <c r="C11" i="68" s="1"/>
  <c r="F25" i="59"/>
  <c r="F36" i="59" s="1"/>
  <c r="B19" i="9" s="1"/>
  <c r="L56" i="39"/>
  <c r="K58" i="39"/>
  <c r="B16" i="9" l="1"/>
  <c r="H16" i="9" s="1"/>
  <c r="M56" i="39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<sst xmlns="http://schemas.openxmlformats.org/spreadsheetml/2006/main" count="3956" uniqueCount="1796">
  <si>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</si>
  <si>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</si>
  <si>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</si>
  <si>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</si>
  <si>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</si>
  <si>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</si>
  <si>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</si>
  <si>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</si>
  <si>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</si>
  <si>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</si>
  <si>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</si>
  <si>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</si>
  <si>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</si>
  <si>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</si>
  <si>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</si>
  <si>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</si>
  <si>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</si>
  <si>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</si>
  <si>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</si>
  <si>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</si>
  <si>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</si>
  <si>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</si>
  <si>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</si>
  <si>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</si>
  <si>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</si>
  <si>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</si>
  <si>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</si>
  <si>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</si>
  <si>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</si>
  <si>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</si>
  <si>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</si>
  <si>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</si>
  <si>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</si>
  <si>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</si>
  <si>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</si>
  <si>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</si>
  <si>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</si>
  <si>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</si>
  <si>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</si>
  <si>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</si>
  <si>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</si>
  <si>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</si>
  <si>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</si>
  <si>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</si>
  <si>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</si>
  <si>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</si>
  <si>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</si>
  <si>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</si>
  <si>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</si>
  <si>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</si>
  <si>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</si>
  <si>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</si>
  <si>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</si>
  <si>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</si>
  <si>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</si>
  <si>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</si>
  <si>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</si>
  <si>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</si>
  <si>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</si>
  <si>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</si>
  <si>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</si>
  <si>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</si>
  <si>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</si>
  <si>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</si>
  <si>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</si>
  <si>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</si>
  <si>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</si>
  <si>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</si>
  <si>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</si>
  <si>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</si>
  <si>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</si>
  <si>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</si>
  <si>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</si>
  <si>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</si>
  <si>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</si>
  <si>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</si>
  <si>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</si>
  <si>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</si>
  <si>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</si>
  <si>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</si>
  <si>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</si>
  <si>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</si>
  <si>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</si>
  <si>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</si>
  <si>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</si>
  <si>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</si>
  <si>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</si>
  <si>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</si>
  <si>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</si>
  <si>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</si>
  <si>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</si>
  <si>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</si>
  <si>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</si>
  <si>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</si>
  <si>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</si>
  <si>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</si>
  <si>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</si>
  <si>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</si>
  <si>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</si>
  <si>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</si>
  <si>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</si>
  <si>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</si>
  <si>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</si>
  <si>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</si>
  <si>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</si>
  <si>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</si>
  <si>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</si>
  <si>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</si>
  <si>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</si>
  <si>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</si>
  <si>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</si>
  <si>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</si>
  <si>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</si>
  <si>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</si>
  <si>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</si>
  <si>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</si>
  <si>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</si>
  <si>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</si>
  <si>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</si>
  <si>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</si>
  <si>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</si>
  <si>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</si>
  <si>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</si>
  <si>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</si>
  <si>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</si>
  <si>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</si>
  <si>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</si>
  <si>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</si>
  <si>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</si>
  <si>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</si>
  <si>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</si>
  <si>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</si>
  <si>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</si>
  <si>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</si>
  <si>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</si>
  <si>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</si>
  <si>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</si>
  <si>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</si>
  <si>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</si>
  <si>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</si>
  <si>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</si>
  <si>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</si>
  <si>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</si>
  <si>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</si>
  <si>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</si>
  <si>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</si>
  <si>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</si>
  <si>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</si>
  <si>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</si>
  <si>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</si>
  <si>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</si>
  <si>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</si>
  <si>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</si>
  <si>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</si>
  <si>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</si>
  <si>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</si>
  <si>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</si>
  <si>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</si>
  <si>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</si>
  <si>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</si>
  <si>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</si>
  <si>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</si>
  <si>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</si>
  <si>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</si>
  <si>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</si>
  <si>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</si>
  <si>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</si>
  <si>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</si>
  <si>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</si>
  <si>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</si>
  <si>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</si>
  <si>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</si>
  <si>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</si>
  <si>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</si>
  <si>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</si>
  <si>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</si>
  <si>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</si>
  <si>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</si>
  <si>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</si>
  <si>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</si>
  <si>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</si>
  <si>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</si>
  <si>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</si>
  <si>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</si>
  <si>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</si>
  <si>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</si>
  <si>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</si>
  <si>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</si>
  <si>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</si>
  <si>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</si>
  <si>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</si>
  <si>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</si>
  <si>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</si>
  <si>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</si>
  <si>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</si>
  <si>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</si>
  <si>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</si>
  <si>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</si>
  <si>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</si>
  <si>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</si>
  <si>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</si>
  <si>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</si>
  <si>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</si>
  <si>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</si>
  <si>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</si>
  <si>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</si>
  <si>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</si>
  <si>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</si>
  <si>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</si>
  <si>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</si>
  <si>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</si>
  <si>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</si>
  <si>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</si>
  <si>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</si>
  <si>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</si>
  <si>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</si>
  <si>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</si>
  <si>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</si>
  <si>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</si>
  <si>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</si>
  <si>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</si>
  <si>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</si>
  <si>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</si>
  <si>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</si>
  <si>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</si>
  <si>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</si>
  <si>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</si>
  <si>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</si>
  <si>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</si>
  <si>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</si>
  <si>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</si>
  <si>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</si>
  <si>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</si>
  <si>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</si>
  <si>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</si>
  <si>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</si>
  <si>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</si>
  <si>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</si>
  <si>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</si>
  <si>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</si>
  <si>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</si>
  <si>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</si>
  <si>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</si>
  <si>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</si>
  <si>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</si>
  <si>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</si>
  <si>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</si>
  <si>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</si>
  <si>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</si>
  <si>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</si>
  <si>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</si>
  <si>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</si>
  <si>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</si>
  <si>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</si>
  <si>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</si>
  <si>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</si>
  <si>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</si>
  <si>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</si>
  <si>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</si>
  <si>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</si>
  <si>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</si>
  <si>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</si>
  <si>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</si>
  <si>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</si>
  <si>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</si>
  <si>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</si>
  <si>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</si>
  <si>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</si>
  <si>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</si>
  <si>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</si>
  <si>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</si>
  <si>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</si>
  <si>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</si>
  <si>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</si>
  <si>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</si>
  <si>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</si>
  <si>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</si>
  <si>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</si>
  <si>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</si>
  <si>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</si>
  <si>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</si>
  <si>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</si>
  <si>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</si>
  <si>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</si>
  <si>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</si>
  <si>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</si>
  <si>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</si>
  <si>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</si>
  <si>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</si>
  <si>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</si>
  <si>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</si>
  <si>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</si>
  <si>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</si>
  <si>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</si>
  <si>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</si>
  <si>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</si>
  <si>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</si>
  <si>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</si>
  <si>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</si>
  <si>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</si>
  <si>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</si>
  <si>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</si>
  <si>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</si>
  <si>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</si>
  <si>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</si>
  <si>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</si>
  <si>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</si>
  <si>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</si>
  <si>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</si>
  <si>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</si>
  <si>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</si>
  <si>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</si>
  <si>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</si>
  <si>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</si>
  <si>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</si>
  <si>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</si>
  <si>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</si>
  <si>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</si>
  <si>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</si>
  <si>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</si>
  <si>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</si>
  <si>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</si>
  <si>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</si>
  <si>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</si>
  <si>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</si>
  <si>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</si>
  <si>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</si>
  <si>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</si>
  <si>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</si>
  <si>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</si>
  <si>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</si>
  <si>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</si>
  <si>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</si>
  <si>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</si>
  <si>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</si>
  <si>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</si>
  <si>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</si>
  <si>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</si>
  <si>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</si>
  <si>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</si>
  <si>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</si>
  <si>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</si>
  <si>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</si>
  <si>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</si>
  <si>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</si>
  <si>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</si>
  <si>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</si>
  <si>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</si>
  <si>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</si>
  <si>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</si>
  <si>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</si>
  <si>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</si>
  <si>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</si>
  <si>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</si>
  <si>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</si>
  <si>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</si>
  <si>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</si>
  <si>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</si>
  <si>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</si>
  <si>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</si>
  <si>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</si>
  <si>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</si>
  <si>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</si>
  <si>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</si>
  <si>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</si>
  <si>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</si>
  <si>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</si>
  <si>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</si>
  <si>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</si>
  <si>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</si>
  <si>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</si>
  <si>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</si>
  <si>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</si>
  <si>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</si>
  <si>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</si>
  <si>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</si>
  <si>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</si>
  <si>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</si>
  <si>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</si>
  <si>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</si>
  <si>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</si>
  <si>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</si>
  <si>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</si>
  <si>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</si>
  <si>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</si>
  <si>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</si>
  <si>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</si>
  <si>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</si>
  <si>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</si>
  <si>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</si>
  <si>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</si>
  <si>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</si>
  <si>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</si>
  <si>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</si>
  <si>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</si>
  <si>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</si>
  <si>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</si>
  <si>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</si>
  <si>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</si>
  <si>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</si>
  <si>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</si>
  <si>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</si>
  <si>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</si>
  <si>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</si>
  <si>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</si>
  <si>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</si>
  <si>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</si>
  <si>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</si>
  <si>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</si>
  <si>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</si>
  <si>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</si>
  <si>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</si>
  <si>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</si>
  <si>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</si>
  <si>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</si>
  <si>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</si>
  <si>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</si>
  <si>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</si>
  <si>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</si>
  <si>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</si>
  <si>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</si>
  <si>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</si>
  <si>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</si>
  <si>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</si>
  <si>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</si>
  <si>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</si>
  <si>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</si>
  <si>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</si>
  <si>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</si>
  <si>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</si>
  <si>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</si>
  <si>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</si>
  <si>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</si>
  <si>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</si>
  <si>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</si>
  <si>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</si>
  <si>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</si>
  <si>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</si>
  <si>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</si>
  <si>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</si>
  <si>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</si>
  <si>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</si>
  <si>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</si>
  <si>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</si>
  <si>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</si>
  <si>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</si>
  <si>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</si>
  <si>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</si>
  <si>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</si>
  <si>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</si>
  <si>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</si>
  <si>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</si>
  <si>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</si>
  <si>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</si>
  <si>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</si>
  <si>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</si>
  <si>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</si>
  <si>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</si>
  <si>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</si>
  <si>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</si>
  <si>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</si>
  <si>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</si>
  <si>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</si>
  <si>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</si>
  <si>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</si>
  <si>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</si>
  <si>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</si>
  <si>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</si>
  <si>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</si>
  <si>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</si>
  <si>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</si>
  <si>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</si>
  <si>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</si>
  <si>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</si>
  <si>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</si>
  <si>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</si>
  <si>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</si>
  <si>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</si>
  <si>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</si>
  <si>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</si>
  <si>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</si>
  <si>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</si>
  <si>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</si>
  <si>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</si>
  <si>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</si>
  <si>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</si>
  <si>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</si>
  <si>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</si>
  <si>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</si>
  <si>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</si>
  <si>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</si>
  <si>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</si>
  <si>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</si>
  <si>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</si>
  <si>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</si>
  <si>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</si>
  <si>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</si>
  <si>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</si>
  <si>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</si>
  <si>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</si>
  <si>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</si>
  <si>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</si>
  <si>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</si>
  <si>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</si>
  <si>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</si>
  <si>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</si>
  <si>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</si>
  <si>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</si>
  <si>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</si>
  <si>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</si>
  <si>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</si>
  <si>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</si>
  <si>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</si>
  <si>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</si>
  <si>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</si>
  <si>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</si>
  <si>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</si>
  <si>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</si>
  <si>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</si>
  <si>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</si>
  <si>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</si>
  <si>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</si>
  <si>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</si>
  <si>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</si>
  <si>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</si>
  <si>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</si>
  <si>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</si>
  <si>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</si>
  <si>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</si>
  <si>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</si>
  <si>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</si>
  <si>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</si>
  <si>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</si>
  <si>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</si>
  <si>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</si>
  <si>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</si>
  <si>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</si>
  <si>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</si>
  <si>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</si>
  <si>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</si>
  <si>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</si>
  <si>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</si>
  <si>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</si>
  <si>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</si>
  <si>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</si>
  <si>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</si>
  <si>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</si>
  <si>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</si>
  <si>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</si>
  <si>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</si>
  <si>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</si>
  <si>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</si>
  <si>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</si>
  <si>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</si>
  <si>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</si>
  <si>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</si>
  <si>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</si>
  <si>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</si>
  <si>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</si>
  <si>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</si>
  <si>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</si>
  <si>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</si>
  <si>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</si>
  <si>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</si>
  <si>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</si>
  <si>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</si>
  <si>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</si>
  <si>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</si>
  <si>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</si>
  <si>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</si>
  <si>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</si>
  <si>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</si>
  <si>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</si>
  <si>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</si>
  <si>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</si>
  <si>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</si>
  <si>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</si>
  <si>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</si>
  <si>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</si>
  <si>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</si>
  <si>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</si>
  <si>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</si>
  <si>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</si>
  <si>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</si>
  <si>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</si>
  <si>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</si>
  <si>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</si>
  <si>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</si>
  <si>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</si>
  <si>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</si>
  <si>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</si>
  <si>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</si>
  <si>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</si>
  <si>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</si>
  <si>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</si>
  <si>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</si>
  <si>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</si>
  <si>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</si>
  <si>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</si>
  <si>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</si>
  <si>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</si>
  <si>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</si>
  <si>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</si>
  <si>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</si>
  <si>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</si>
  <si>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</si>
  <si>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</si>
  <si>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</si>
  <si>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</si>
  <si>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</si>
  <si>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</si>
  <si>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</si>
  <si>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</si>
  <si>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</si>
  <si>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</si>
  <si>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</si>
  <si>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</si>
  <si>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</si>
  <si>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</si>
  <si>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</si>
  <si>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</si>
  <si>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</si>
  <si>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</si>
  <si>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</si>
  <si>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</si>
  <si>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</si>
  <si>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</si>
  <si>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</si>
  <si>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</si>
  <si>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</si>
  <si>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</si>
  <si>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</si>
  <si>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</si>
  <si>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</si>
  <si>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</si>
  <si>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</si>
  <si>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</si>
  <si>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</si>
  <si>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</si>
  <si>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</si>
  <si>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</si>
  <si>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</si>
  <si>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</si>
  <si>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</si>
  <si>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</si>
  <si>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</si>
  <si>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</si>
  <si>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</si>
  <si>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</si>
  <si>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</si>
  <si>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</si>
  <si>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</si>
  <si>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</si>
  <si>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</si>
  <si>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</si>
  <si>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</si>
  <si>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</si>
  <si>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</si>
  <si>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</si>
  <si>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</si>
  <si>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</si>
  <si>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</si>
  <si>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</si>
  <si>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</si>
  <si>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</si>
  <si>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</si>
  <si>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</si>
  <si>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</si>
  <si>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</si>
  <si>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</si>
  <si>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</si>
  <si>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</si>
  <si>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</si>
  <si>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</si>
  <si>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</si>
  <si>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</si>
  <si>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</si>
  <si>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</si>
  <si>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</si>
  <si>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</si>
  <si>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</si>
  <si>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</si>
  <si>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</si>
  <si>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</si>
  <si>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</si>
  <si>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</si>
  <si>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</si>
  <si>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</si>
  <si>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</si>
  <si>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</si>
  <si>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</si>
  <si>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</si>
  <si>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</si>
  <si>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</si>
  <si>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</si>
  <si>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</si>
  <si>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</si>
  <si>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</si>
  <si>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</si>
  <si>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</si>
  <si>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</si>
  <si>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</si>
  <si>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</si>
  <si>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</si>
  <si>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</si>
  <si>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</si>
  <si>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</si>
  <si>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</si>
  <si>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</si>
  <si>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</si>
  <si>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</si>
  <si>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</si>
  <si>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</si>
  <si>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</si>
  <si>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</si>
  <si>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</si>
  <si>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</si>
  <si>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</si>
  <si>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</si>
  <si>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</si>
  <si>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</si>
  <si>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</si>
  <si>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</si>
  <si>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</si>
  <si>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</si>
  <si>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</si>
  <si>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</si>
  <si>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</si>
  <si>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</si>
  <si>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</si>
  <si>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</si>
  <si>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</si>
  <si>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</si>
  <si>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</si>
  <si>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</si>
  <si>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</si>
  <si>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</si>
  <si>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</si>
  <si>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</si>
  <si>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</si>
  <si>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</si>
  <si>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</si>
  <si>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</si>
  <si>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</si>
  <si>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</si>
  <si>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</si>
  <si>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</si>
  <si>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</si>
  <si>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</si>
  <si>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</si>
  <si>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</si>
  <si>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</si>
  <si>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</si>
  <si>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</si>
  <si>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</si>
  <si>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</si>
  <si>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</si>
  <si>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</si>
  <si>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</si>
  <si>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</si>
  <si>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</si>
  <si>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</si>
  <si>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</si>
  <si>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</si>
  <si>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</si>
  <si>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</si>
  <si>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</si>
  <si>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</si>
  <si>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</si>
  <si>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</si>
  <si>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</si>
  <si>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</si>
  <si>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</si>
  <si>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</si>
  <si>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</si>
  <si>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</si>
  <si>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</si>
  <si>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</si>
  <si>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</si>
  <si>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</si>
  <si>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</si>
  <si>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</si>
  <si>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</si>
  <si>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</si>
  <si>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</si>
  <si>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</si>
  <si>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</si>
  <si>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</si>
  <si>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</si>
  <si>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</si>
  <si>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</si>
  <si>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</si>
  <si>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</si>
  <si>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</si>
  <si>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</si>
  <si>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</si>
  <si>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</si>
  <si>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</si>
  <si>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</si>
  <si>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</si>
  <si>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</si>
  <si>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</si>
  <si>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</si>
  <si>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</si>
  <si>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</si>
  <si>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</si>
  <si>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</si>
  <si>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</si>
  <si>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</si>
  <si>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</si>
  <si>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</si>
  <si>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</si>
  <si>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</si>
  <si>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</si>
  <si>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</si>
  <si>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</si>
  <si>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</si>
  <si>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</si>
  <si>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</si>
  <si>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</si>
  <si>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</si>
  <si>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</si>
  <si>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</si>
  <si>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</si>
  <si>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</si>
  <si>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</si>
  <si>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</si>
  <si>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</si>
  <si>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</si>
  <si>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</si>
  <si>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</si>
  <si>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</si>
  <si>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</si>
  <si>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</si>
  <si>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</si>
  <si>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</si>
  <si>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</si>
  <si>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</si>
  <si>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</si>
  <si>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</si>
  <si>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</si>
  <si>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</si>
  <si>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</si>
  <si>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</si>
  <si>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</si>
  <si>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</si>
  <si>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</si>
  <si>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</si>
  <si>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</si>
  <si>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</si>
  <si>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</si>
  <si>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</si>
  <si>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</si>
  <si>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</si>
  <si>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</si>
  <si>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</si>
  <si>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</si>
  <si>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</si>
  <si>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</si>
  <si>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</si>
  <si>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</si>
  <si>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</si>
  <si>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</si>
  <si>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</si>
  <si>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</si>
  <si>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</si>
  <si>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</si>
  <si>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</si>
  <si>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</si>
  <si>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</si>
  <si>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</si>
  <si>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</si>
  <si>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</si>
  <si>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</si>
  <si>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</si>
  <si>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</si>
  <si>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</si>
  <si>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</si>
  <si>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</si>
  <si>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</si>
  <si>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</si>
  <si>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</si>
  <si>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</si>
  <si>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</si>
  <si>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</si>
  <si>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</si>
  <si>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</si>
  <si>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</si>
  <si>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</si>
  <si>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</si>
  <si>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</si>
  <si>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</si>
  <si>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</si>
  <si>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</si>
  <si>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</si>
  <si>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</si>
  <si>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</si>
  <si>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</si>
  <si>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</si>
  <si>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</si>
  <si>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</si>
  <si>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</si>
  <si>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</si>
  <si>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</si>
  <si>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</si>
  <si>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</si>
  <si>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</si>
  <si>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</si>
  <si>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</si>
  <si>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</si>
  <si>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</si>
  <si>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</si>
  <si>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</si>
  <si>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</si>
  <si>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</si>
  <si>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</si>
  <si>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</si>
  <si>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</si>
  <si>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</si>
  <si>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</si>
  <si>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</si>
  <si>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</si>
  <si>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</si>
  <si>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</si>
  <si>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</si>
  <si>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</si>
  <si>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</si>
  <si>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</si>
  <si>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</si>
  <si>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</si>
  <si>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</si>
  <si>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</si>
  <si>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</si>
  <si>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</si>
  <si>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</si>
  <si>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</si>
  <si>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</si>
  <si>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</si>
  <si>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</si>
  <si>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</si>
  <si>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</si>
  <si>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</si>
  <si>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</si>
  <si>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</si>
  <si>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</si>
  <si>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</si>
  <si>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</si>
  <si>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</si>
  <si>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</si>
  <si>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</si>
  <si>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</si>
  <si>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</si>
  <si>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</si>
  <si>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</si>
  <si>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</si>
  <si>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</si>
  <si>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</si>
  <si>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</si>
  <si>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</si>
  <si>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</si>
  <si>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</si>
  <si>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</si>
  <si>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</si>
  <si>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</si>
  <si>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</si>
  <si>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</si>
  <si>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</si>
  <si>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</si>
  <si>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</si>
  <si>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</si>
  <si>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</si>
  <si>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</si>
  <si>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</si>
  <si>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</si>
  <si>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</si>
  <si>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</si>
  <si>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</si>
  <si>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</si>
  <si>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</si>
  <si>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</si>
  <si>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</si>
  <si>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</si>
  <si>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</si>
  <si>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</si>
  <si>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</si>
  <si>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</si>
  <si>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</si>
  <si>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</si>
  <si>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</si>
  <si>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</si>
  <si>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</si>
  <si>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</si>
  <si>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</si>
  <si>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</si>
  <si>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</si>
  <si>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</si>
  <si>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</si>
  <si>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</si>
  <si>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</si>
  <si>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</si>
  <si>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</si>
  <si>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</si>
  <si>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</si>
  <si>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</si>
  <si>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</si>
  <si>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</si>
  <si>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</si>
  <si>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</si>
  <si>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</si>
  <si>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</si>
  <si>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</si>
  <si>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</si>
  <si>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</si>
  <si>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</si>
  <si>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</si>
  <si>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</si>
  <si>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</si>
  <si>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</si>
  <si>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</si>
  <si>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</si>
  <si>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</si>
  <si>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</si>
  <si>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</si>
  <si>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</si>
  <si>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</si>
  <si>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</si>
  <si>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</si>
  <si>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</si>
  <si>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</si>
  <si>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</si>
  <si>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</si>
  <si>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</si>
  <si>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</si>
  <si>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</si>
  <si>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</si>
  <si>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</si>
  <si>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</si>
  <si>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</si>
  <si>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</si>
  <si>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</si>
  <si>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</si>
  <si>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</si>
  <si>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</si>
  <si>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</si>
  <si>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</si>
  <si>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</si>
  <si>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</si>
  <si>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</si>
  <si>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</si>
  <si>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</si>
  <si>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</si>
  <si>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</si>
  <si>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</si>
  <si>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</si>
  <si>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</si>
  <si>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</si>
  <si>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</si>
  <si>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</si>
  <si>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</si>
  <si>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</si>
  <si>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</si>
  <si>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</si>
  <si>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</si>
  <si>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</si>
  <si>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</si>
  <si>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</si>
  <si>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</si>
  <si>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</si>
  <si>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</si>
  <si>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</si>
  <si>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</si>
  <si>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</si>
  <si>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</si>
  <si>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</si>
  <si>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</si>
  <si>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</si>
  <si>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</si>
  <si>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</si>
  <si>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</si>
  <si>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</si>
  <si>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</si>
  <si>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</si>
  <si>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</si>
  <si>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</si>
  <si>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</si>
  <si>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</si>
  <si>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</si>
  <si>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</si>
  <si>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</si>
  <si>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</si>
  <si>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</si>
  <si>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</si>
  <si>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</si>
  <si>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</si>
  <si>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</si>
  <si>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</si>
  <si>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</si>
  <si>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</si>
  <si>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</si>
  <si>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</si>
  <si>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</si>
  <si>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</si>
  <si>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</si>
  <si>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</si>
  <si>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</si>
  <si>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</si>
  <si>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</si>
  <si>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</si>
  <si>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</si>
  <si>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</si>
  <si>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</si>
  <si>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</si>
  <si>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</si>
  <si>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</si>
  <si>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</si>
  <si>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</si>
  <si>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</si>
  <si>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</si>
  <si>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</si>
  <si>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</si>
  <si>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</si>
  <si>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</si>
  <si>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</si>
  <si>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</si>
  <si>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</si>
  <si>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</si>
  <si>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</si>
  <si>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</si>
  <si>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</si>
  <si>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</si>
  <si>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</si>
  <si>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</si>
  <si>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</si>
  <si>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</si>
  <si>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</si>
  <si>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</si>
  <si>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</si>
  <si>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</si>
  <si>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</si>
  <si>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</si>
  <si>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</si>
  <si>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</si>
  <si>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</si>
  <si>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</si>
  <si>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</si>
  <si>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</si>
  <si>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</si>
  <si>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</si>
  <si>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</si>
  <si>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</si>
  <si>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</si>
  <si>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</si>
  <si>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</si>
  <si>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</si>
  <si>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</si>
  <si>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</si>
  <si>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</si>
  <si>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</si>
  <si>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</si>
  <si>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</si>
  <si>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</si>
  <si>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</si>
  <si>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</si>
  <si>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</si>
  <si>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</si>
  <si>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</si>
  <si>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</si>
  <si>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</si>
  <si>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</si>
  <si>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</si>
  <si>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</si>
  <si>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</si>
  <si>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</si>
  <si>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</si>
  <si>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</si>
  <si>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</si>
  <si>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</si>
  <si>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</si>
  <si>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</si>
  <si>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</si>
  <si>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</si>
  <si>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</si>
  <si>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</si>
  <si>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</si>
  <si>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</si>
  <si>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</si>
  <si>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</si>
  <si>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</si>
  <si>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</si>
  <si>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</si>
  <si>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</si>
  <si>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</si>
  <si>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</si>
  <si>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</si>
  <si>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</si>
  <si>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</si>
  <si>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</si>
  <si>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</si>
  <si>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</si>
  <si>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</si>
  <si>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</si>
  <si>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</si>
  <si>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</si>
  <si>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</si>
  <si>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</si>
  <si>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</si>
  <si>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</si>
  <si>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</si>
  <si>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</si>
  <si>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</si>
  <si>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</si>
  <si>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</si>
  <si>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</si>
  <si>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</si>
  <si>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</si>
  <si>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</si>
  <si>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</si>
  <si>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</si>
  <si>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</si>
  <si>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</si>
  <si>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</si>
  <si>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</si>
  <si>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</si>
  <si>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</si>
  <si>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</si>
  <si>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</si>
  <si>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</si>
  <si>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</si>
  <si>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</si>
  <si>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</si>
  <si>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</si>
  <si>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</si>
  <si>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</si>
  <si>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</si>
  <si>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</si>
  <si>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</si>
  <si>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</si>
  <si>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</si>
  <si>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</si>
  <si>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</si>
  <si>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</si>
  <si>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</si>
  <si>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</si>
  <si>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</si>
  <si>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</si>
  <si>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</si>
  <si>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</si>
  <si>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</si>
  <si>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</si>
  <si>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</si>
  <si>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</si>
  <si>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</si>
  <si>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</si>
  <si>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</si>
  <si>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</si>
  <si>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</si>
  <si>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</si>
  <si>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</si>
  <si>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</si>
  <si>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</si>
  <si>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</si>
  <si>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</si>
  <si>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</si>
  <si>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</si>
  <si>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</si>
  <si>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</si>
  <si>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</si>
  <si>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</si>
  <si>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</si>
  <si>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</si>
  <si>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</si>
  <si>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</si>
  <si>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</si>
  <si>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</si>
  <si>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</si>
  <si>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</si>
  <si>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</si>
  <si>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</si>
  <si>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</si>
  <si>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</si>
  <si>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</si>
  <si>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</si>
  <si>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</si>
  <si>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</si>
  <si>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</si>
  <si>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</si>
  <si>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</si>
  <si>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</si>
  <si>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</si>
  <si>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</si>
  <si>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</si>
  <si>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</si>
  <si>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</si>
  <si>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</si>
  <si>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</si>
  <si>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</si>
  <si>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</si>
  <si>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</si>
  <si>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</si>
  <si>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</si>
  <si>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</si>
  <si>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</si>
  <si>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</si>
  <si>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</si>
  <si>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</si>
  <si>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</si>
  <si>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</si>
  <si>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</si>
  <si>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</si>
  <si>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</si>
  <si>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</si>
  <si>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</si>
  <si>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</si>
  <si>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</si>
  <si>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</si>
  <si>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</si>
  <si>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</si>
  <si>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</si>
  <si>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</si>
  <si>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</si>
  <si>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</si>
  <si>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</si>
  <si>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</si>
  <si>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</si>
  <si>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</si>
  <si>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</si>
  <si>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</si>
  <si>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</si>
  <si>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</si>
  <si>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</si>
  <si>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</si>
  <si>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</si>
  <si>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</si>
  <si>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</si>
  <si>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</si>
  <si>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</si>
  <si>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</si>
  <si>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</si>
  <si>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</si>
  <si>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</si>
  <si>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</si>
  <si>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</si>
  <si>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</si>
  <si>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</si>
  <si>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</si>
  <si>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</si>
  <si>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</si>
  <si>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</si>
  <si>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</si>
  <si>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</si>
  <si>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</si>
  <si>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</si>
  <si>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</si>
  <si>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</si>
  <si>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</si>
  <si>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</si>
  <si>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</si>
  <si>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</si>
  <si>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</si>
  <si>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</si>
  <si>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</si>
  <si>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</si>
  <si>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</si>
  <si>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</si>
  <si>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</si>
  <si>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</si>
  <si>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</si>
  <si>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</si>
  <si>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</si>
  <si>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</si>
  <si>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</si>
  <si>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</si>
  <si>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</si>
  <si>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</si>
  <si>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</si>
  <si>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</si>
  <si>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</si>
  <si>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</si>
  <si>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</si>
  <si>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</si>
  <si>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</si>
  <si>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</si>
  <si>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</si>
  <si>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</si>
  <si>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</si>
  <si>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</si>
  <si>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</si>
  <si>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</si>
  <si>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</si>
  <si>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</si>
  <si>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</si>
  <si>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</si>
  <si>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</si>
  <si>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</si>
  <si>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</si>
  <si>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</si>
  <si>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</si>
  <si>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</si>
  <si>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</si>
  <si>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</si>
  <si>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</si>
  <si>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</si>
  <si>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</si>
  <si>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</si>
  <si>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</si>
  <si>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</si>
  <si>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</si>
  <si>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</si>
  <si>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</si>
  <si>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</si>
  <si>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</si>
  <si>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</si>
  <si>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</si>
  <si>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</si>
  <si>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</si>
  <si>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</si>
  <si>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</si>
  <si>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</si>
  <si>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</si>
  <si>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</si>
  <si>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</si>
  <si>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</si>
  <si>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</si>
  <si>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</si>
  <si>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</si>
  <si>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</si>
  <si>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</si>
  <si>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</si>
  <si>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</si>
  <si>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</si>
  <si>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</si>
  <si>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</si>
  <si>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</si>
  <si>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</si>
  <si>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</si>
  <si>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</si>
  <si>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</si>
  <si>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</si>
  <si>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</si>
  <si>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</si>
  <si>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</si>
  <si>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</si>
  <si>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</si>
  <si>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</si>
  <si>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</si>
  <si>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</si>
  <si>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</si>
  <si>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</si>
  <si>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</si>
  <si>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</si>
  <si>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</si>
  <si>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</si>
  <si>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</si>
  <si>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</si>
  <si>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</si>
  <si>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</si>
  <si>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</si>
  <si>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</si>
  <si>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</si>
  <si>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</si>
  <si>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</si>
  <si>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</si>
  <si>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</si>
  <si>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</si>
  <si>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</si>
  <si>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</si>
  <si>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</si>
  <si>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</si>
  <si>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</si>
  <si>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</si>
  <si>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</si>
  <si>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</si>
  <si>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</si>
  <si>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</si>
  <si>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</si>
  <si>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</si>
  <si>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</si>
  <si>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</si>
  <si>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</si>
  <si>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</si>
  <si>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</si>
  <si>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</si>
  <si>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</si>
  <si>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</si>
  <si>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</si>
  <si>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</si>
  <si>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</si>
  <si>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</si>
  <si>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</si>
  <si>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</si>
  <si>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</si>
  <si>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</si>
  <si>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</si>
  <si>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</si>
  <si>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</si>
  <si>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</si>
  <si>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</si>
  <si>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</si>
  <si>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</si>
  <si>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</si>
  <si>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</si>
  <si>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</si>
  <si>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</si>
  <si>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</si>
  <si>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</si>
  <si>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</si>
  <si>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</si>
  <si>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</si>
  <si>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</si>
  <si>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</si>
  <si>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</si>
  <si>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</si>
  <si>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</si>
  <si>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</si>
  <si>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</si>
  <si>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</si>
  <si>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</si>
  <si>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</si>
  <si>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</si>
  <si>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</si>
  <si>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</si>
  <si>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</si>
  <si>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</si>
  <si>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</si>
  <si>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</si>
  <si>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</si>
  <si>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</si>
  <si>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</si>
  <si>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</si>
  <si>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</si>
  <si>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</si>
  <si>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</si>
  <si>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</si>
  <si>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</si>
  <si>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</si>
  <si>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</si>
  <si>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</si>
  <si>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</si>
  <si>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</si>
  <si>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</si>
  <si>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</si>
  <si>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</si>
  <si>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</si>
  <si>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</si>
  <si>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</si>
  <si>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</si>
  <si>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</si>
  <si>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</si>
  <si>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</si>
  <si>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</si>
  <si>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</si>
  <si>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</si>
  <si>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</si>
  <si>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</si>
  <si>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</si>
  <si>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</si>
  <si>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</si>
  <si>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</si>
  <si>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</si>
  <si>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</si>
  <si>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</si>
  <si>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</si>
  <si>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</si>
  <si>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</si>
  <si>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</si>
  <si>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</si>
  <si>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</si>
  <si>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</si>
  <si>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</si>
  <si>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</si>
  <si>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</si>
  <si>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</si>
  <si>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</si>
  <si>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</si>
  <si>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</si>
  <si>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</si>
  <si>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</si>
  <si>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</si>
  <si>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</si>
  <si>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</si>
  <si>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</si>
  <si>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</si>
  <si>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</si>
  <si>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</si>
  <si>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</si>
  <si>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</si>
  <si>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</si>
  <si>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</si>
  <si>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</si>
  <si>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</si>
  <si>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</si>
  <si>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</si>
  <si>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</si>
  <si>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</si>
  <si>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</si>
  <si>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</si>
  <si>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</si>
  <si>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</si>
  <si>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</si>
  <si>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</si>
  <si>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</si>
  <si>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</si>
  <si>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</si>
  <si>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</si>
  <si>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</si>
  <si>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</si>
  <si>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</si>
  <si>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</si>
  <si>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</si>
  <si>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</si>
  <si>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</si>
  <si>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</si>
  <si>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</si>
  <si>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</si>
  <si>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</si>
  <si>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</si>
  <si>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</si>
  <si>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</si>
  <si>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</si>
  <si>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</si>
  <si>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</si>
  <si>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</si>
  <si>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</si>
  <si>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</si>
  <si>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</si>
  <si>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</si>
  <si>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</si>
  <si>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</si>
  <si>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</si>
  <si>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</si>
  <si>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</si>
  <si>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</si>
  <si>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</si>
  <si>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</si>
  <si>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</si>
  <si>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</si>
  <si>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</si>
  <si>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</si>
  <si>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</si>
  <si>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</si>
  <si>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</si>
  <si>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</si>
  <si>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</si>
  <si>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</si>
  <si>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</si>
  <si>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</si>
  <si>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</si>
  <si>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</si>
  <si>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</si>
  <si>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</si>
  <si>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</si>
  <si>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</si>
  <si>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</si>
  <si>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</si>
  <si>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</si>
  <si>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</si>
  <si>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</si>
  <si>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</si>
  <si>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</si>
  <si>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</si>
  <si>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</si>
  <si>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</si>
  <si>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</si>
  <si>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</si>
  <si>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</si>
  <si>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</si>
  <si>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</si>
  <si>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</si>
  <si>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</si>
  <si>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</si>
  <si>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</si>
  <si>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</si>
  <si>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</si>
  <si>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</si>
  <si>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</si>
  <si>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</si>
  <si>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</si>
  <si>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</si>
  <si>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</si>
  <si>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</si>
  <si>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</si>
  <si>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</si>
  <si>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</si>
  <si>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</si>
  <si>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</si>
  <si>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</si>
  <si>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</si>
  <si>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</si>
  <si>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</si>
  <si>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</si>
  <si>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</si>
  <si>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</si>
  <si>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</si>
  <si>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</si>
  <si>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</si>
  <si>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</si>
  <si>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</si>
  <si>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</si>
  <si>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</si>
  <si>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</si>
  <si>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</si>
  <si>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</si>
  <si>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</si>
  <si>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</si>
  <si>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</si>
  <si>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</si>
  <si>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</si>
  <si>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</si>
  <si>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</si>
  <si>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</si>
  <si>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</si>
  <si>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</si>
  <si>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</si>
  <si>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</si>
  <si>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</si>
  <si>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</si>
  <si>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</si>
  <si>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</si>
  <si>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</si>
  <si>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</si>
  <si>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</si>
  <si>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</si>
  <si>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</si>
  <si>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</si>
  <si>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</si>
  <si>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</si>
  <si>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</si>
  <si>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</si>
  <si>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</si>
  <si>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</si>
  <si>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</si>
  <si>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</si>
  <si>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</si>
  <si>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</si>
  <si>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</si>
  <si>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</si>
  <si>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</si>
  <si>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</si>
  <si>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</si>
  <si>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</si>
  <si>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</si>
  <si>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</si>
  <si>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</si>
  <si>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</si>
  <si>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</si>
  <si>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</si>
  <si>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</si>
  <si>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</si>
  <si>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</si>
  <si>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</si>
  <si>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</si>
  <si>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</si>
  <si>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</si>
  <si>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</si>
  <si>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</si>
  <si>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</si>
  <si>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</si>
  <si>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</si>
  <si>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</si>
  <si>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</si>
  <si>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</si>
  <si>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</si>
  <si>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</si>
  <si>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</si>
  <si>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</si>
  <si>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</si>
  <si>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</si>
  <si>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</si>
  <si>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</si>
  <si>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</si>
  <si>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</si>
  <si>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</si>
  <si>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</si>
  <si>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</si>
  <si>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</si>
  <si>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</si>
  <si>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</si>
  <si>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</si>
  <si>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</si>
  <si>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</si>
  <si>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</si>
  <si>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</si>
  <si>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</si>
  <si>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</si>
  <si>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</si>
  <si>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</si>
  <si>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107" type="noConversion"/>
  </si>
  <si>
    <t>住宅/居住</t>
  </si>
  <si>
    <t>地上</t>
  </si>
  <si>
    <t>居住用地（指二类居住用地）</t>
  </si>
  <si>
    <t>设定容积率</t>
  </si>
  <si>
    <t>与级别开发程度一致</t>
  </si>
  <si>
    <t>1000米以外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</si>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</sst>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10" fontId="54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5" t="s">
        <v>167</v>
      </c>
      <c r="B15" s="647" t="s">
        <v>249</v>
      </c>
    </row>
    <row r="16" spans="1:7" ht="13.5">
      <c r="A16" s="1766"/>
      <c r="B16" s="648" t="s">
        <v>168</v>
      </c>
    </row>
    <row r="17" spans="1:2" ht="13.5">
      <c r="A17" s="180" t="s">
        <v>169</v>
      </c>
      <c r="B17" s="649"/>
    </row>
    <row r="18" spans="1:2" ht="13.5">
      <c r="A18" s="1764" t="s">
        <v>170</v>
      </c>
      <c r="B18" s="647" t="s">
        <v>1385</v>
      </c>
    </row>
    <row r="19" spans="1:2" ht="13.5">
      <c r="A19" s="1764"/>
      <c r="B19" s="647" t="s">
        <v>1386</v>
      </c>
    </row>
    <row r="20" spans="1:2" ht="13.5">
      <c r="A20" s="1764"/>
      <c r="B20" s="647" t="s">
        <v>1387</v>
      </c>
    </row>
    <row r="21" spans="1:2" ht="13.5">
      <c r="A21" s="1764"/>
      <c r="B21" s="499" t="s">
        <v>171</v>
      </c>
    </row>
    <row r="22" spans="1:2" ht="13.5">
      <c r="A22" s="1764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4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4"/>
      <c r="B19" s="1814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4"/>
      <c r="B20" s="1814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4"/>
      <c r="B21" s="1814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4"/>
      <c r="B22" s="1814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4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4"/>
      <c r="B24" s="1814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4"/>
      <c r="B25" s="1814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4"/>
      <c r="B26" s="1814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4"/>
      <c r="B27" s="1814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4"/>
      <c r="B28" s="1814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4"/>
      <c r="B29" s="1814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4"/>
      <c r="B30" s="1814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4"/>
      <c r="B31" s="1814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4"/>
      <c r="B32" s="1814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4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4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4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4"/>
      <c r="B36" s="1814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4"/>
      <c r="B37" s="1814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4"/>
      <c r="B38" s="1814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4"/>
      <c r="B39" s="1814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3.5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4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24">
      <c r="A62" s="327">
        <v>2</v>
      </c>
      <c r="B62" s="1814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36">
      <c r="A63" s="327">
        <v>3</v>
      </c>
      <c r="B63" s="1814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36">
      <c r="A64" s="327">
        <v>4</v>
      </c>
      <c r="B64" s="1814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36">
      <c r="A65" s="327">
        <v>5</v>
      </c>
      <c r="B65" s="1814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36">
      <c r="A66" s="327">
        <v>6</v>
      </c>
      <c r="B66" s="1814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36">
      <c r="A67" s="327">
        <v>7</v>
      </c>
      <c r="B67" s="1814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36">
      <c r="A68" s="327">
        <v>8</v>
      </c>
      <c r="B68" s="1814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36">
      <c r="A69" s="327">
        <v>9</v>
      </c>
      <c r="B69" s="1814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48">
      <c r="A70" s="327">
        <v>10</v>
      </c>
      <c r="B70" s="1814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48">
      <c r="A71" s="327">
        <v>11</v>
      </c>
      <c r="B71" s="1814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4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24">
      <c r="A73" s="327">
        <v>13</v>
      </c>
      <c r="B73" s="1814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24">
      <c r="A74" s="327">
        <v>14</v>
      </c>
      <c r="B74" s="1814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24">
      <c r="A75" s="327">
        <v>15</v>
      </c>
      <c r="B75" s="1814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24">
      <c r="A76" s="327">
        <v>16</v>
      </c>
      <c r="B76" s="1814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24">
      <c r="A77" s="327">
        <v>17</v>
      </c>
      <c r="B77" s="1814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24">
      <c r="A78" s="327">
        <v>18</v>
      </c>
      <c r="B78" s="1814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24">
      <c r="A79" s="327">
        <v>19</v>
      </c>
      <c r="B79" s="1814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4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4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48">
      <c r="A82" s="327">
        <v>22</v>
      </c>
      <c r="B82" s="1814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48">
      <c r="A83" s="327">
        <v>23</v>
      </c>
      <c r="B83" s="1814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36">
      <c r="A84" s="327">
        <v>24</v>
      </c>
      <c r="B84" s="1814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4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4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4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4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24">
      <c r="A89" s="327">
        <v>29</v>
      </c>
      <c r="B89" s="1814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24">
      <c r="A90" s="327">
        <v>30</v>
      </c>
      <c r="B90" s="1814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36">
      <c r="A91" s="327">
        <v>31</v>
      </c>
      <c r="B91" s="1814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24">
      <c r="A92" s="327">
        <v>32</v>
      </c>
      <c r="B92" s="1814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4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48">
      <c r="A94" s="327">
        <v>34</v>
      </c>
      <c r="B94" s="1814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36">
      <c r="A95" s="327">
        <v>35</v>
      </c>
      <c r="B95" s="1814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48">
      <c r="A96" s="327">
        <v>36</v>
      </c>
      <c r="B96" s="1814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4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4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4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4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4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4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4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4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4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4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4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4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36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24">
      <c r="A116" s="327">
        <v>56</v>
      </c>
      <c r="B116" s="1814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4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7" zoomScale="90" zoomScaleNormal="90" zoomScaleSheetLayoutView="89" workbookViewId="0">
      <selection activeCell="D26" sqref="D26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119.61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四级</v>
      </c>
      <c r="H2" s="715" t="s">
        <v>1349</v>
      </c>
      <c r="I2" s="1311"/>
      <c r="J2" s="717"/>
      <c r="AE2" s="712"/>
      <c r="AF2" s="712"/>
    </row>
    <row r="3" spans="1:36" ht="15.75">
      <c r="A3" s="668" t="s">
        <v>911</v>
      </c>
      <c r="B3" s="1398">
        <f>C18</f>
        <v>3714</v>
      </c>
      <c r="C3" s="713" t="s">
        <v>912</v>
      </c>
      <c r="D3" s="714" t="s">
        <v>252</v>
      </c>
      <c r="E3" s="718"/>
      <c r="F3" s="1459" t="s">
        <v>1790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1563</v>
      </c>
      <c r="B4" s="616">
        <f>C20</f>
        <v>2351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1564</v>
      </c>
      <c r="B5" s="1396">
        <f>C22</f>
        <v>1411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1333</v>
      </c>
      <c r="C7" s="1023">
        <f>IF(I2="地上",'2002地价表'!M1,ROUND('2002地价表'!M1/3,0))</f>
        <v>948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1334</v>
      </c>
      <c r="C8" s="1035">
        <v>600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927</v>
      </c>
      <c r="B9" s="1510" t="s">
        <v>930</v>
      </c>
      <c r="C9" s="1511">
        <f>IF(OR(H9&gt;=DATE(2014,8,28),H9&lt;DATE(2002,12,10)),0,ROUND(I9/F9,4))</f>
        <v>3.6345999999999998</v>
      </c>
      <c r="D9" s="1512" t="s">
        <v>260</v>
      </c>
      <c r="E9" s="1513">
        <v>37257</v>
      </c>
      <c r="F9" s="1514">
        <f>ROUND(SUMIF(地价!B3:F3,E2,地价!B83:F83),0)</f>
        <v>104</v>
      </c>
      <c r="G9" s="1515" t="s">
        <v>261</v>
      </c>
      <c r="H9" s="1516">
        <f>主表!B4</f>
        <v>40691</v>
      </c>
      <c r="I9" s="1517">
        <f>ROUND(SUMPRODUCT((地价!A33:A83=YEAR(H9)&amp;"-"&amp;ROUNDUP(MONTH(H9)/3,0))*(地价!B3:F3=E2)*(地价!B33:F83)),0)</f>
        <v>378</v>
      </c>
      <c r="J9" s="770"/>
      <c r="AE9" s="712"/>
      <c r="AF9" s="712"/>
    </row>
    <row r="10" spans="1:36" ht="16.5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1632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1795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935</v>
      </c>
      <c r="B15" s="742" t="s">
        <v>939</v>
      </c>
      <c r="C15" s="620">
        <f>SUMIF(A40:A76,E2,B40:B76)</f>
        <v>1.0780000000000001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1322</v>
      </c>
      <c r="B16" s="1519" t="s">
        <v>1331</v>
      </c>
      <c r="C16" s="1763">
        <v>1</v>
      </c>
      <c r="D16" s="1524" t="s">
        <v>1335</v>
      </c>
      <c r="E16" s="1482" t="s">
        <v>924</v>
      </c>
      <c r="F16" s="1483" t="s">
        <v>1793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4" t="s">
        <v>1336</v>
      </c>
      <c r="B18" s="761" t="s">
        <v>1323</v>
      </c>
      <c r="C18" s="629">
        <f>ROUND(C7*C9*C10*C11*C15*C16,0)</f>
        <v>3714</v>
      </c>
      <c r="D18" s="630">
        <f>H1</f>
        <v>119.61</v>
      </c>
      <c r="E18" s="631">
        <f>ROUND(C18*D18,0)</f>
        <v>444232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5"/>
      <c r="B19" s="766" t="s">
        <v>1326</v>
      </c>
      <c r="C19" s="621">
        <f>ROUND(C7*C9*C10*C11*C15*C16*G3,0)</f>
        <v>7429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6" t="s">
        <v>1337</v>
      </c>
      <c r="B20" s="748" t="s">
        <v>1324</v>
      </c>
      <c r="C20" s="635">
        <f>ROUND(IF(G3&gt;=I3,C8*C9*C10*C15,C8*C9*C10*C15*G3),0)</f>
        <v>2351</v>
      </c>
      <c r="D20" s="636">
        <f>H1</f>
        <v>119.61</v>
      </c>
      <c r="E20" s="637">
        <f>ROUND(C20*D20,0)</f>
        <v>281203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6"/>
      <c r="B21" s="771" t="s">
        <v>1325</v>
      </c>
      <c r="C21" s="638">
        <f>ROUND(IF(G3&lt;I3,C8*C9*C10*C15,C8*C9*C10*C15*G3),0)</f>
        <v>4702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8" t="s">
        <v>1346</v>
      </c>
      <c r="B22" s="775"/>
      <c r="C22" s="1563">
        <f>ROUND(IF(D22="四环路内",C20*0.4,C20*0.6),0)</f>
        <v>1411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967</v>
      </c>
      <c r="B24" s="379">
        <f>ROUNDDOWN(1+DATEDIF(E9,H9,"M")/3,0)</f>
        <v>38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1304</v>
      </c>
      <c r="B58" s="487">
        <f>1+E60</f>
        <v>1.0780000000000001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1794</v>
      </c>
      <c r="D60" s="490">
        <f t="shared" ref="D60:D67" si="7">SUMIF($F$59:$J$59,C60,F60:J60)</f>
        <v>1.2999999999999999E-2</v>
      </c>
      <c r="E60" s="253">
        <f>SUM(D60:D67)</f>
        <v>7.8E-2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1794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1794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1794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1794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1314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 ht="14.25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0" t="s">
        <v>1307</v>
      </c>
      <c r="B1" s="1827" t="s">
        <v>1308</v>
      </c>
      <c r="C1" s="1828"/>
      <c r="D1" s="1829"/>
      <c r="E1" s="1827" t="s">
        <v>1309</v>
      </c>
      <c r="F1" s="1828"/>
      <c r="G1" s="1829"/>
    </row>
    <row r="2" spans="1:7">
      <c r="A2" s="1831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75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5" t="s">
        <v>1422</v>
      </c>
      <c r="E2" s="1839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6"/>
      <c r="E3" s="1840"/>
      <c r="F3" s="661" t="s">
        <v>1432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6"/>
      <c r="E4" s="1840"/>
      <c r="F4" s="661" t="s">
        <v>1433</v>
      </c>
      <c r="G4" s="376"/>
      <c r="H4" s="376"/>
      <c r="I4" s="664"/>
      <c r="J4" s="688"/>
      <c r="AE4" s="477"/>
      <c r="AF4" s="477"/>
    </row>
    <row r="5" spans="1:36" ht="14.25">
      <c r="A5" s="699" t="s">
        <v>982</v>
      </c>
      <c r="B5" s="951" t="str">
        <f>主表!B12</f>
        <v>住宅/居住</v>
      </c>
      <c r="C5" s="703"/>
      <c r="D5" s="1837"/>
      <c r="E5" s="1841"/>
      <c r="F5" s="661" t="s">
        <v>1434</v>
      </c>
      <c r="G5" s="376"/>
      <c r="H5" s="376"/>
      <c r="I5" s="664"/>
      <c r="J5" s="688"/>
      <c r="AE5" s="477"/>
      <c r="AF5" s="477"/>
    </row>
    <row r="6" spans="1:36" ht="14.25">
      <c r="A6" s="700" t="s">
        <v>1430</v>
      </c>
      <c r="B6" s="1313"/>
      <c r="C6" s="703"/>
      <c r="D6" s="1835" t="s">
        <v>1423</v>
      </c>
      <c r="E6" s="1839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4.25">
      <c r="A7" s="1346" t="s">
        <v>1431</v>
      </c>
      <c r="B7" s="1347" t="str">
        <f>LEFT(主表!B10,1)&amp;"类"</f>
        <v>四类</v>
      </c>
      <c r="C7" s="703"/>
      <c r="D7" s="1836"/>
      <c r="E7" s="1840"/>
      <c r="F7" s="661" t="s">
        <v>1436</v>
      </c>
      <c r="G7" s="376"/>
      <c r="H7" s="376"/>
      <c r="I7" s="664"/>
      <c r="J7" s="688"/>
      <c r="AE7" s="477"/>
      <c r="AF7" s="477"/>
    </row>
    <row r="8" spans="1:36" ht="15">
      <c r="A8" s="700" t="s">
        <v>1557</v>
      </c>
      <c r="B8" s="1379"/>
      <c r="C8" s="703"/>
      <c r="D8" s="1837"/>
      <c r="E8" s="1841"/>
      <c r="F8" s="661" t="s">
        <v>1437</v>
      </c>
      <c r="G8" s="376"/>
      <c r="H8" s="376"/>
      <c r="I8" s="664"/>
      <c r="J8" s="688"/>
      <c r="AE8" s="477"/>
      <c r="AF8" s="477"/>
    </row>
    <row r="9" spans="1:36" ht="15">
      <c r="A9" s="700" t="s">
        <v>1176</v>
      </c>
      <c r="B9" s="701">
        <f>主表!B7</f>
        <v>119.61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">
      <c r="A10" s="700" t="s">
        <v>1339</v>
      </c>
      <c r="B10" s="701">
        <f>主表!B6</f>
        <v>0</v>
      </c>
      <c r="C10" s="703"/>
      <c r="D10" s="1835" t="s">
        <v>1401</v>
      </c>
      <c r="E10" s="1839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1217</v>
      </c>
      <c r="B11" s="702" t="e">
        <f>IF(A11="容积率",主表!B8,主表!B9)</f>
        <v>#DIV/0!</v>
      </c>
      <c r="C11" s="703"/>
      <c r="D11" s="1838"/>
      <c r="E11" s="1842"/>
      <c r="F11" s="689" t="s">
        <v>1440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934</v>
      </c>
      <c r="C23" s="670">
        <f ca="1">AVERAGE(存贷款利率!G3,存贷款利率!I3)</f>
        <v>5.7000000000000002E-2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4" t="s">
        <v>1336</v>
      </c>
      <c r="B27" s="761" t="s">
        <v>1323</v>
      </c>
      <c r="C27" s="621" t="e">
        <f>ROUND(C28/B11,0)</f>
        <v>#DIV/0!</v>
      </c>
      <c r="D27" s="630">
        <f>B9</f>
        <v>119.61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5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6" t="s">
        <v>1449</v>
      </c>
      <c r="B29" s="748" t="s">
        <v>1450</v>
      </c>
      <c r="C29" s="635" t="e">
        <f>ROUND(C30/B11,0)</f>
        <v>#DIV/0!</v>
      </c>
      <c r="D29" s="636">
        <f>B9</f>
        <v>119.61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5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3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4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4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4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4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4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4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4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69" t="s">
        <v>90</v>
      </c>
      <c r="D4" s="1870"/>
      <c r="E4" s="1871" t="s">
        <v>91</v>
      </c>
      <c r="F4" s="1872"/>
      <c r="G4" s="1869" t="s">
        <v>92</v>
      </c>
      <c r="H4" s="1870"/>
      <c r="I4" s="1869" t="s">
        <v>93</v>
      </c>
      <c r="J4" s="1870"/>
      <c r="K4" s="142" t="s">
        <v>94</v>
      </c>
      <c r="L4" s="448"/>
      <c r="M4" s="449"/>
      <c r="N4" s="449"/>
      <c r="O4" s="449"/>
      <c r="P4" s="1873" t="s">
        <v>95</v>
      </c>
      <c r="Q4" s="1874"/>
      <c r="R4" s="1856" t="s">
        <v>91</v>
      </c>
      <c r="S4" s="1857"/>
      <c r="T4" s="1856" t="s">
        <v>92</v>
      </c>
      <c r="U4" s="1857"/>
      <c r="V4" s="1853" t="s">
        <v>93</v>
      </c>
      <c r="W4" s="1853"/>
      <c r="X4" s="201"/>
      <c r="Y4" s="1856" t="s">
        <v>95</v>
      </c>
      <c r="Z4" s="1857"/>
      <c r="AA4" s="1866" t="s">
        <v>91</v>
      </c>
      <c r="AB4" s="1867" t="s">
        <v>92</v>
      </c>
      <c r="AC4" s="1866" t="s">
        <v>93</v>
      </c>
    </row>
    <row r="5" spans="1:30" ht="15">
      <c r="A5" s="41"/>
      <c r="B5" s="42"/>
      <c r="C5" s="1881" t="s">
        <v>226</v>
      </c>
      <c r="D5" s="1882"/>
      <c r="E5" s="1879" t="s">
        <v>227</v>
      </c>
      <c r="F5" s="1880"/>
      <c r="G5" s="1881" t="s">
        <v>230</v>
      </c>
      <c r="H5" s="1882"/>
      <c r="I5" s="1881" t="s">
        <v>228</v>
      </c>
      <c r="J5" s="1882"/>
      <c r="K5" s="142"/>
      <c r="L5" s="448"/>
      <c r="M5" s="449"/>
      <c r="N5" s="449"/>
      <c r="O5" s="449"/>
      <c r="P5" s="1875"/>
      <c r="Q5" s="1876"/>
      <c r="R5" s="1858"/>
      <c r="S5" s="1859"/>
      <c r="T5" s="1858"/>
      <c r="U5" s="1859"/>
      <c r="V5" s="1853"/>
      <c r="W5" s="1853"/>
      <c r="X5" s="201"/>
      <c r="Y5" s="1858"/>
      <c r="Z5" s="1859"/>
      <c r="AA5" s="1867"/>
      <c r="AB5" s="1867"/>
      <c r="AC5" s="1867"/>
    </row>
    <row r="6" spans="1:30" ht="15.75" thickBot="1">
      <c r="A6" s="43"/>
      <c r="B6" s="44"/>
      <c r="C6" s="1883" t="s">
        <v>229</v>
      </c>
      <c r="D6" s="1884"/>
      <c r="E6" s="1885" t="s">
        <v>229</v>
      </c>
      <c r="F6" s="1886"/>
      <c r="G6" s="1883" t="s">
        <v>229</v>
      </c>
      <c r="H6" s="1884"/>
      <c r="I6" s="1883" t="s">
        <v>229</v>
      </c>
      <c r="J6" s="1884"/>
      <c r="K6" s="142" t="s">
        <v>96</v>
      </c>
      <c r="L6" s="448"/>
      <c r="M6" s="449"/>
      <c r="N6" s="449"/>
      <c r="O6" s="449"/>
      <c r="P6" s="1877"/>
      <c r="Q6" s="1878"/>
      <c r="R6" s="1858"/>
      <c r="S6" s="1859"/>
      <c r="T6" s="1860"/>
      <c r="U6" s="1861"/>
      <c r="V6" s="1853"/>
      <c r="W6" s="1853"/>
      <c r="X6" s="201"/>
      <c r="Y6" s="1860"/>
      <c r="Z6" s="1861"/>
      <c r="AA6" s="1868"/>
      <c r="AB6" s="1868"/>
      <c r="AC6" s="1868"/>
    </row>
    <row r="7" spans="1:30" s="22" customFormat="1" ht="15.75" thickBot="1">
      <c r="A7" s="45" t="s">
        <v>97</v>
      </c>
      <c r="B7" s="46"/>
      <c r="C7" s="1344">
        <f>主表!B4</f>
        <v>40691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4" t="s">
        <v>98</v>
      </c>
      <c r="Q7" s="186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4" t="s">
        <v>98</v>
      </c>
      <c r="Z7" s="1855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4" t="s">
        <v>124</v>
      </c>
      <c r="Q8" s="1855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4" t="s">
        <v>124</v>
      </c>
      <c r="Z8" s="1855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6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5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6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6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1530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6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6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6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3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3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4"/>
      <c r="Q16" s="206"/>
      <c r="R16" s="207"/>
      <c r="S16" s="208"/>
      <c r="T16" s="207"/>
      <c r="U16" s="208"/>
      <c r="V16" s="207"/>
      <c r="W16" s="208"/>
      <c r="X16" s="201"/>
      <c r="Y16" s="1864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4"/>
      <c r="Q18" s="206"/>
      <c r="R18" s="207"/>
      <c r="S18" s="208"/>
      <c r="T18" s="207"/>
      <c r="U18" s="208"/>
      <c r="V18" s="207"/>
      <c r="W18" s="208"/>
      <c r="X18" s="201"/>
      <c r="Y18" s="1864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4"/>
      <c r="Q20" s="206"/>
      <c r="R20" s="207"/>
      <c r="S20" s="208"/>
      <c r="T20" s="207"/>
      <c r="U20" s="208"/>
      <c r="V20" s="207"/>
      <c r="W20" s="208"/>
      <c r="X20" s="201"/>
      <c r="Y20" s="1864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4"/>
      <c r="Q22" s="206"/>
      <c r="R22" s="207"/>
      <c r="S22" s="208"/>
      <c r="T22" s="207"/>
      <c r="U22" s="208"/>
      <c r="V22" s="207"/>
      <c r="W22" s="208"/>
      <c r="X22" s="201"/>
      <c r="Y22" s="186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4"/>
      <c r="Q24" s="235"/>
      <c r="R24" s="207"/>
      <c r="S24" s="208"/>
      <c r="T24" s="207"/>
      <c r="U24" s="208"/>
      <c r="V24" s="207"/>
      <c r="W24" s="208"/>
      <c r="X24" s="234"/>
      <c r="Y24" s="1864"/>
      <c r="Z24" s="236"/>
      <c r="AA24" s="210"/>
      <c r="AB24" s="210"/>
      <c r="AC24" s="210"/>
    </row>
    <row r="25" spans="1:29" ht="54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4"/>
      <c r="Q26" s="206"/>
      <c r="R26" s="207"/>
      <c r="S26" s="208"/>
      <c r="T26" s="207"/>
      <c r="U26" s="208"/>
      <c r="V26" s="207"/>
      <c r="W26" s="208"/>
      <c r="X26" s="201"/>
      <c r="Y26" s="186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4"/>
      <c r="Q28" s="18"/>
      <c r="R28" s="202"/>
      <c r="S28" s="203"/>
      <c r="T28" s="202"/>
      <c r="U28" s="203"/>
      <c r="V28" s="202"/>
      <c r="W28" s="203"/>
      <c r="X28" s="204"/>
      <c r="Y28" s="1864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4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4"/>
      <c r="Q30" s="497"/>
      <c r="R30" s="202"/>
      <c r="S30" s="203"/>
      <c r="T30" s="202"/>
      <c r="U30" s="203"/>
      <c r="V30" s="202"/>
      <c r="W30" s="203"/>
      <c r="X30" s="204"/>
      <c r="Y30" s="186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4"/>
      <c r="Q33" s="206"/>
      <c r="R33" s="207"/>
      <c r="S33" s="208"/>
      <c r="T33" s="207"/>
      <c r="U33" s="208"/>
      <c r="V33" s="207"/>
      <c r="W33" s="208"/>
      <c r="X33" s="201"/>
      <c r="Y33" s="186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1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2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2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2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6" t="str">
        <f>A46</f>
        <v>成交单价</v>
      </c>
      <c r="Q46" s="1846"/>
      <c r="R46" s="1853">
        <f>E46</f>
        <v>0</v>
      </c>
      <c r="S46" s="1853"/>
      <c r="T46" s="1853">
        <f>G46</f>
        <v>0</v>
      </c>
      <c r="U46" s="1853"/>
      <c r="V46" s="1853">
        <f>I46</f>
        <v>0</v>
      </c>
      <c r="W46" s="1853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6" t="str">
        <f>A47</f>
        <v>比较价值（元/平方米）</v>
      </c>
      <c r="Q47" s="1846"/>
      <c r="R47" s="1847" t="e">
        <f>ROUND(PRODUCT(R46,AA7:AA45),0)</f>
        <v>#DIV/0!</v>
      </c>
      <c r="S47" s="1847"/>
      <c r="T47" s="1847" t="e">
        <f>ROUND(PRODUCT(T46,AB7:AB45),0)</f>
        <v>#DIV/0!</v>
      </c>
      <c r="U47" s="1847"/>
      <c r="V47" s="1847" t="e">
        <f>ROUND(PRODUCT(V46,AC7:AC45),0)</f>
        <v>#DIV/0!</v>
      </c>
      <c r="W47" s="1847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8" t="str">
        <f>A48</f>
        <v>估价对象比较价值（单价内涵，元/平方米）</v>
      </c>
      <c r="Q48" s="1849"/>
      <c r="R48" s="1850" t="e">
        <f>ROUND(AVERAGE(R47:V47),0)</f>
        <v>#DIV/0!</v>
      </c>
      <c r="S48" s="1850"/>
      <c r="T48" s="1850"/>
      <c r="U48" s="1850"/>
      <c r="V48" s="1850"/>
      <c r="W48" s="1850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2011-5-1</v>
      </c>
      <c r="D56" s="1532">
        <f>EDATE(C56,-3)</f>
        <v>40575</v>
      </c>
      <c r="E56" s="1532">
        <f t="shared" ref="E56:O56" si="15">EDATE(D56,-3)</f>
        <v>40483</v>
      </c>
      <c r="F56" s="1532">
        <f t="shared" si="15"/>
        <v>40391</v>
      </c>
      <c r="G56" s="1532">
        <f t="shared" si="15"/>
        <v>40299</v>
      </c>
      <c r="H56" s="1532">
        <f t="shared" si="15"/>
        <v>40210</v>
      </c>
      <c r="I56" s="1532">
        <f t="shared" si="15"/>
        <v>40118</v>
      </c>
      <c r="J56" s="1532">
        <f t="shared" si="15"/>
        <v>40026</v>
      </c>
      <c r="K56" s="1532">
        <f t="shared" si="15"/>
        <v>39934</v>
      </c>
      <c r="L56" s="1532">
        <f t="shared" si="15"/>
        <v>39845</v>
      </c>
      <c r="M56" s="1532">
        <f t="shared" si="15"/>
        <v>39753</v>
      </c>
      <c r="N56" s="1532">
        <f t="shared" si="15"/>
        <v>39661</v>
      </c>
      <c r="O56" s="1532">
        <f t="shared" si="15"/>
        <v>39569</v>
      </c>
    </row>
    <row r="57" spans="1:17" ht="21.75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97</v>
      </c>
      <c r="B58" s="89"/>
      <c r="C58" s="1531" t="str">
        <f>YEAR(C56)&amp;"-"&amp;ROUNDUP(MONTH(C56)/3,0)</f>
        <v>2011-2</v>
      </c>
      <c r="D58" s="1531" t="str">
        <f t="shared" ref="D58:O58" si="16">YEAR(D56)&amp;"-"&amp;ROUNDUP(MONTH(D56)/3,0)</f>
        <v>2011-1</v>
      </c>
      <c r="E58" s="1531" t="str">
        <f t="shared" si="16"/>
        <v>2010-4</v>
      </c>
      <c r="F58" s="1531" t="str">
        <f t="shared" si="16"/>
        <v>2010-3</v>
      </c>
      <c r="G58" s="1531" t="str">
        <f t="shared" si="16"/>
        <v>2010-2</v>
      </c>
      <c r="H58" s="1531" t="str">
        <f t="shared" si="16"/>
        <v>2010-1</v>
      </c>
      <c r="I58" s="1531" t="str">
        <f t="shared" si="16"/>
        <v>2009-4</v>
      </c>
      <c r="J58" s="1531" t="str">
        <f t="shared" si="16"/>
        <v>2009-3</v>
      </c>
      <c r="K58" s="1531" t="str">
        <f t="shared" si="16"/>
        <v>2009-2</v>
      </c>
      <c r="L58" s="1531" t="str">
        <f t="shared" si="16"/>
        <v>2009-1</v>
      </c>
      <c r="M58" s="1531" t="str">
        <f t="shared" si="16"/>
        <v>2008-4</v>
      </c>
      <c r="N58" s="1531" t="str">
        <f t="shared" si="16"/>
        <v>2008-3</v>
      </c>
      <c r="O58" s="1531" t="str">
        <f t="shared" si="16"/>
        <v>2008-2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6"/>
    </row>
    <row r="60" spans="1:17" s="1080" customFormat="1" ht="15.7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0"/>
      <c r="P60" s="1076"/>
      <c r="Q60" s="1076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zoomScaleSheetLayoutView="90" workbookViewId="0">
      <selection activeCell="A19" sqref="A19:XFD19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1504</v>
      </c>
      <c r="C1" s="1013">
        <f>主表!B3</f>
        <v>0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8">
        <f>IF(C1&gt;C14,0,MATCH(C1,C$14:C$64,-1))+IF(SUMIF(C14:C64,C1,D14:D64)=0,14,13)</f>
        <v>64</v>
      </c>
      <c r="K1" s="1138">
        <f ca="1">MATCH(E1,C4:C8,1)+IF(SUMIF(C4:C8,E1,D4:D8)=0,3,2)</f>
        <v>4</v>
      </c>
      <c r="L1" s="1138">
        <f>IF(C1&gt;M14,0,MATCH(C1,M$14:M$52,-1))+IF(SUMIF(M14:M52,C1,N14:N52)=0,14,13)</f>
        <v>53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40691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5.8499999999999996E-2</v>
      </c>
      <c r="H2" s="970" t="s">
        <v>1506</v>
      </c>
      <c r="I2" s="971">
        <f>SUMIF(F4:F8,E2,G4:G8)/100</f>
        <v>0</v>
      </c>
      <c r="J2" s="1138">
        <f>IF(C2&gt;C14,0,MATCH(C2,C$14:C$64,-1))+IF(SUMIF(C14:C64,C2,D14:D64)=0,14,13)</f>
        <v>28</v>
      </c>
      <c r="K2" s="1138">
        <f ca="1">MATCH(E2,C4:C8,1)+IF(SUMIF(C4:C8,E2,D4:D8)=0,3,2)</f>
        <v>4</v>
      </c>
      <c r="L2" s="1138">
        <f>IF(C2&gt;M14,0,MATCH(C2,M$14:M$52,-1))+IF(SUMIF(M14:M52,C2,N14:N52)=0,14,13)</f>
        <v>23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6.6500000000000004E-2</v>
      </c>
      <c r="H3" s="1019" t="s">
        <v>1506</v>
      </c>
      <c r="I3" s="1020">
        <f ca="1">SUMIF(F4:F8,E3,H4:H8)/100</f>
        <v>4.7500000000000001E-2</v>
      </c>
      <c r="J3" s="1139"/>
      <c r="K3" s="1138">
        <f ca="1">MATCH(E3,C4:C8,1)+IF(SUMIF(C4:C8,E3,D4:D8)=0,3,2)</f>
        <v>7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1507</v>
      </c>
      <c r="C4" s="1005">
        <v>0</v>
      </c>
      <c r="D4" s="1004">
        <f ca="1">INDIRECT("d"&amp;$J$1)</f>
        <v>0</v>
      </c>
      <c r="E4" s="1004">
        <f ca="1">INDIRECT("d"&amp;$J$2)</f>
        <v>5.85</v>
      </c>
      <c r="F4" s="1005">
        <v>0.5</v>
      </c>
      <c r="G4" s="1006">
        <f ca="1">INDIRECT("p"&amp;$L$1)</f>
        <v>0</v>
      </c>
      <c r="H4" s="1006">
        <f ca="1">INDIRECT("p"&amp;$L$2)</f>
        <v>3.05</v>
      </c>
      <c r="I4" s="972"/>
      <c r="J4" s="972"/>
      <c r="K4" s="972">
        <f ca="1">MATCH(1,C4:C8,1)+IF(SUMIF(C4:C8,1,D4:D8)=0,3,2)</f>
        <v>6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0</v>
      </c>
      <c r="E5" s="978">
        <f ca="1">INDIRECT("e"&amp;$J$2)</f>
        <v>6.31</v>
      </c>
      <c r="F5" s="977">
        <v>1</v>
      </c>
      <c r="G5" s="1007">
        <f ca="1">INDIRECT("q"&amp;$L$1)</f>
        <v>0</v>
      </c>
      <c r="H5" s="1007">
        <f ca="1">INDIRECT("q"&amp;$L$2)</f>
        <v>3.25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0</v>
      </c>
      <c r="E6" s="978">
        <f ca="1">INDIRECT("f"&amp;$J$2)</f>
        <v>6.4</v>
      </c>
      <c r="F6" s="977">
        <v>2</v>
      </c>
      <c r="G6" s="1007">
        <f ca="1">INDIRECT("r"&amp;$L$1)</f>
        <v>0</v>
      </c>
      <c r="H6" s="1007">
        <f ca="1">INDIRECT("r"&amp;$L$2)</f>
        <v>4.1500000000000004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0</v>
      </c>
      <c r="E7" s="978">
        <f ca="1">INDIRECT("g"&amp;$J$2)</f>
        <v>6.65</v>
      </c>
      <c r="F7" s="977">
        <v>3</v>
      </c>
      <c r="G7" s="1007">
        <f ca="1">INDIRECT("s"&amp;$L$1)</f>
        <v>0</v>
      </c>
      <c r="H7" s="1007">
        <f ca="1">INDIRECT("s"&amp;$L$2)</f>
        <v>4.75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0</v>
      </c>
      <c r="E8" s="978">
        <f ca="1">INDIRECT("h"&amp;$J$2)</f>
        <v>6.8</v>
      </c>
      <c r="F8" s="977">
        <v>5</v>
      </c>
      <c r="G8" s="1007">
        <f ca="1">INDIRECT("t"&amp;$L$1)</f>
        <v>0</v>
      </c>
      <c r="H8" s="1007">
        <f ca="1">INDIRECT("t"&amp;$L$2)</f>
        <v>5.25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1527</v>
      </c>
      <c r="C14" s="1754">
        <v>43941</v>
      </c>
      <c r="D14" s="1755">
        <v>3.85</v>
      </c>
      <c r="E14" s="1755">
        <f>D14</f>
        <v>3.85</v>
      </c>
      <c r="F14" s="1755">
        <f>D14</f>
        <v>3.85</v>
      </c>
      <c r="G14" s="1755">
        <f>D14</f>
        <v>3.85</v>
      </c>
      <c r="H14" s="1755">
        <v>4.6500000000000004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43881</v>
      </c>
      <c r="D15" s="999">
        <v>4.05</v>
      </c>
      <c r="E15" s="999">
        <f>D15</f>
        <v>4.05</v>
      </c>
      <c r="F15" s="999">
        <f>D15</f>
        <v>4.05</v>
      </c>
      <c r="G15" s="999">
        <f>D15</f>
        <v>4.05</v>
      </c>
      <c r="H15" s="999">
        <v>4.75</v>
      </c>
      <c r="I15" s="999"/>
      <c r="J15" s="999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43789</v>
      </c>
      <c r="D16" s="999">
        <v>4.1500000000000004</v>
      </c>
      <c r="E16" s="999">
        <f>D16</f>
        <v>4.1500000000000004</v>
      </c>
      <c r="F16" s="999">
        <f>D16</f>
        <v>4.1500000000000004</v>
      </c>
      <c r="G16" s="999">
        <f>D16</f>
        <v>4.1500000000000004</v>
      </c>
      <c r="H16" s="999">
        <v>4.8</v>
      </c>
      <c r="I16" s="999"/>
      <c r="J16" s="999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43728</v>
      </c>
      <c r="D17" s="999">
        <v>4.2</v>
      </c>
      <c r="E17" s="999">
        <f>D17</f>
        <v>4.2</v>
      </c>
      <c r="F17" s="999">
        <f>D17</f>
        <v>4.2</v>
      </c>
      <c r="G17" s="999">
        <f>D17</f>
        <v>4.2</v>
      </c>
      <c r="H17" s="999">
        <v>4.8499999999999996</v>
      </c>
      <c r="I17" s="999"/>
      <c r="J17" s="999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1752" t="s">
        <v>1784</v>
      </c>
      <c r="C18" s="1001">
        <v>43697</v>
      </c>
      <c r="D18" s="1753">
        <v>4.25</v>
      </c>
      <c r="E18" s="1753">
        <f>D18</f>
        <v>4.25</v>
      </c>
      <c r="F18" s="1753">
        <f>D18</f>
        <v>4.25</v>
      </c>
      <c r="G18" s="1753">
        <f>D18</f>
        <v>4.25</v>
      </c>
      <c r="H18" s="1753">
        <v>4.8499999999999996</v>
      </c>
      <c r="I18" s="1753"/>
      <c r="J18" s="1753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1756"/>
      <c r="B19" s="1757"/>
      <c r="C19" s="1758">
        <v>42301</v>
      </c>
      <c r="D19" s="1759">
        <v>4.3499999999999996</v>
      </c>
      <c r="E19" s="1759">
        <v>4.3499999999999996</v>
      </c>
      <c r="F19" s="1759">
        <v>4.75</v>
      </c>
      <c r="G19" s="1759">
        <v>4.75</v>
      </c>
      <c r="H19" s="1759">
        <v>4.9000000000000004</v>
      </c>
      <c r="I19" s="1759"/>
      <c r="J19" s="1759"/>
      <c r="K19" s="1756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>
      <c r="B20" s="999"/>
      <c r="C20" s="1000">
        <v>42242</v>
      </c>
      <c r="D20" s="999">
        <v>4.5999999999999996</v>
      </c>
      <c r="E20" s="999">
        <v>4.5999999999999996</v>
      </c>
      <c r="F20" s="999">
        <v>5</v>
      </c>
      <c r="G20" s="999">
        <v>5</v>
      </c>
      <c r="H20" s="999">
        <v>5.15</v>
      </c>
      <c r="I20" s="999">
        <v>2.75</v>
      </c>
      <c r="J20" s="999">
        <v>3.25</v>
      </c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>
      <c r="B21" s="999"/>
      <c r="C21" s="1000">
        <v>42183</v>
      </c>
      <c r="D21" s="999">
        <v>4.8499999999999996</v>
      </c>
      <c r="E21" s="999">
        <v>4.8499999999999996</v>
      </c>
      <c r="F21" s="999">
        <v>5.25</v>
      </c>
      <c r="G21" s="999">
        <v>5.25</v>
      </c>
      <c r="H21" s="999">
        <v>5.4</v>
      </c>
      <c r="I21" s="999">
        <v>3</v>
      </c>
      <c r="J21" s="999">
        <v>3.5</v>
      </c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42135</v>
      </c>
      <c r="D22" s="999">
        <v>5.0999999999999996</v>
      </c>
      <c r="E22" s="999">
        <v>5.0999999999999996</v>
      </c>
      <c r="F22" s="999">
        <v>5.5</v>
      </c>
      <c r="G22" s="999">
        <v>5.5</v>
      </c>
      <c r="H22" s="999">
        <v>5.65</v>
      </c>
      <c r="I22" s="999">
        <v>3.25</v>
      </c>
      <c r="J22" s="999">
        <v>3.75</v>
      </c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42064</v>
      </c>
      <c r="D23" s="999">
        <v>5.35</v>
      </c>
      <c r="E23" s="999">
        <v>5.35</v>
      </c>
      <c r="F23" s="999">
        <v>5.75</v>
      </c>
      <c r="G23" s="999">
        <v>5.75</v>
      </c>
      <c r="H23" s="999">
        <v>5.9</v>
      </c>
      <c r="I23" s="999"/>
      <c r="J23" s="99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41965</v>
      </c>
      <c r="D24" s="999">
        <v>5.6</v>
      </c>
      <c r="E24" s="999">
        <v>5.6</v>
      </c>
      <c r="F24" s="999">
        <v>6</v>
      </c>
      <c r="G24" s="999">
        <v>6</v>
      </c>
      <c r="H24" s="999">
        <v>6.15</v>
      </c>
      <c r="I24" s="999"/>
      <c r="J24" s="999"/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41096</v>
      </c>
      <c r="D25" s="999">
        <v>5.6</v>
      </c>
      <c r="E25" s="999">
        <v>6</v>
      </c>
      <c r="F25" s="999">
        <v>6.15</v>
      </c>
      <c r="G25" s="999">
        <v>6.4</v>
      </c>
      <c r="H25" s="999">
        <v>6.55</v>
      </c>
      <c r="I25" s="999">
        <v>4</v>
      </c>
      <c r="J25" s="999">
        <v>4.5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41068</v>
      </c>
      <c r="D26" s="999">
        <v>5.85</v>
      </c>
      <c r="E26" s="999">
        <v>6.31</v>
      </c>
      <c r="F26" s="999">
        <v>6.4</v>
      </c>
      <c r="G26" s="999">
        <v>6.65</v>
      </c>
      <c r="H26" s="999">
        <v>6.8</v>
      </c>
      <c r="I26" s="999">
        <v>4.2</v>
      </c>
      <c r="J26" s="999">
        <v>4.7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40731</v>
      </c>
      <c r="D27" s="999">
        <v>6.1</v>
      </c>
      <c r="E27" s="999">
        <v>6.56</v>
      </c>
      <c r="F27" s="999">
        <v>6.65</v>
      </c>
      <c r="G27" s="999">
        <v>6.9</v>
      </c>
      <c r="H27" s="999">
        <v>7.05</v>
      </c>
      <c r="I27" s="999">
        <v>4.45</v>
      </c>
      <c r="J27" s="999">
        <v>4.9000000000000004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40639</v>
      </c>
      <c r="D28" s="999">
        <v>5.85</v>
      </c>
      <c r="E28" s="999">
        <v>6.31</v>
      </c>
      <c r="F28" s="999">
        <v>6.4</v>
      </c>
      <c r="G28" s="999">
        <v>6.65</v>
      </c>
      <c r="H28" s="999">
        <v>6.8</v>
      </c>
      <c r="I28" s="999">
        <v>4.2</v>
      </c>
      <c r="J28" s="999">
        <v>4.7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40583</v>
      </c>
      <c r="D29" s="999">
        <v>5.6</v>
      </c>
      <c r="E29" s="999">
        <v>6.06</v>
      </c>
      <c r="F29" s="999">
        <v>6.1</v>
      </c>
      <c r="G29" s="999">
        <v>6.45</v>
      </c>
      <c r="H29" s="999">
        <v>6.6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40538</v>
      </c>
      <c r="D30" s="999">
        <v>5.35</v>
      </c>
      <c r="E30" s="999">
        <v>5.81</v>
      </c>
      <c r="F30" s="999">
        <v>5.85</v>
      </c>
      <c r="G30" s="999">
        <v>6.22</v>
      </c>
      <c r="H30" s="999">
        <v>6.4</v>
      </c>
      <c r="I30" s="999">
        <v>3.75</v>
      </c>
      <c r="J30" s="999">
        <v>4.3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40471</v>
      </c>
      <c r="D31" s="999">
        <v>5.0999999999999996</v>
      </c>
      <c r="E31" s="999">
        <v>5.56</v>
      </c>
      <c r="F31" s="999">
        <v>5.6</v>
      </c>
      <c r="G31" s="999">
        <v>5.96</v>
      </c>
      <c r="H31" s="999">
        <v>6.14</v>
      </c>
      <c r="I31" s="999">
        <v>3.5</v>
      </c>
      <c r="J31" s="999">
        <v>4.05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39805</v>
      </c>
      <c r="D32" s="999">
        <v>4.8600000000000003</v>
      </c>
      <c r="E32" s="999">
        <v>5.31</v>
      </c>
      <c r="F32" s="999">
        <v>5.4</v>
      </c>
      <c r="G32" s="999">
        <v>5.76</v>
      </c>
      <c r="H32" s="999">
        <v>5.94</v>
      </c>
      <c r="I32" s="999">
        <v>3.33</v>
      </c>
      <c r="J32" s="999">
        <v>3.87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39779</v>
      </c>
      <c r="D33" s="999">
        <v>5.04</v>
      </c>
      <c r="E33" s="999">
        <v>5.58</v>
      </c>
      <c r="F33" s="999">
        <v>5.67</v>
      </c>
      <c r="G33" s="999">
        <v>5.94</v>
      </c>
      <c r="H33" s="999">
        <v>6.12</v>
      </c>
      <c r="I33" s="999">
        <v>3.51</v>
      </c>
      <c r="J33" s="999">
        <v>4.05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39751</v>
      </c>
      <c r="D34" s="999">
        <v>6.03</v>
      </c>
      <c r="E34" s="999">
        <v>6.66</v>
      </c>
      <c r="F34" s="999">
        <v>6.75</v>
      </c>
      <c r="G34" s="999">
        <v>7.02</v>
      </c>
      <c r="H34" s="999">
        <v>7.2</v>
      </c>
      <c r="I34" s="999">
        <v>4.05</v>
      </c>
      <c r="J34" s="999">
        <v>4.59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1">
        <v>39748</v>
      </c>
      <c r="D35" s="999">
        <v>6.12</v>
      </c>
      <c r="E35" s="999">
        <v>6.93</v>
      </c>
      <c r="F35" s="999">
        <v>7.02</v>
      </c>
      <c r="G35" s="999">
        <v>7.29</v>
      </c>
      <c r="H35" s="999">
        <v>7.47</v>
      </c>
      <c r="I35" s="999">
        <v>4.05</v>
      </c>
      <c r="J35" s="999">
        <v>4.59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39730</v>
      </c>
      <c r="D36" s="999">
        <v>6.12</v>
      </c>
      <c r="E36" s="999">
        <v>6.93</v>
      </c>
      <c r="F36" s="999">
        <v>7.02</v>
      </c>
      <c r="G36" s="999">
        <v>7.29</v>
      </c>
      <c r="H36" s="999">
        <v>7.47</v>
      </c>
      <c r="I36" s="999">
        <v>4.32</v>
      </c>
      <c r="J36" s="999">
        <v>4.8600000000000003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39707</v>
      </c>
      <c r="D37" s="999">
        <v>6.21</v>
      </c>
      <c r="E37" s="999">
        <v>7.2</v>
      </c>
      <c r="F37" s="999">
        <v>7.29</v>
      </c>
      <c r="G37" s="999">
        <v>7.56</v>
      </c>
      <c r="H37" s="999">
        <v>7.74</v>
      </c>
      <c r="I37" s="999">
        <v>4.59</v>
      </c>
      <c r="J37" s="999">
        <v>5.13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39437</v>
      </c>
      <c r="D38" s="999">
        <v>6.57</v>
      </c>
      <c r="E38" s="999">
        <v>7.47</v>
      </c>
      <c r="F38" s="999">
        <v>7.56</v>
      </c>
      <c r="G38" s="999">
        <v>7.74</v>
      </c>
      <c r="H38" s="999">
        <v>7.83</v>
      </c>
      <c r="I38" s="999">
        <v>4.7699999999999996</v>
      </c>
      <c r="J38" s="999">
        <v>5.22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39340</v>
      </c>
      <c r="D39" s="999">
        <v>6.48</v>
      </c>
      <c r="E39" s="999">
        <v>7.29</v>
      </c>
      <c r="F39" s="999">
        <v>7.47</v>
      </c>
      <c r="G39" s="999">
        <v>7.65</v>
      </c>
      <c r="H39" s="999">
        <v>7.83</v>
      </c>
      <c r="I39" s="999">
        <v>4.7699999999999996</v>
      </c>
      <c r="J39" s="999">
        <v>5.22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39316</v>
      </c>
      <c r="D40" s="999">
        <v>6.21</v>
      </c>
      <c r="E40" s="999">
        <v>7.02</v>
      </c>
      <c r="F40" s="999">
        <v>7.2</v>
      </c>
      <c r="G40" s="999">
        <v>7.38</v>
      </c>
      <c r="H40" s="999">
        <v>7.56</v>
      </c>
      <c r="I40" s="999">
        <v>4.59</v>
      </c>
      <c r="J40" s="999">
        <v>5.04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39284</v>
      </c>
      <c r="D41" s="999">
        <v>6.03</v>
      </c>
      <c r="E41" s="999">
        <v>6.84</v>
      </c>
      <c r="F41" s="999">
        <v>7.02</v>
      </c>
      <c r="G41" s="999">
        <v>7.2</v>
      </c>
      <c r="H41" s="999">
        <v>7.38</v>
      </c>
      <c r="I41" s="999">
        <v>4.5</v>
      </c>
      <c r="J41" s="999">
        <v>4.95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39221</v>
      </c>
      <c r="D42" s="999">
        <v>5.85</v>
      </c>
      <c r="E42" s="999">
        <v>6.57</v>
      </c>
      <c r="F42" s="999">
        <v>6.75</v>
      </c>
      <c r="G42" s="999">
        <v>6.93</v>
      </c>
      <c r="H42" s="999">
        <v>7.2</v>
      </c>
      <c r="I42" s="999">
        <v>4.41</v>
      </c>
      <c r="J42" s="999">
        <v>4.8600000000000003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39159</v>
      </c>
      <c r="D43" s="999">
        <v>5.67</v>
      </c>
      <c r="E43" s="999">
        <v>6.39</v>
      </c>
      <c r="F43" s="999">
        <v>6.57</v>
      </c>
      <c r="G43" s="999">
        <v>6.75</v>
      </c>
      <c r="H43" s="999">
        <v>7.11</v>
      </c>
      <c r="I43" s="999">
        <v>4.32</v>
      </c>
      <c r="J43" s="999">
        <v>4.7699999999999996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38948</v>
      </c>
      <c r="D44" s="999">
        <v>5.58</v>
      </c>
      <c r="E44" s="999">
        <v>6.12</v>
      </c>
      <c r="F44" s="999">
        <v>6.3</v>
      </c>
      <c r="G44" s="999">
        <v>6.48</v>
      </c>
      <c r="H44" s="999">
        <v>6.84</v>
      </c>
      <c r="I44" s="999">
        <v>4.1399999999999997</v>
      </c>
      <c r="J44" s="999">
        <v>4.59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38835</v>
      </c>
      <c r="D45" s="999">
        <v>5.4</v>
      </c>
      <c r="E45" s="999">
        <v>5.85</v>
      </c>
      <c r="F45" s="999">
        <v>6.03</v>
      </c>
      <c r="G45" s="999">
        <v>6.12</v>
      </c>
      <c r="H45" s="999">
        <v>6.39</v>
      </c>
      <c r="I45" s="999">
        <v>4.1399999999999997</v>
      </c>
      <c r="J45" s="999">
        <v>4.59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38428</v>
      </c>
      <c r="D46" s="999">
        <v>5.22</v>
      </c>
      <c r="E46" s="999">
        <v>5.58</v>
      </c>
      <c r="F46" s="999">
        <v>5.76</v>
      </c>
      <c r="G46" s="999">
        <v>5.85</v>
      </c>
      <c r="H46" s="999">
        <v>6.12</v>
      </c>
      <c r="I46" s="999">
        <v>3.96</v>
      </c>
      <c r="J46" s="999">
        <v>4.41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38289</v>
      </c>
      <c r="D47" s="999">
        <v>5.22</v>
      </c>
      <c r="E47" s="999">
        <v>5.58</v>
      </c>
      <c r="F47" s="999">
        <v>5.76</v>
      </c>
      <c r="G47" s="999">
        <v>5.85</v>
      </c>
      <c r="H47" s="999">
        <v>6.12</v>
      </c>
      <c r="I47" s="999">
        <v>3.78</v>
      </c>
      <c r="J47" s="999">
        <v>4.2300000000000004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37308</v>
      </c>
      <c r="D48" s="999">
        <v>5.04</v>
      </c>
      <c r="E48" s="999">
        <v>5.31</v>
      </c>
      <c r="F48" s="999">
        <v>5.49</v>
      </c>
      <c r="G48" s="999">
        <v>5.58</v>
      </c>
      <c r="H48" s="999">
        <v>5.76</v>
      </c>
      <c r="I48" s="999">
        <v>3.6</v>
      </c>
      <c r="J48" s="999">
        <v>4.05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36321</v>
      </c>
      <c r="D49" s="999">
        <v>5.58</v>
      </c>
      <c r="E49" s="999">
        <v>5.85</v>
      </c>
      <c r="F49" s="999">
        <v>5.94</v>
      </c>
      <c r="G49" s="999">
        <v>6.03</v>
      </c>
      <c r="H49" s="999">
        <v>6.21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36136</v>
      </c>
      <c r="D50" s="999">
        <v>6.12</v>
      </c>
      <c r="E50" s="999">
        <v>6.39</v>
      </c>
      <c r="F50" s="999">
        <v>6.66</v>
      </c>
      <c r="G50" s="999">
        <v>7.2</v>
      </c>
      <c r="H50" s="999">
        <v>7.56</v>
      </c>
      <c r="I50" s="999">
        <v>0</v>
      </c>
      <c r="J50" s="999">
        <v>0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35977</v>
      </c>
      <c r="D51" s="999">
        <v>6.57</v>
      </c>
      <c r="E51" s="999">
        <v>6.93</v>
      </c>
      <c r="F51" s="999">
        <v>7.11</v>
      </c>
      <c r="G51" s="999">
        <v>7.65</v>
      </c>
      <c r="H51" s="999">
        <v>8.01</v>
      </c>
      <c r="I51" s="999">
        <v>0</v>
      </c>
      <c r="J51" s="999">
        <v>0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35879</v>
      </c>
      <c r="D52" s="999">
        <v>7.02</v>
      </c>
      <c r="E52" s="999">
        <v>7.92</v>
      </c>
      <c r="F52" s="999">
        <v>9</v>
      </c>
      <c r="G52" s="999">
        <v>9.7200000000000006</v>
      </c>
      <c r="H52" s="999">
        <v>10.35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35726</v>
      </c>
      <c r="D53" s="999">
        <v>7.65</v>
      </c>
      <c r="E53" s="999">
        <v>8.64</v>
      </c>
      <c r="F53" s="999">
        <v>9.36</v>
      </c>
      <c r="G53" s="999">
        <v>9.9</v>
      </c>
      <c r="H53" s="999">
        <v>10.53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35300</v>
      </c>
      <c r="D54" s="999">
        <v>9.18</v>
      </c>
      <c r="E54" s="999">
        <v>10.08</v>
      </c>
      <c r="F54" s="999">
        <v>10.98</v>
      </c>
      <c r="G54" s="999">
        <v>11.7</v>
      </c>
      <c r="H54" s="999">
        <v>12.42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35186</v>
      </c>
      <c r="D55" s="999">
        <v>9.7200000000000006</v>
      </c>
      <c r="E55" s="999">
        <v>10.98</v>
      </c>
      <c r="F55" s="999">
        <v>13.14</v>
      </c>
      <c r="G55" s="999">
        <v>14.94</v>
      </c>
      <c r="H55" s="999">
        <v>15.12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34881</v>
      </c>
      <c r="D56" s="999">
        <v>10.08</v>
      </c>
      <c r="E56" s="999">
        <v>12.06</v>
      </c>
      <c r="F56" s="999">
        <v>13.5</v>
      </c>
      <c r="G56" s="999">
        <v>15.12</v>
      </c>
      <c r="H56" s="999">
        <v>15.3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34700</v>
      </c>
      <c r="D57" s="999">
        <v>9</v>
      </c>
      <c r="E57" s="999">
        <v>10.98</v>
      </c>
      <c r="F57" s="999">
        <v>12.96</v>
      </c>
      <c r="G57" s="999">
        <v>14.58</v>
      </c>
      <c r="H57" s="999">
        <v>14.76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34161</v>
      </c>
      <c r="D58" s="999">
        <v>9</v>
      </c>
      <c r="E58" s="999">
        <v>10.98</v>
      </c>
      <c r="F58" s="999">
        <v>12.24</v>
      </c>
      <c r="G58" s="999">
        <v>13.86</v>
      </c>
      <c r="H58" s="999">
        <v>14.04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34104</v>
      </c>
      <c r="D59" s="999">
        <v>8.82</v>
      </c>
      <c r="E59" s="999">
        <v>9.36</v>
      </c>
      <c r="F59" s="999">
        <v>10.8</v>
      </c>
      <c r="G59" s="999">
        <v>12.06</v>
      </c>
      <c r="H59" s="999">
        <v>12.24</v>
      </c>
      <c r="I59" s="999">
        <v>0</v>
      </c>
      <c r="J59" s="999">
        <v>0</v>
      </c>
    </row>
    <row r="60" spans="2:26">
      <c r="B60" s="999"/>
      <c r="C60" s="1000">
        <v>33349</v>
      </c>
      <c r="D60" s="999">
        <v>8.1</v>
      </c>
      <c r="E60" s="999">
        <v>8.64</v>
      </c>
      <c r="F60" s="999">
        <v>9</v>
      </c>
      <c r="G60" s="999">
        <v>9.5399999999999991</v>
      </c>
      <c r="H60" s="999">
        <v>9.7200000000000006</v>
      </c>
      <c r="I60" s="999">
        <v>0</v>
      </c>
      <c r="J60" s="999">
        <v>0</v>
      </c>
    </row>
    <row r="61" spans="2:26">
      <c r="B61" s="999"/>
      <c r="C61" s="1000">
        <v>33318</v>
      </c>
      <c r="D61" s="999">
        <v>9</v>
      </c>
      <c r="E61" s="999">
        <v>10.08</v>
      </c>
      <c r="F61" s="999">
        <v>10.8</v>
      </c>
      <c r="G61" s="999">
        <v>11.52</v>
      </c>
      <c r="H61" s="999">
        <v>11.88</v>
      </c>
      <c r="I61" s="999" t="s">
        <v>1528</v>
      </c>
      <c r="J61" s="999" t="s">
        <v>1528</v>
      </c>
    </row>
    <row r="62" spans="2:26">
      <c r="B62" s="999"/>
      <c r="C62" s="1000">
        <v>33106</v>
      </c>
      <c r="D62" s="999">
        <v>8.64</v>
      </c>
      <c r="E62" s="999">
        <v>9.36</v>
      </c>
      <c r="F62" s="999">
        <v>10.08</v>
      </c>
      <c r="G62" s="999">
        <v>10.8</v>
      </c>
      <c r="H62" s="999">
        <v>11.16</v>
      </c>
      <c r="I62" s="999">
        <v>0</v>
      </c>
      <c r="J62" s="999">
        <v>0</v>
      </c>
    </row>
    <row r="63" spans="2:26">
      <c r="B63" s="999"/>
      <c r="C63" s="1000">
        <v>32540</v>
      </c>
      <c r="D63" s="999">
        <v>11.34</v>
      </c>
      <c r="E63" s="999">
        <v>11.34</v>
      </c>
      <c r="F63" s="999">
        <v>12.78</v>
      </c>
      <c r="G63" s="999">
        <v>14.4</v>
      </c>
      <c r="H63" s="999">
        <v>19.260000000000002</v>
      </c>
      <c r="I63" s="999">
        <v>0</v>
      </c>
      <c r="J63" s="999">
        <v>0</v>
      </c>
    </row>
    <row r="64" spans="2:26">
      <c r="B64" s="999"/>
      <c r="C64" s="1000"/>
      <c r="D64" s="999"/>
      <c r="E64" s="999"/>
      <c r="F64" s="999"/>
      <c r="G64" s="999"/>
      <c r="H64" s="999"/>
      <c r="I64" s="999"/>
      <c r="J64" s="999"/>
    </row>
    <row r="65" spans="2:10">
      <c r="B65" s="1002"/>
      <c r="C65" s="1003"/>
      <c r="D65" s="1002"/>
      <c r="E65" s="1002"/>
      <c r="F65" s="1002"/>
      <c r="G65" s="1002"/>
      <c r="H65" s="1002"/>
      <c r="I65" s="1002"/>
      <c r="J65" s="1002"/>
    </row>
    <row r="66" spans="2:10">
      <c r="B66" s="1002"/>
      <c r="C66" s="1003"/>
      <c r="D66" s="1002"/>
      <c r="E66" s="1002"/>
      <c r="F66" s="1002"/>
      <c r="G66" s="1002"/>
      <c r="H66" s="1002"/>
      <c r="I66" s="1002"/>
      <c r="J66" s="1002"/>
    </row>
    <row r="67" spans="2:10">
      <c r="B67" s="1002"/>
      <c r="C67" s="1003"/>
      <c r="D67" s="1002"/>
      <c r="E67" s="1002"/>
      <c r="F67" s="1002"/>
      <c r="G67" s="1002"/>
      <c r="H67" s="1002"/>
      <c r="I67" s="1002"/>
      <c r="J67" s="1002"/>
    </row>
    <row r="68" spans="2:10">
      <c r="B68" s="972"/>
      <c r="C68" s="972"/>
      <c r="D68" s="972"/>
      <c r="E68" s="972"/>
      <c r="F68" s="972"/>
      <c r="G68" s="972"/>
      <c r="H68" s="972"/>
      <c r="I68" s="972"/>
      <c r="J68" s="972"/>
    </row>
    <row r="69" spans="2:10">
      <c r="B69" s="972"/>
      <c r="C69" s="972"/>
      <c r="D69" s="972"/>
      <c r="E69" s="972"/>
      <c r="F69" s="972"/>
      <c r="G69" s="972"/>
      <c r="H69" s="972"/>
      <c r="I69" s="972"/>
      <c r="J69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zoomScale="80" zoomScaleNormal="80" workbookViewId="0">
      <selection activeCell="X7" sqref="X7"/>
    </sheetView>
  </sheetViews>
  <sheetFormatPr defaultColWidth="8.875" defaultRowHeight="12.75"/>
  <cols>
    <col min="1" max="6" width="8.875" style="1623"/>
    <col min="7" max="7" width="8.875" style="1647"/>
    <col min="8" max="8" width="8.875" style="1623"/>
    <col min="9" max="12" width="9" style="1623" customWidth="1"/>
    <col min="13" max="13" width="2.25" style="1623" customWidth="1"/>
    <col min="14" max="14" width="9" style="1647" customWidth="1"/>
    <col min="15" max="17" width="9" style="1623" customWidth="1"/>
    <col min="18" max="18" width="2.375" style="1623" customWidth="1"/>
    <col min="19" max="19" width="7.125" style="1647" customWidth="1"/>
    <col min="20" max="22" width="7.125" style="1623" customWidth="1"/>
    <col min="23" max="23" width="2.5" style="1623" customWidth="1"/>
    <col min="24" max="16384" width="8.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5" thickBot="1">
      <c r="B2" s="1587" t="s">
        <v>1634</v>
      </c>
      <c r="C2" s="1587"/>
      <c r="D2" s="1587"/>
      <c r="F2" s="1587"/>
      <c r="G2" s="1895" t="s">
        <v>1635</v>
      </c>
      <c r="H2" s="1895"/>
      <c r="I2" s="1895"/>
      <c r="J2" s="1895"/>
      <c r="K2" s="1895"/>
      <c r="L2" s="1895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6" customFormat="1" ht="14.25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25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ROUND(AVERAGE($I5:$I35),2)</f>
        <v>1.73</v>
      </c>
      <c r="J4" s="1596">
        <f>ROUND(AVERAGE($J5:$J35),2)</f>
        <v>1.0900000000000001</v>
      </c>
      <c r="K4" s="1596">
        <f>ROUND(AVERAGE($K5:$K35),2)</f>
        <v>1.9</v>
      </c>
      <c r="L4" s="1596">
        <f>ROUND(AVERAGE($L5:$L35),2)</f>
        <v>1.25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25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>
      <c r="A6" s="1608" t="s">
        <v>1786</v>
      </c>
      <c r="B6" s="1609">
        <f t="shared" ref="B6" si="0">B7*(1+N6)</f>
        <v>497.92799851020823</v>
      </c>
      <c r="C6" s="1609">
        <f t="shared" ref="C6" si="1">C7*(1+O6)</f>
        <v>347.77173663537445</v>
      </c>
      <c r="D6" s="1609">
        <f t="shared" ref="D6" si="2">C6</f>
        <v>347.77173663537445</v>
      </c>
      <c r="E6" s="1609">
        <f t="shared" ref="E6" si="3">E7*(1+P6)</f>
        <v>718.44695593258189</v>
      </c>
      <c r="F6" s="1609">
        <f t="shared" ref="F6" si="4">F7*(1+Q6)</f>
        <v>329.12600580153247</v>
      </c>
      <c r="G6" s="1610">
        <v>2021</v>
      </c>
      <c r="H6" s="1611">
        <v>2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1785</v>
      </c>
      <c r="B7" s="1620">
        <f t="shared" ref="B7" si="9">B8*(1+N7)</f>
        <v>497.92799851020823</v>
      </c>
      <c r="C7" s="1620">
        <f t="shared" ref="C7" si="10">C8*(1+O7)</f>
        <v>347.77173663537445</v>
      </c>
      <c r="D7" s="1620">
        <f t="shared" ref="D7" si="11">C7</f>
        <v>347.77173663537445</v>
      </c>
      <c r="E7" s="1620">
        <f t="shared" ref="E7" si="12">E8*(1+P7)</f>
        <v>718.44695593258189</v>
      </c>
      <c r="F7" s="1620">
        <f t="shared" ref="F7" si="13">F8*(1+Q7)</f>
        <v>329.12600580153247</v>
      </c>
      <c r="G7" s="1751">
        <v>2021</v>
      </c>
      <c r="H7" s="1622">
        <v>1</v>
      </c>
      <c r="I7" s="1761">
        <v>0.97</v>
      </c>
      <c r="J7" s="1761">
        <v>0.16</v>
      </c>
      <c r="K7" s="1761">
        <v>1.1100000000000001</v>
      </c>
      <c r="L7" s="1762">
        <v>0.36</v>
      </c>
      <c r="N7" s="1624">
        <f t="shared" ref="N7" si="14">I7/100</f>
        <v>9.7000000000000003E-3</v>
      </c>
      <c r="O7" s="1625">
        <f t="shared" ref="O7" si="15">J7/100</f>
        <v>1.6000000000000001E-3</v>
      </c>
      <c r="P7" s="1625">
        <f t="shared" ref="P7" si="16">K7/100</f>
        <v>1.11E-2</v>
      </c>
      <c r="Q7" s="1625">
        <f t="shared" ref="Q7" si="17">L7/100</f>
        <v>3.5999999999999999E-3</v>
      </c>
      <c r="R7" s="1626"/>
      <c r="S7" s="1627">
        <f>B7/B8-1</f>
        <v>9.7000000000000419E-3</v>
      </c>
      <c r="T7" s="1628">
        <f>C7/C8-1</f>
        <v>1.6000000000000458E-3</v>
      </c>
      <c r="U7" s="1628">
        <f>E7/E8-1</f>
        <v>1.110000000000011E-2</v>
      </c>
      <c r="V7" s="1628">
        <f>F7/F8-1</f>
        <v>3.6000000000000476E-3</v>
      </c>
      <c r="AC7" s="1629"/>
      <c r="AD7" s="1629"/>
      <c r="AE7" s="1629"/>
      <c r="AF7" s="1629"/>
    </row>
    <row r="8" spans="1:32">
      <c r="A8" s="1619" t="s">
        <v>1783</v>
      </c>
      <c r="B8" s="1620">
        <f t="shared" ref="B8" si="18">B9*(1+N8)</f>
        <v>493.14449689037161</v>
      </c>
      <c r="C8" s="1620">
        <f t="shared" ref="C8" si="19">C9*(1+O8)</f>
        <v>347.21619073020611</v>
      </c>
      <c r="D8" s="1620">
        <f t="shared" ref="D8" si="20">C8</f>
        <v>347.21619073020611</v>
      </c>
      <c r="E8" s="1620">
        <f t="shared" ref="E8" si="21">E9*(1+P8)</f>
        <v>710.55974278763904</v>
      </c>
      <c r="F8" s="1620">
        <f t="shared" ref="F8" si="22">F9*(1+Q8)</f>
        <v>327.94540235306141</v>
      </c>
      <c r="G8" s="1748">
        <v>2020</v>
      </c>
      <c r="H8" s="1622">
        <v>4</v>
      </c>
      <c r="I8" s="1583">
        <v>2.0699999999999998</v>
      </c>
      <c r="J8" s="1583">
        <v>0.37</v>
      </c>
      <c r="K8" s="1583">
        <v>2.35</v>
      </c>
      <c r="L8" s="1584">
        <v>2.69</v>
      </c>
      <c r="N8" s="1624">
        <f t="shared" ref="N8" si="23">I8/100</f>
        <v>2.07E-2</v>
      </c>
      <c r="O8" s="1625">
        <f t="shared" ref="O8" si="24">J8/100</f>
        <v>3.7000000000000002E-3</v>
      </c>
      <c r="P8" s="1625">
        <f t="shared" ref="P8" si="25">K8/100</f>
        <v>2.35E-2</v>
      </c>
      <c r="Q8" s="1625">
        <f t="shared" ref="Q8" si="26">L8/100</f>
        <v>2.69E-2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1782</v>
      </c>
      <c r="B9" s="1620">
        <f t="shared" ref="B9" si="27">B10*(1+N9)</f>
        <v>483.1434279321756</v>
      </c>
      <c r="C9" s="1620">
        <f t="shared" ref="C9" si="28">C10*(1+O9)</f>
        <v>345.93622669144776</v>
      </c>
      <c r="D9" s="1620">
        <f t="shared" ref="D9" si="29">C9</f>
        <v>345.93622669144776</v>
      </c>
      <c r="E9" s="1620">
        <f t="shared" ref="E9" si="30">E10*(1+P9)</f>
        <v>694.24498562544113</v>
      </c>
      <c r="F9" s="1620">
        <f t="shared" ref="F9" si="31">F10*(1+Q9)</f>
        <v>319.35475932716082</v>
      </c>
      <c r="G9" s="1747">
        <v>2020</v>
      </c>
      <c r="H9" s="1622">
        <v>3</v>
      </c>
      <c r="I9" s="1583">
        <v>0.36</v>
      </c>
      <c r="J9" s="1583">
        <v>-0.39</v>
      </c>
      <c r="K9" s="1583">
        <v>0.49</v>
      </c>
      <c r="L9" s="1584">
        <v>7.0000000000000007E-2</v>
      </c>
      <c r="N9" s="1624">
        <f t="shared" ref="N9" si="32">I9/100</f>
        <v>3.5999999999999999E-3</v>
      </c>
      <c r="O9" s="1625">
        <f t="shared" ref="O9" si="33">J9/100</f>
        <v>-3.9000000000000003E-3</v>
      </c>
      <c r="P9" s="1625">
        <f t="shared" ref="P9" si="34">K9/100</f>
        <v>4.8999999999999998E-3</v>
      </c>
      <c r="Q9" s="1625">
        <f t="shared" ref="Q9" si="35">L9/100</f>
        <v>7.000000000000001E-4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>
      <c r="A10" s="1619" t="s">
        <v>1781</v>
      </c>
      <c r="B10" s="1620">
        <f t="shared" ref="B10" si="36">B11*(1+N10)</f>
        <v>481.4103506697644</v>
      </c>
      <c r="C10" s="1620">
        <f t="shared" ref="C10" si="37">C11*(1+O10)</f>
        <v>347.29066026648707</v>
      </c>
      <c r="D10" s="1620">
        <f t="shared" ref="D10" si="38">C10</f>
        <v>347.29066026648707</v>
      </c>
      <c r="E10" s="1620">
        <f t="shared" ref="E10" si="39">E11*(1+P10)</f>
        <v>690.85977273901995</v>
      </c>
      <c r="F10" s="1620">
        <f t="shared" ref="F10" si="40">F11*(1+Q10)</f>
        <v>319.13136737000184</v>
      </c>
      <c r="G10" s="1621">
        <v>2020</v>
      </c>
      <c r="H10" s="1622">
        <v>2</v>
      </c>
      <c r="I10" s="1583">
        <v>0.31</v>
      </c>
      <c r="J10" s="1583">
        <v>-0.78</v>
      </c>
      <c r="K10" s="1583">
        <v>0.5</v>
      </c>
      <c r="L10" s="1584">
        <v>0.47</v>
      </c>
      <c r="N10" s="1624">
        <f t="shared" ref="N10" si="41">I10/100</f>
        <v>3.0999999999999999E-3</v>
      </c>
      <c r="O10" s="1625">
        <f t="shared" ref="O10" si="42">J10/100</f>
        <v>-7.8000000000000005E-3</v>
      </c>
      <c r="P10" s="1625">
        <f t="shared" ref="P10" si="43">K10/100</f>
        <v>5.0000000000000001E-3</v>
      </c>
      <c r="Q10" s="1625">
        <f t="shared" ref="Q10" si="44">L10/100</f>
        <v>4.6999999999999993E-3</v>
      </c>
      <c r="R10" s="1626"/>
      <c r="S10" s="1627"/>
      <c r="T10" s="1628"/>
      <c r="U10" s="1628"/>
      <c r="V10" s="1628"/>
      <c r="AC10" s="1629"/>
      <c r="AD10" s="1629"/>
      <c r="AE10" s="1629"/>
      <c r="AF10" s="1629"/>
    </row>
    <row r="11" spans="1:32" ht="13.5" thickBot="1">
      <c r="A11" s="1619" t="s">
        <v>1780</v>
      </c>
      <c r="B11" s="1620">
        <f t="shared" ref="B11" si="45">B12*(1+N11)</f>
        <v>479.92259063878413</v>
      </c>
      <c r="C11" s="1620">
        <f t="shared" ref="C11" si="46">C12*(1+O11)</f>
        <v>350.02082268341775</v>
      </c>
      <c r="D11" s="1620">
        <f t="shared" ref="D11" si="47">C11</f>
        <v>350.02082268341775</v>
      </c>
      <c r="E11" s="1620">
        <f t="shared" ref="E11" si="48">E12*(1+P11)</f>
        <v>687.42265944181099</v>
      </c>
      <c r="F11" s="1620">
        <f t="shared" ref="F11" si="49">F12*(1+Q11)</f>
        <v>317.63846657708956</v>
      </c>
      <c r="G11" s="1621">
        <v>2020</v>
      </c>
      <c r="H11" s="1622">
        <v>1</v>
      </c>
      <c r="I11" s="1583">
        <v>0.12</v>
      </c>
      <c r="J11" s="1583">
        <v>-0.4</v>
      </c>
      <c r="K11" s="1583">
        <v>0.21</v>
      </c>
      <c r="L11" s="1584">
        <v>0.27</v>
      </c>
      <c r="N11" s="1624">
        <f t="shared" ref="N11" si="50">I11/100</f>
        <v>1.1999999999999999E-3</v>
      </c>
      <c r="O11" s="1625">
        <f t="shared" ref="O11" si="51">J11/100</f>
        <v>-4.0000000000000001E-3</v>
      </c>
      <c r="P11" s="1625">
        <f t="shared" ref="P11" si="52">K11/100</f>
        <v>2.0999999999999999E-3</v>
      </c>
      <c r="Q11" s="1625">
        <f t="shared" ref="Q11" si="53">L11/100</f>
        <v>2.7000000000000001E-3</v>
      </c>
      <c r="R11" s="1626"/>
      <c r="S11" s="1627">
        <f>B11/B12-1</f>
        <v>1.2000000000000899E-3</v>
      </c>
      <c r="T11" s="1628">
        <f>C11/C12-1</f>
        <v>-4.0000000000000036E-3</v>
      </c>
      <c r="U11" s="1628">
        <f>E11/E12-1</f>
        <v>2.0999999999999908E-3</v>
      </c>
      <c r="V11" s="1628">
        <f>F11/F12-1</f>
        <v>2.6999999999999247E-3</v>
      </c>
      <c r="AC11" s="1629"/>
      <c r="AD11" s="1629"/>
      <c r="AE11" s="1629"/>
      <c r="AF11" s="1629"/>
    </row>
    <row r="12" spans="1:32" ht="13.5" thickBot="1">
      <c r="A12" s="1619" t="s">
        <v>1759</v>
      </c>
      <c r="B12" s="1620">
        <f t="shared" ref="B12" si="54">B13*(1+N12)</f>
        <v>479.34737379023579</v>
      </c>
      <c r="C12" s="1620">
        <f t="shared" ref="C12" si="55">C13*(1+O12)</f>
        <v>351.4265287986122</v>
      </c>
      <c r="D12" s="1620">
        <f t="shared" ref="D12" si="56">C12</f>
        <v>351.4265287986122</v>
      </c>
      <c r="E12" s="1620">
        <f t="shared" ref="E12" si="57">E13*(1+P12)</f>
        <v>685.98209703803116</v>
      </c>
      <c r="F12" s="1620">
        <f t="shared" ref="F12" si="58">F13*(1+Q12)</f>
        <v>316.78315206651001</v>
      </c>
      <c r="G12" s="1621">
        <v>2019</v>
      </c>
      <c r="H12" s="1622">
        <v>4</v>
      </c>
      <c r="I12" s="1583">
        <v>0.45</v>
      </c>
      <c r="J12" s="1583">
        <v>-0.12</v>
      </c>
      <c r="K12" s="1583">
        <v>0.54</v>
      </c>
      <c r="L12" s="1630">
        <v>0.48</v>
      </c>
      <c r="N12" s="1624">
        <f t="shared" ref="N12" si="59">I12/100</f>
        <v>4.5000000000000005E-3</v>
      </c>
      <c r="O12" s="1625">
        <f t="shared" ref="O12" si="60">J12/100</f>
        <v>-1.1999999999999999E-3</v>
      </c>
      <c r="P12" s="1625">
        <f t="shared" ref="P12" si="61">K12/100</f>
        <v>5.4000000000000003E-3</v>
      </c>
      <c r="Q12" s="1625">
        <f t="shared" ref="Q12" si="62">L12/100</f>
        <v>4.7999999999999996E-3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 ht="13.5" thickBot="1">
      <c r="A13" s="1619" t="s">
        <v>1758</v>
      </c>
      <c r="B13" s="1620">
        <f t="shared" ref="B13" si="63">B14*(1+N13)</f>
        <v>477.19997390765138</v>
      </c>
      <c r="C13" s="1620">
        <f t="shared" ref="C13" si="64">C14*(1+O13)</f>
        <v>351.84874729536665</v>
      </c>
      <c r="D13" s="1620">
        <f t="shared" ref="D13" si="65">C13</f>
        <v>351.84874729536665</v>
      </c>
      <c r="E13" s="1620">
        <f t="shared" ref="E13" si="66">E14*(1+P13)</f>
        <v>682.29768951465201</v>
      </c>
      <c r="F13" s="1620">
        <f t="shared" ref="F13" si="67">F14*(1+Q13)</f>
        <v>315.26985675409043</v>
      </c>
      <c r="G13" s="1621">
        <v>2019</v>
      </c>
      <c r="H13" s="1622">
        <v>3</v>
      </c>
      <c r="I13" s="1583">
        <v>0.61</v>
      </c>
      <c r="J13" s="1583">
        <v>0.67</v>
      </c>
      <c r="K13" s="1583">
        <v>0.6</v>
      </c>
      <c r="L13" s="1630">
        <v>1.03</v>
      </c>
      <c r="N13" s="1624">
        <f t="shared" ref="N13" si="68">I13/100</f>
        <v>6.0999999999999995E-3</v>
      </c>
      <c r="O13" s="1625">
        <f t="shared" ref="O13" si="69">J13/100</f>
        <v>6.7000000000000002E-3</v>
      </c>
      <c r="P13" s="1625">
        <f t="shared" ref="P13" si="70">K13/100</f>
        <v>6.0000000000000001E-3</v>
      </c>
      <c r="Q13" s="1625">
        <f t="shared" ref="Q13" si="71">L13/100</f>
        <v>1.03E-2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>
      <c r="A14" s="1619" t="s">
        <v>1756</v>
      </c>
      <c r="B14" s="1620">
        <f t="shared" ref="B14" si="72">B15*(1+N14)</f>
        <v>474.30670301923408</v>
      </c>
      <c r="C14" s="1620">
        <f t="shared" ref="C14" si="73">C15*(1+O14)</f>
        <v>349.50705005996491</v>
      </c>
      <c r="D14" s="1620">
        <f t="shared" ref="D14" si="74">C14</f>
        <v>349.50705005996491</v>
      </c>
      <c r="E14" s="1620">
        <f t="shared" ref="E14" si="75">E15*(1+P14)</f>
        <v>678.22831959706957</v>
      </c>
      <c r="F14" s="1620">
        <f t="shared" ref="F14" si="76">F15*(1+Q14)</f>
        <v>312.0556832169558</v>
      </c>
      <c r="G14" s="1621">
        <v>2019</v>
      </c>
      <c r="H14" s="1631">
        <v>2</v>
      </c>
      <c r="I14" s="1631">
        <v>1.53</v>
      </c>
      <c r="J14" s="1631">
        <v>1.01</v>
      </c>
      <c r="K14" s="1631">
        <v>1.62</v>
      </c>
      <c r="L14" s="1630">
        <v>1.25</v>
      </c>
      <c r="N14" s="1624">
        <f t="shared" ref="N14" si="77">I14/100</f>
        <v>1.5300000000000001E-2</v>
      </c>
      <c r="O14" s="1625">
        <f t="shared" ref="O14" si="78">J14/100</f>
        <v>1.01E-2</v>
      </c>
      <c r="P14" s="1625">
        <f t="shared" ref="P14" si="79">K14/100</f>
        <v>1.6200000000000003E-2</v>
      </c>
      <c r="Q14" s="1625">
        <f t="shared" ref="Q14" si="80">L14/100</f>
        <v>1.2500000000000001E-2</v>
      </c>
      <c r="R14" s="1626"/>
      <c r="S14" s="1627"/>
      <c r="T14" s="1628"/>
      <c r="U14" s="1628"/>
      <c r="V14" s="1628"/>
      <c r="AC14" s="1629"/>
      <c r="AD14" s="1629"/>
      <c r="AE14" s="1629"/>
      <c r="AF14" s="1629"/>
    </row>
    <row r="15" spans="1:32" ht="13.5" thickBot="1">
      <c r="A15" s="1619" t="s">
        <v>1757</v>
      </c>
      <c r="B15" s="1620">
        <f t="shared" ref="B15" si="81">B16*(1+N15)</f>
        <v>467.15916775261894</v>
      </c>
      <c r="C15" s="1620">
        <f t="shared" ref="C15" si="82">C16*(1+O15)</f>
        <v>346.01232557169084</v>
      </c>
      <c r="D15" s="1620">
        <f t="shared" ref="D15" si="83">C15</f>
        <v>346.01232557169084</v>
      </c>
      <c r="E15" s="1620">
        <f t="shared" ref="E15" si="84">E16*(1+P15)</f>
        <v>667.41617752122568</v>
      </c>
      <c r="F15" s="1620">
        <f t="shared" ref="F15" si="85">F16*(1+Q15)</f>
        <v>308.20314391798104</v>
      </c>
      <c r="G15" s="1621">
        <v>2019</v>
      </c>
      <c r="H15" s="1622">
        <v>1</v>
      </c>
      <c r="I15" s="1583">
        <v>0.6</v>
      </c>
      <c r="J15" s="1583">
        <v>0.37</v>
      </c>
      <c r="K15" s="1583">
        <v>0.63</v>
      </c>
      <c r="L15" s="1584">
        <v>1.1299999999999999</v>
      </c>
      <c r="N15" s="1624">
        <f t="shared" ref="N15" si="86">I15/100</f>
        <v>6.0000000000000001E-3</v>
      </c>
      <c r="O15" s="1625">
        <f t="shared" ref="O15" si="87">J15/100</f>
        <v>3.7000000000000002E-3</v>
      </c>
      <c r="P15" s="1625">
        <f t="shared" ref="P15" si="88">K15/100</f>
        <v>6.3E-3</v>
      </c>
      <c r="Q15" s="1625">
        <f t="shared" ref="Q15" si="89">L15/100</f>
        <v>1.1299999999999999E-2</v>
      </c>
      <c r="R15" s="1626"/>
      <c r="S15" s="1627">
        <f>B15/B16-1</f>
        <v>6.0000000000000053E-3</v>
      </c>
      <c r="T15" s="1628">
        <f>C15/C16-1</f>
        <v>3.7000000000000366E-3</v>
      </c>
      <c r="U15" s="1628">
        <f>E15/E16-1</f>
        <v>6.2999999999999723E-3</v>
      </c>
      <c r="V15" s="1628">
        <f>F15/F16-1</f>
        <v>1.1300000000000088E-2</v>
      </c>
      <c r="AC15" s="1629"/>
      <c r="AD15" s="1629"/>
      <c r="AE15" s="1629"/>
      <c r="AF15" s="1629"/>
    </row>
    <row r="16" spans="1:32">
      <c r="A16" s="1619" t="s">
        <v>1751</v>
      </c>
      <c r="B16" s="1632">
        <f t="shared" ref="B16" si="90">B17*(1+N16)</f>
        <v>464.37293017158942</v>
      </c>
      <c r="C16" s="1632">
        <f t="shared" ref="C16" si="91">C17*(1+O16)</f>
        <v>344.73679941385956</v>
      </c>
      <c r="D16" s="1632">
        <f t="shared" ref="D16" si="92">C16</f>
        <v>344.73679941385956</v>
      </c>
      <c r="E16" s="1632">
        <f t="shared" ref="E16" si="93">E17*(1+P16)</f>
        <v>663.2377795103107</v>
      </c>
      <c r="F16" s="1633">
        <f t="shared" ref="F16" si="94">F17*(1+Q16)</f>
        <v>304.75936311478398</v>
      </c>
      <c r="G16" s="1888">
        <v>2018</v>
      </c>
      <c r="H16" s="1631">
        <v>4</v>
      </c>
      <c r="I16" s="1631">
        <v>0.96</v>
      </c>
      <c r="J16" s="1631">
        <v>1.03</v>
      </c>
      <c r="K16" s="1631">
        <v>0.92</v>
      </c>
      <c r="L16" s="1630">
        <v>1.29</v>
      </c>
      <c r="N16" s="1624">
        <f t="shared" ref="N16" si="95">I16/100</f>
        <v>9.5999999999999992E-3</v>
      </c>
      <c r="O16" s="1625">
        <f t="shared" ref="O16" si="96">J16/100</f>
        <v>1.03E-2</v>
      </c>
      <c r="P16" s="1625">
        <f t="shared" ref="P16" si="97">K16/100</f>
        <v>9.1999999999999998E-3</v>
      </c>
      <c r="Q16" s="1625">
        <f t="shared" ref="Q16" si="98">L16/100</f>
        <v>1.29E-2</v>
      </c>
      <c r="R16" s="1626"/>
      <c r="S16" s="1634"/>
      <c r="T16" s="1629"/>
      <c r="U16" s="1629"/>
      <c r="V16" s="1629"/>
      <c r="AC16" s="1629"/>
      <c r="AD16" s="1629"/>
      <c r="AE16" s="1629"/>
      <c r="AF16" s="1629"/>
    </row>
    <row r="17" spans="1:32" s="1586" customFormat="1" ht="14.45" customHeight="1">
      <c r="A17" s="1619" t="s">
        <v>1746</v>
      </c>
      <c r="B17" s="1620">
        <f t="shared" ref="B17" si="99">B18*(1+N17)</f>
        <v>459.95733971036987</v>
      </c>
      <c r="C17" s="1620">
        <f t="shared" ref="C17" si="100">C18*(1+O17)</f>
        <v>341.22221064422405</v>
      </c>
      <c r="D17" s="1620">
        <f t="shared" ref="D17" si="101">C17</f>
        <v>341.22221064422405</v>
      </c>
      <c r="E17" s="1620">
        <f t="shared" ref="E17" si="102">E18*(1+P17)</f>
        <v>657.19161663724799</v>
      </c>
      <c r="F17" s="1620">
        <f t="shared" ref="F17" si="103">F18*(1+Q17)</f>
        <v>300.87803644464805</v>
      </c>
      <c r="G17" s="1888"/>
      <c r="H17" s="1622">
        <v>3</v>
      </c>
      <c r="I17" s="1583">
        <v>1.51</v>
      </c>
      <c r="J17" s="1583">
        <v>1.41</v>
      </c>
      <c r="K17" s="1583">
        <v>1.52</v>
      </c>
      <c r="L17" s="1584">
        <v>1.74</v>
      </c>
      <c r="N17" s="1624">
        <f t="shared" ref="N17" si="104">I17/100</f>
        <v>1.5100000000000001E-2</v>
      </c>
      <c r="O17" s="1625">
        <f t="shared" ref="O17" si="105">J17/100</f>
        <v>1.41E-2</v>
      </c>
      <c r="P17" s="1625">
        <f t="shared" ref="P17" si="106">K17/100</f>
        <v>1.52E-2</v>
      </c>
      <c r="Q17" s="1625">
        <f t="shared" ref="Q17" si="107">L17/100</f>
        <v>1.7399999999999999E-2</v>
      </c>
      <c r="S17" s="1627"/>
      <c r="T17" s="1628"/>
      <c r="U17" s="1628"/>
      <c r="V17" s="1628"/>
    </row>
    <row r="18" spans="1:32" s="1586" customFormat="1" ht="14.45" customHeight="1">
      <c r="A18" s="1619" t="s">
        <v>1745</v>
      </c>
      <c r="B18" s="1620">
        <f t="shared" ref="B18:B23" si="108">B19*(1+N18)</f>
        <v>453.11529869999993</v>
      </c>
      <c r="C18" s="1620">
        <f t="shared" ref="C18" si="109">C19*(1+O18)</f>
        <v>336.47787264000004</v>
      </c>
      <c r="D18" s="1620">
        <f t="shared" ref="D18" si="110">C18</f>
        <v>336.47787264000004</v>
      </c>
      <c r="E18" s="1620">
        <f t="shared" ref="E18" si="111">E19*(1+P18)</f>
        <v>647.35186823999993</v>
      </c>
      <c r="F18" s="1620">
        <f t="shared" ref="F18" si="112">F19*(1+Q18)</f>
        <v>295.73229452000004</v>
      </c>
      <c r="G18" s="1888"/>
      <c r="H18" s="1635">
        <v>2</v>
      </c>
      <c r="I18" s="1636">
        <v>1.49</v>
      </c>
      <c r="J18" s="1636">
        <v>0.96</v>
      </c>
      <c r="K18" s="1636">
        <v>1.58</v>
      </c>
      <c r="L18" s="1637">
        <v>2.44</v>
      </c>
      <c r="N18" s="1624">
        <f t="shared" ref="N18" si="113">I18/100</f>
        <v>1.49E-2</v>
      </c>
      <c r="O18" s="1625">
        <f t="shared" ref="O18" si="114">J18/100</f>
        <v>9.5999999999999992E-3</v>
      </c>
      <c r="P18" s="1625">
        <f t="shared" ref="P18" si="115">K18/100</f>
        <v>1.5800000000000002E-2</v>
      </c>
      <c r="Q18" s="1625">
        <f t="shared" ref="Q18" si="116">L18/100</f>
        <v>2.4399999999999998E-2</v>
      </c>
      <c r="S18" s="1627"/>
      <c r="T18" s="1628"/>
      <c r="U18" s="1628"/>
      <c r="V18" s="1628"/>
    </row>
    <row r="19" spans="1:32" s="1586" customFormat="1" ht="15" customHeight="1" thickBot="1">
      <c r="A19" s="1619" t="s">
        <v>1744</v>
      </c>
      <c r="B19" s="1620">
        <f t="shared" si="108"/>
        <v>446.46299999999997</v>
      </c>
      <c r="C19" s="1620">
        <f t="shared" ref="C19" si="117">C20*(1+O19)</f>
        <v>333.27840000000003</v>
      </c>
      <c r="D19" s="1620">
        <f t="shared" ref="D19:D24" si="118">C19</f>
        <v>333.27840000000003</v>
      </c>
      <c r="E19" s="1620">
        <f t="shared" ref="E19" si="119">E20*(1+P19)</f>
        <v>637.28279999999995</v>
      </c>
      <c r="F19" s="1620">
        <f t="shared" ref="F19" si="120">F20*(1+Q19)</f>
        <v>288.68830000000003</v>
      </c>
      <c r="G19" s="1896"/>
      <c r="H19" s="1622">
        <v>1</v>
      </c>
      <c r="I19" s="1583">
        <v>1.7</v>
      </c>
      <c r="J19" s="1583">
        <v>1.92</v>
      </c>
      <c r="K19" s="1583">
        <v>1.64</v>
      </c>
      <c r="L19" s="1584">
        <v>2.0099999999999998</v>
      </c>
      <c r="N19" s="1624">
        <f t="shared" ref="N19" si="121">I19/100</f>
        <v>1.7000000000000001E-2</v>
      </c>
      <c r="O19" s="1625">
        <f t="shared" ref="O19" si="122">J19/100</f>
        <v>1.9199999999999998E-2</v>
      </c>
      <c r="P19" s="1625">
        <f t="shared" ref="P19" si="123">K19/100</f>
        <v>1.6399999999999998E-2</v>
      </c>
      <c r="Q19" s="1625">
        <f t="shared" ref="Q19" si="124">L19/100</f>
        <v>2.0099999999999996E-2</v>
      </c>
      <c r="S19" s="1627">
        <f>B19/B20-1</f>
        <v>1.6999999999999904E-2</v>
      </c>
      <c r="T19" s="1628">
        <f>C19/C20-1</f>
        <v>1.9200000000000106E-2</v>
      </c>
      <c r="U19" s="1628">
        <f>E19/E20-1</f>
        <v>1.639999999999997E-2</v>
      </c>
      <c r="V19" s="1628">
        <f>F19/F20-1</f>
        <v>2.0100000000000007E-2</v>
      </c>
    </row>
    <row r="20" spans="1:32">
      <c r="A20" s="1619" t="s">
        <v>1741</v>
      </c>
      <c r="B20" s="1632">
        <v>439</v>
      </c>
      <c r="C20" s="1632">
        <v>327</v>
      </c>
      <c r="D20" s="1632">
        <f t="shared" si="118"/>
        <v>327</v>
      </c>
      <c r="E20" s="1632">
        <v>627</v>
      </c>
      <c r="F20" s="1633">
        <v>283</v>
      </c>
      <c r="G20" s="1891">
        <v>2017</v>
      </c>
      <c r="H20" s="1631">
        <v>4</v>
      </c>
      <c r="I20" s="1631">
        <v>1.71</v>
      </c>
      <c r="J20" s="1631">
        <v>1.78</v>
      </c>
      <c r="K20" s="1631">
        <v>1.71</v>
      </c>
      <c r="L20" s="1630">
        <v>1.43</v>
      </c>
      <c r="N20" s="1624">
        <f t="shared" ref="N20" si="125">I20/100</f>
        <v>1.7100000000000001E-2</v>
      </c>
      <c r="O20" s="1625">
        <f t="shared" ref="O20" si="126">J20/100</f>
        <v>1.78E-2</v>
      </c>
      <c r="P20" s="1625">
        <f t="shared" ref="P20" si="127">K20/100</f>
        <v>1.7100000000000001E-2</v>
      </c>
      <c r="Q20" s="1625">
        <f t="shared" ref="Q20" si="128">L20/100</f>
        <v>1.43E-2</v>
      </c>
      <c r="R20" s="1626"/>
      <c r="S20" s="1634"/>
      <c r="T20" s="1629"/>
      <c r="U20" s="1629"/>
      <c r="V20" s="1629"/>
      <c r="AC20" s="1629"/>
      <c r="AD20" s="1629"/>
      <c r="AE20" s="1629"/>
      <c r="AF20" s="1629"/>
    </row>
    <row r="21" spans="1:32" s="1586" customFormat="1" ht="14.45" customHeight="1">
      <c r="A21" s="1619" t="s">
        <v>1738</v>
      </c>
      <c r="B21" s="1620">
        <f t="shared" si="108"/>
        <v>431.80730811680002</v>
      </c>
      <c r="C21" s="1620">
        <f t="shared" ref="C21:C22" si="129">C22*(1+O21)</f>
        <v>320.57880516480003</v>
      </c>
      <c r="D21" s="1620">
        <f t="shared" si="118"/>
        <v>320.57880516480003</v>
      </c>
      <c r="E21" s="1620">
        <f t="shared" ref="E21:F23" si="130">E22*(1+P21)</f>
        <v>615.96110553196797</v>
      </c>
      <c r="F21" s="1620">
        <f t="shared" si="130"/>
        <v>279.46777300108801</v>
      </c>
      <c r="G21" s="1888"/>
      <c r="H21" s="1622">
        <v>3</v>
      </c>
      <c r="I21" s="1583">
        <v>2.98</v>
      </c>
      <c r="J21" s="1583">
        <v>2.11</v>
      </c>
      <c r="K21" s="1583">
        <v>3.24</v>
      </c>
      <c r="L21" s="1584">
        <v>1.72</v>
      </c>
      <c r="N21" s="1624">
        <f t="shared" ref="N21:Q22" si="131">I21/100</f>
        <v>2.98E-2</v>
      </c>
      <c r="O21" s="1625">
        <f t="shared" si="131"/>
        <v>2.1099999999999997E-2</v>
      </c>
      <c r="P21" s="1625">
        <f t="shared" si="131"/>
        <v>3.2400000000000005E-2</v>
      </c>
      <c r="Q21" s="1625">
        <f t="shared" si="131"/>
        <v>1.72E-2</v>
      </c>
      <c r="S21" s="1638"/>
    </row>
    <row r="22" spans="1:32" s="1586" customFormat="1" ht="14.45" customHeight="1">
      <c r="A22" s="1619" t="s">
        <v>1638</v>
      </c>
      <c r="B22" s="1620">
        <f t="shared" si="108"/>
        <v>419.31181600000002</v>
      </c>
      <c r="C22" s="1620">
        <f t="shared" si="129"/>
        <v>313.95436800000004</v>
      </c>
      <c r="D22" s="1620">
        <f t="shared" si="118"/>
        <v>313.95436800000004</v>
      </c>
      <c r="E22" s="1620">
        <f t="shared" si="130"/>
        <v>596.63028431999999</v>
      </c>
      <c r="F22" s="1620">
        <f t="shared" si="130"/>
        <v>274.74220703999998</v>
      </c>
      <c r="G22" s="1888"/>
      <c r="H22" s="1635">
        <v>2</v>
      </c>
      <c r="I22" s="1636">
        <v>3.4</v>
      </c>
      <c r="J22" s="1636">
        <v>2</v>
      </c>
      <c r="K22" s="1636">
        <v>3.82</v>
      </c>
      <c r="L22" s="1637">
        <v>1.68</v>
      </c>
      <c r="N22" s="1624">
        <f t="shared" si="131"/>
        <v>3.4000000000000002E-2</v>
      </c>
      <c r="O22" s="1625">
        <f t="shared" si="131"/>
        <v>0.02</v>
      </c>
      <c r="P22" s="1625">
        <f t="shared" si="131"/>
        <v>3.8199999999999998E-2</v>
      </c>
      <c r="Q22" s="1625">
        <f t="shared" si="131"/>
        <v>1.6799999999999999E-2</v>
      </c>
      <c r="S22" s="1638"/>
    </row>
    <row r="23" spans="1:32" s="1586" customFormat="1" ht="15" customHeight="1" thickBot="1">
      <c r="A23" s="1619" t="s">
        <v>1639</v>
      </c>
      <c r="B23" s="1620">
        <f t="shared" si="108"/>
        <v>405.524</v>
      </c>
      <c r="C23" s="1620">
        <f t="shared" ref="C23" si="132">C24*(1+O23)</f>
        <v>307.79840000000002</v>
      </c>
      <c r="D23" s="1620">
        <f t="shared" si="118"/>
        <v>307.79840000000002</v>
      </c>
      <c r="E23" s="1620">
        <f t="shared" si="130"/>
        <v>574.67759999999998</v>
      </c>
      <c r="F23" s="1620">
        <f t="shared" si="130"/>
        <v>270.20280000000002</v>
      </c>
      <c r="G23" s="1896"/>
      <c r="H23" s="1622">
        <v>1</v>
      </c>
      <c r="I23" s="1583">
        <v>3.45</v>
      </c>
      <c r="J23" s="1583">
        <v>1.92</v>
      </c>
      <c r="K23" s="1583">
        <v>3.92</v>
      </c>
      <c r="L23" s="1584">
        <v>1.58</v>
      </c>
      <c r="N23" s="1624">
        <f>I23/100</f>
        <v>3.4500000000000003E-2</v>
      </c>
      <c r="O23" s="1625">
        <f t="shared" ref="O23" si="133">J23/100</f>
        <v>1.9199999999999998E-2</v>
      </c>
      <c r="P23" s="1625">
        <f t="shared" ref="P23" si="134">K23/100</f>
        <v>3.9199999999999999E-2</v>
      </c>
      <c r="Q23" s="1625">
        <f t="shared" ref="Q23" si="135">L23/100</f>
        <v>1.5800000000000002E-2</v>
      </c>
      <c r="S23" s="1627">
        <f>B23/B24-1</f>
        <v>3.4499999999999975E-2</v>
      </c>
      <c r="T23" s="1628">
        <f>C23/C24-1</f>
        <v>1.9200000000000106E-2</v>
      </c>
      <c r="U23" s="1628">
        <f>E23/E24-1</f>
        <v>3.9199999999999902E-2</v>
      </c>
      <c r="V23" s="1628">
        <f>F23/F24-1</f>
        <v>1.5800000000000036E-2</v>
      </c>
    </row>
    <row r="24" spans="1:32">
      <c r="A24" s="1619" t="s">
        <v>275</v>
      </c>
      <c r="B24" s="1639">
        <v>392</v>
      </c>
      <c r="C24" s="1639">
        <v>302</v>
      </c>
      <c r="D24" s="1639">
        <f t="shared" si="118"/>
        <v>302</v>
      </c>
      <c r="E24" s="1639">
        <v>553</v>
      </c>
      <c r="F24" s="1640">
        <v>266</v>
      </c>
      <c r="G24" s="1891">
        <v>2016</v>
      </c>
      <c r="H24" s="1631">
        <v>4</v>
      </c>
      <c r="I24" s="1631">
        <v>4.5599999999999996</v>
      </c>
      <c r="J24" s="1631">
        <v>2.15</v>
      </c>
      <c r="K24" s="1631">
        <v>5.32</v>
      </c>
      <c r="L24" s="1630">
        <v>1.57</v>
      </c>
      <c r="N24" s="1624">
        <f>I24/100</f>
        <v>4.5599999999999995E-2</v>
      </c>
      <c r="O24" s="1625">
        <f t="shared" ref="O24:Q39" si="136">J24/100</f>
        <v>2.1499999999999998E-2</v>
      </c>
      <c r="P24" s="1625">
        <f t="shared" si="136"/>
        <v>5.3200000000000004E-2</v>
      </c>
      <c r="Q24" s="1625">
        <f t="shared" si="136"/>
        <v>1.5700000000000002E-2</v>
      </c>
      <c r="R24" s="1626"/>
      <c r="S24" s="1634"/>
      <c r="T24" s="1629"/>
      <c r="U24" s="1629"/>
      <c r="V24" s="1629"/>
      <c r="AC24" s="1629"/>
      <c r="AD24" s="1629"/>
      <c r="AE24" s="1629"/>
      <c r="AF24" s="1629"/>
    </row>
    <row r="25" spans="1:32">
      <c r="A25" s="1619" t="s">
        <v>274</v>
      </c>
      <c r="B25" s="1620">
        <f t="shared" ref="B25:C27" si="137">B24/(1+N24)</f>
        <v>374.90436113236416</v>
      </c>
      <c r="C25" s="1620">
        <f t="shared" si="137"/>
        <v>295.64366128242779</v>
      </c>
      <c r="D25" s="1620">
        <f t="shared" ref="D25:D84" si="138">C25</f>
        <v>295.64366128242779</v>
      </c>
      <c r="E25" s="1620">
        <f t="shared" ref="E25:F27" si="139">E24/(1+P24)</f>
        <v>525.06646410938095</v>
      </c>
      <c r="F25" s="1620">
        <f t="shared" si="139"/>
        <v>261.88835286009646</v>
      </c>
      <c r="G25" s="1888"/>
      <c r="H25" s="1622">
        <v>3</v>
      </c>
      <c r="I25" s="1622">
        <v>4.12</v>
      </c>
      <c r="J25" s="1622">
        <v>2</v>
      </c>
      <c r="K25" s="1622">
        <v>4.79</v>
      </c>
      <c r="L25" s="1641">
        <v>1.97</v>
      </c>
      <c r="N25" s="1624">
        <f t="shared" ref="N25:Q59" si="140">I25/100</f>
        <v>4.1200000000000001E-2</v>
      </c>
      <c r="O25" s="1625">
        <f t="shared" si="136"/>
        <v>0.02</v>
      </c>
      <c r="P25" s="1625">
        <f t="shared" si="136"/>
        <v>4.7899999999999998E-2</v>
      </c>
      <c r="Q25" s="1625">
        <f t="shared" si="136"/>
        <v>1.9699999999999999E-2</v>
      </c>
      <c r="R25" s="1626"/>
      <c r="S25" s="1624"/>
      <c r="T25" s="1625"/>
      <c r="U25" s="1625"/>
      <c r="V25" s="1625"/>
    </row>
    <row r="26" spans="1:32">
      <c r="A26" s="1619" t="s">
        <v>264</v>
      </c>
      <c r="B26" s="1620">
        <f t="shared" si="137"/>
        <v>360.06949782209392</v>
      </c>
      <c r="C26" s="1620">
        <f t="shared" si="137"/>
        <v>289.84672674747821</v>
      </c>
      <c r="D26" s="1620">
        <f t="shared" si="138"/>
        <v>289.84672674747821</v>
      </c>
      <c r="E26" s="1620">
        <f t="shared" si="139"/>
        <v>501.06543001181495</v>
      </c>
      <c r="F26" s="1620">
        <f t="shared" si="139"/>
        <v>256.82882500744967</v>
      </c>
      <c r="G26" s="1888"/>
      <c r="H26" s="1635">
        <v>2</v>
      </c>
      <c r="I26" s="1635">
        <v>3.85</v>
      </c>
      <c r="J26" s="1635">
        <v>1.95</v>
      </c>
      <c r="K26" s="1635">
        <v>4.4800000000000004</v>
      </c>
      <c r="L26" s="1642">
        <v>1.41</v>
      </c>
      <c r="N26" s="1624">
        <f t="shared" si="140"/>
        <v>3.85E-2</v>
      </c>
      <c r="O26" s="1625">
        <f t="shared" si="136"/>
        <v>1.95E-2</v>
      </c>
      <c r="P26" s="1625">
        <f t="shared" si="136"/>
        <v>4.4800000000000006E-2</v>
      </c>
      <c r="Q26" s="1625">
        <f t="shared" si="136"/>
        <v>1.41E-2</v>
      </c>
      <c r="R26" s="1626"/>
      <c r="S26" s="1624"/>
      <c r="T26" s="1625"/>
      <c r="U26" s="1625"/>
      <c r="V26" s="1625"/>
    </row>
    <row r="27" spans="1:32" ht="13.5" thickBot="1">
      <c r="A27" s="1619" t="s">
        <v>273</v>
      </c>
      <c r="B27" s="1620">
        <f t="shared" si="137"/>
        <v>346.720748986128</v>
      </c>
      <c r="C27" s="1620">
        <f t="shared" si="137"/>
        <v>284.30282172386285</v>
      </c>
      <c r="D27" s="1620">
        <f t="shared" si="138"/>
        <v>284.30282172386285</v>
      </c>
      <c r="E27" s="1620">
        <f t="shared" si="139"/>
        <v>479.58023546306947</v>
      </c>
      <c r="F27" s="1620">
        <f t="shared" si="139"/>
        <v>253.25788877571213</v>
      </c>
      <c r="G27" s="1889"/>
      <c r="H27" s="1622">
        <v>1</v>
      </c>
      <c r="I27" s="1622">
        <v>4.09</v>
      </c>
      <c r="J27" s="1622">
        <v>2.93</v>
      </c>
      <c r="K27" s="1622">
        <v>4.54</v>
      </c>
      <c r="L27" s="1641">
        <v>1.48</v>
      </c>
      <c r="N27" s="1624">
        <f t="shared" si="140"/>
        <v>4.0899999999999999E-2</v>
      </c>
      <c r="O27" s="1625">
        <f t="shared" si="136"/>
        <v>2.9300000000000003E-2</v>
      </c>
      <c r="P27" s="1625">
        <f t="shared" si="136"/>
        <v>4.5400000000000003E-2</v>
      </c>
      <c r="Q27" s="1625">
        <f t="shared" si="136"/>
        <v>1.4800000000000001E-2</v>
      </c>
      <c r="R27" s="1626"/>
      <c r="S27" s="1627">
        <f>B27/B28-1</f>
        <v>4.1203450408792808E-2</v>
      </c>
      <c r="T27" s="1628">
        <f>C27/C28-1</f>
        <v>2.6363977342465095E-2</v>
      </c>
      <c r="U27" s="1628">
        <f>E27/E28-1</f>
        <v>4.4837114298626357E-2</v>
      </c>
      <c r="V27" s="1628">
        <f>F27/F28-1</f>
        <v>1.7099954922538574E-2</v>
      </c>
      <c r="AC27" s="1625"/>
      <c r="AD27" s="1625"/>
      <c r="AE27" s="1625"/>
      <c r="AF27" s="1625"/>
    </row>
    <row r="28" spans="1:32" ht="13.5" thickBot="1">
      <c r="A28" s="1619" t="s">
        <v>272</v>
      </c>
      <c r="B28" s="1639">
        <v>333</v>
      </c>
      <c r="C28" s="1639">
        <v>277</v>
      </c>
      <c r="D28" s="1639">
        <f t="shared" si="138"/>
        <v>277</v>
      </c>
      <c r="E28" s="1639">
        <v>459</v>
      </c>
      <c r="F28" s="1640">
        <v>249</v>
      </c>
      <c r="G28" s="1887">
        <v>2015</v>
      </c>
      <c r="H28" s="1643">
        <v>4</v>
      </c>
      <c r="I28" s="1643">
        <v>1.63</v>
      </c>
      <c r="J28" s="1643">
        <v>1.1100000000000001</v>
      </c>
      <c r="K28" s="1643">
        <v>1.77</v>
      </c>
      <c r="L28" s="1644">
        <v>1.89</v>
      </c>
      <c r="N28" s="1645">
        <f t="shared" si="140"/>
        <v>1.6299999999999999E-2</v>
      </c>
      <c r="O28" s="1646">
        <f t="shared" si="136"/>
        <v>1.11E-2</v>
      </c>
      <c r="P28" s="1646">
        <f t="shared" si="136"/>
        <v>1.77E-2</v>
      </c>
      <c r="Q28" s="1646">
        <f t="shared" si="136"/>
        <v>1.89E-2</v>
      </c>
      <c r="R28" s="1626"/>
      <c r="AC28" s="1629"/>
      <c r="AD28" s="1629"/>
      <c r="AE28" s="1629"/>
      <c r="AF28" s="1629"/>
    </row>
    <row r="29" spans="1:32">
      <c r="A29" s="1619" t="s">
        <v>271</v>
      </c>
      <c r="B29" s="1620">
        <f t="shared" ref="B29:C31" si="141">B28/(1+N28)</f>
        <v>327.65915576109415</v>
      </c>
      <c r="C29" s="1620">
        <f t="shared" si="141"/>
        <v>273.95905449510434</v>
      </c>
      <c r="D29" s="1620">
        <f t="shared" si="138"/>
        <v>273.95905449510434</v>
      </c>
      <c r="E29" s="1620">
        <f t="shared" ref="E29:F31" si="142">E28/(1+P28)</f>
        <v>451.01699911565294</v>
      </c>
      <c r="F29" s="1620">
        <f t="shared" si="142"/>
        <v>244.38119540681129</v>
      </c>
      <c r="G29" s="1888"/>
      <c r="H29" s="1648">
        <v>3</v>
      </c>
      <c r="I29" s="1648">
        <v>1.65</v>
      </c>
      <c r="J29" s="1648">
        <v>0.92</v>
      </c>
      <c r="K29" s="1648">
        <v>1.88</v>
      </c>
      <c r="L29" s="1649">
        <v>1.26</v>
      </c>
      <c r="N29" s="1624">
        <f t="shared" si="140"/>
        <v>1.6500000000000001E-2</v>
      </c>
      <c r="O29" s="1650">
        <f t="shared" si="136"/>
        <v>9.1999999999999998E-3</v>
      </c>
      <c r="P29" s="1650">
        <f t="shared" si="136"/>
        <v>1.8799999999999997E-2</v>
      </c>
      <c r="Q29" s="1650">
        <f t="shared" si="136"/>
        <v>1.26E-2</v>
      </c>
      <c r="R29" s="1626"/>
      <c r="S29" s="1624"/>
      <c r="T29" s="1625"/>
      <c r="U29" s="1625"/>
      <c r="V29" s="1625"/>
    </row>
    <row r="30" spans="1:32">
      <c r="A30" s="1619" t="s">
        <v>270</v>
      </c>
      <c r="B30" s="1620">
        <f t="shared" si="141"/>
        <v>322.34053690220776</v>
      </c>
      <c r="C30" s="1620">
        <f t="shared" si="141"/>
        <v>271.46160770422546</v>
      </c>
      <c r="D30" s="1620">
        <f t="shared" si="138"/>
        <v>271.46160770422546</v>
      </c>
      <c r="E30" s="1620">
        <f t="shared" si="142"/>
        <v>442.69434542172456</v>
      </c>
      <c r="F30" s="1620">
        <f t="shared" si="142"/>
        <v>241.34030753190925</v>
      </c>
      <c r="G30" s="1888"/>
      <c r="H30" s="1635">
        <v>2</v>
      </c>
      <c r="I30" s="1635">
        <v>0.77</v>
      </c>
      <c r="J30" s="1635">
        <v>0.69</v>
      </c>
      <c r="K30" s="1635">
        <v>0.8</v>
      </c>
      <c r="L30" s="1642">
        <v>0.88</v>
      </c>
      <c r="N30" s="1624">
        <f t="shared" si="140"/>
        <v>7.7000000000000002E-3</v>
      </c>
      <c r="O30" s="1650">
        <f t="shared" si="136"/>
        <v>6.8999999999999999E-3</v>
      </c>
      <c r="P30" s="1650">
        <f t="shared" si="136"/>
        <v>8.0000000000000002E-3</v>
      </c>
      <c r="Q30" s="1650">
        <f t="shared" si="136"/>
        <v>8.8000000000000005E-3</v>
      </c>
      <c r="R30" s="1626"/>
      <c r="S30" s="1624"/>
      <c r="T30" s="1625"/>
      <c r="U30" s="1625"/>
      <c r="V30" s="1625"/>
    </row>
    <row r="31" spans="1:32">
      <c r="A31" s="1619" t="s">
        <v>269</v>
      </c>
      <c r="B31" s="1620">
        <f t="shared" si="141"/>
        <v>319.87748030386797</v>
      </c>
      <c r="C31" s="1620">
        <f t="shared" si="141"/>
        <v>269.60135833173649</v>
      </c>
      <c r="D31" s="1620">
        <f t="shared" si="138"/>
        <v>269.60135833173649</v>
      </c>
      <c r="E31" s="1620">
        <f t="shared" si="142"/>
        <v>439.18089823583784</v>
      </c>
      <c r="F31" s="1620">
        <f t="shared" si="142"/>
        <v>239.23503918706311</v>
      </c>
      <c r="G31" s="1889"/>
      <c r="H31" s="1622">
        <v>1</v>
      </c>
      <c r="I31" s="1622">
        <v>0.51</v>
      </c>
      <c r="J31" s="1622">
        <v>0.54</v>
      </c>
      <c r="K31" s="1622">
        <v>0.48</v>
      </c>
      <c r="L31" s="1641">
        <v>0.93</v>
      </c>
      <c r="N31" s="1627">
        <f t="shared" si="140"/>
        <v>5.1000000000000004E-3</v>
      </c>
      <c r="O31" s="1628">
        <f t="shared" si="136"/>
        <v>5.4000000000000003E-3</v>
      </c>
      <c r="P31" s="1628">
        <f t="shared" si="136"/>
        <v>4.7999999999999996E-3</v>
      </c>
      <c r="Q31" s="1628">
        <f t="shared" si="136"/>
        <v>9.300000000000001E-3</v>
      </c>
      <c r="R31" s="1626"/>
      <c r="S31" s="1627">
        <f>B31/B32-1</f>
        <v>5.9040261127922822E-3</v>
      </c>
      <c r="T31" s="1628">
        <f>C31/C32-1</f>
        <v>5.9752176557332781E-3</v>
      </c>
      <c r="U31" s="1628">
        <f>E31/E32-1</f>
        <v>4.9906138119859556E-3</v>
      </c>
      <c r="V31" s="1628">
        <f>F31/F32-1</f>
        <v>9.4305450930933787E-3</v>
      </c>
      <c r="AC31" s="1625"/>
      <c r="AD31" s="1625"/>
      <c r="AE31" s="1625"/>
      <c r="AF31" s="1625"/>
    </row>
    <row r="32" spans="1:32" ht="13.5" thickBot="1">
      <c r="A32" s="1619" t="s">
        <v>268</v>
      </c>
      <c r="B32" s="1651">
        <v>318</v>
      </c>
      <c r="C32" s="1651">
        <v>268</v>
      </c>
      <c r="D32" s="1651">
        <f t="shared" si="138"/>
        <v>268</v>
      </c>
      <c r="E32" s="1651">
        <v>437</v>
      </c>
      <c r="F32" s="1652">
        <v>237</v>
      </c>
      <c r="G32" s="1887">
        <v>2014</v>
      </c>
      <c r="H32" s="1643">
        <v>4</v>
      </c>
      <c r="I32" s="1643">
        <v>0.21</v>
      </c>
      <c r="J32" s="1643">
        <v>0.41</v>
      </c>
      <c r="K32" s="1643">
        <v>0.12</v>
      </c>
      <c r="L32" s="1644">
        <v>0.89</v>
      </c>
      <c r="N32" s="1624">
        <f t="shared" si="140"/>
        <v>2.0999999999999999E-3</v>
      </c>
      <c r="O32" s="1625">
        <f t="shared" si="136"/>
        <v>4.0999999999999995E-3</v>
      </c>
      <c r="P32" s="1625">
        <f t="shared" si="136"/>
        <v>1.1999999999999999E-3</v>
      </c>
      <c r="Q32" s="1625">
        <f t="shared" si="136"/>
        <v>8.8999999999999999E-3</v>
      </c>
      <c r="R32" s="1626"/>
      <c r="S32" s="1634"/>
      <c r="T32" s="1629"/>
      <c r="U32" s="1629"/>
      <c r="V32" s="1629"/>
      <c r="AC32" s="1629"/>
      <c r="AD32" s="1629"/>
      <c r="AE32" s="1629"/>
      <c r="AF32" s="1629"/>
    </row>
    <row r="33" spans="1:32">
      <c r="A33" s="1619" t="s">
        <v>267</v>
      </c>
      <c r="B33" s="1620">
        <f t="shared" ref="B33:C35" si="143">B32/(1+N32)</f>
        <v>317.33359944117353</v>
      </c>
      <c r="C33" s="1620">
        <f t="shared" si="143"/>
        <v>266.90568668459315</v>
      </c>
      <c r="D33" s="1620">
        <f t="shared" si="138"/>
        <v>266.90568668459315</v>
      </c>
      <c r="E33" s="1620">
        <f t="shared" ref="E33:F35" si="144">E32/(1+P32)</f>
        <v>436.47622852576905</v>
      </c>
      <c r="F33" s="1620">
        <f t="shared" si="144"/>
        <v>234.90930716622066</v>
      </c>
      <c r="G33" s="1888"/>
      <c r="H33" s="1653">
        <v>3</v>
      </c>
      <c r="I33" s="1653">
        <v>0.83</v>
      </c>
      <c r="J33" s="1653">
        <v>1.47</v>
      </c>
      <c r="K33" s="1653">
        <v>0.65</v>
      </c>
      <c r="L33" s="1654">
        <v>0.72</v>
      </c>
      <c r="N33" s="1624">
        <f t="shared" si="140"/>
        <v>8.3000000000000001E-3</v>
      </c>
      <c r="O33" s="1625">
        <f t="shared" si="136"/>
        <v>1.47E-2</v>
      </c>
      <c r="P33" s="1625">
        <f t="shared" si="136"/>
        <v>6.5000000000000006E-3</v>
      </c>
      <c r="Q33" s="1625">
        <f t="shared" si="136"/>
        <v>7.1999999999999998E-3</v>
      </c>
      <c r="R33" s="1626"/>
      <c r="S33" s="1624"/>
      <c r="T33" s="1625"/>
      <c r="U33" s="1625"/>
      <c r="V33" s="1625"/>
    </row>
    <row r="34" spans="1:32" ht="13.5" thickBot="1">
      <c r="A34" s="1619" t="s">
        <v>266</v>
      </c>
      <c r="B34" s="1620">
        <f t="shared" si="143"/>
        <v>314.72141172386546</v>
      </c>
      <c r="C34" s="1620">
        <f t="shared" si="143"/>
        <v>263.03901319069001</v>
      </c>
      <c r="D34" s="1620">
        <f t="shared" si="138"/>
        <v>263.03901319069001</v>
      </c>
      <c r="E34" s="1620">
        <f t="shared" si="144"/>
        <v>433.65745506782821</v>
      </c>
      <c r="F34" s="1620">
        <f t="shared" si="144"/>
        <v>233.23005080045735</v>
      </c>
      <c r="G34" s="1888"/>
      <c r="H34" s="1643">
        <v>2</v>
      </c>
      <c r="I34" s="1643">
        <v>2.4</v>
      </c>
      <c r="J34" s="1643">
        <v>2.0299999999999998</v>
      </c>
      <c r="K34" s="1643">
        <v>2.59</v>
      </c>
      <c r="L34" s="1644">
        <v>1.52</v>
      </c>
      <c r="N34" s="1624">
        <f t="shared" si="140"/>
        <v>2.4E-2</v>
      </c>
      <c r="O34" s="1625">
        <f t="shared" si="136"/>
        <v>2.0299999999999999E-2</v>
      </c>
      <c r="P34" s="1625">
        <f t="shared" si="136"/>
        <v>2.5899999999999999E-2</v>
      </c>
      <c r="Q34" s="1625">
        <f t="shared" si="136"/>
        <v>1.52E-2</v>
      </c>
      <c r="R34" s="1626"/>
      <c r="S34" s="1624"/>
      <c r="T34" s="1625"/>
      <c r="U34" s="1625"/>
      <c r="V34" s="1625"/>
    </row>
    <row r="35" spans="1:32" s="1659" customFormat="1" ht="13.5" thickBot="1">
      <c r="A35" s="1655" t="s">
        <v>265</v>
      </c>
      <c r="B35" s="1656">
        <f t="shared" si="143"/>
        <v>307.34512863658733</v>
      </c>
      <c r="C35" s="1656">
        <f t="shared" si="143"/>
        <v>257.80556031626975</v>
      </c>
      <c r="D35" s="1656">
        <f t="shared" si="138"/>
        <v>257.80556031626975</v>
      </c>
      <c r="E35" s="1656">
        <f t="shared" si="144"/>
        <v>422.70928459677179</v>
      </c>
      <c r="F35" s="1656">
        <f t="shared" si="144"/>
        <v>229.73803270336617</v>
      </c>
      <c r="G35" s="1889"/>
      <c r="H35" s="1657">
        <v>1</v>
      </c>
      <c r="I35" s="1657">
        <v>2.97</v>
      </c>
      <c r="J35" s="1657">
        <v>2.34</v>
      </c>
      <c r="K35" s="1657">
        <v>3.28</v>
      </c>
      <c r="L35" s="1658">
        <v>1.36</v>
      </c>
      <c r="N35" s="1660">
        <f t="shared" si="140"/>
        <v>2.9700000000000001E-2</v>
      </c>
      <c r="O35" s="1661">
        <f t="shared" si="136"/>
        <v>2.3399999999999997E-2</v>
      </c>
      <c r="P35" s="1661">
        <f t="shared" si="136"/>
        <v>3.2799999999999996E-2</v>
      </c>
      <c r="Q35" s="1661">
        <f t="shared" si="136"/>
        <v>1.3600000000000001E-2</v>
      </c>
      <c r="R35" s="1662"/>
      <c r="S35" s="1663">
        <f>B35/B36-1</f>
        <v>2.7910129219355539E-2</v>
      </c>
      <c r="T35" s="1664">
        <f>C35/C36-1</f>
        <v>2.3037937762975247E-2</v>
      </c>
      <c r="U35" s="1664">
        <f>E35/E36-1</f>
        <v>3.3519033243940788E-2</v>
      </c>
      <c r="V35" s="1664">
        <f>F35/F36-1</f>
        <v>1.2061818076502862E-2</v>
      </c>
      <c r="AC35" s="1661"/>
      <c r="AD35" s="1661"/>
      <c r="AE35" s="1661"/>
      <c r="AF35" s="1661"/>
    </row>
    <row r="36" spans="1:32" ht="13.5" thickBot="1">
      <c r="A36" s="1619" t="s">
        <v>1640</v>
      </c>
      <c r="B36" s="1639">
        <v>299</v>
      </c>
      <c r="C36" s="1639">
        <v>252</v>
      </c>
      <c r="D36" s="1639">
        <f t="shared" si="138"/>
        <v>252</v>
      </c>
      <c r="E36" s="1639">
        <v>409</v>
      </c>
      <c r="F36" s="1640">
        <v>227</v>
      </c>
      <c r="G36" s="1892">
        <v>2013</v>
      </c>
      <c r="H36" s="1665">
        <v>4</v>
      </c>
      <c r="I36" s="1665">
        <v>1.83</v>
      </c>
      <c r="J36" s="1665">
        <v>1.68</v>
      </c>
      <c r="K36" s="1665">
        <v>1.97</v>
      </c>
      <c r="L36" s="1666">
        <v>0.87</v>
      </c>
      <c r="N36" s="1645">
        <f t="shared" si="140"/>
        <v>1.83E-2</v>
      </c>
      <c r="O36" s="1646">
        <f t="shared" si="136"/>
        <v>1.6799999999999999E-2</v>
      </c>
      <c r="P36" s="1646">
        <f t="shared" si="136"/>
        <v>1.9699999999999999E-2</v>
      </c>
      <c r="Q36" s="1646">
        <f t="shared" si="136"/>
        <v>8.6999999999999994E-3</v>
      </c>
      <c r="R36" s="1626"/>
      <c r="S36" s="1634"/>
      <c r="T36" s="1629"/>
      <c r="U36" s="1629"/>
      <c r="V36" s="1629"/>
      <c r="AC36" s="1629"/>
      <c r="AD36" s="1629"/>
      <c r="AE36" s="1629"/>
      <c r="AF36" s="1629"/>
    </row>
    <row r="37" spans="1:32">
      <c r="A37" s="1619" t="s">
        <v>1641</v>
      </c>
      <c r="B37" s="1620">
        <f t="shared" ref="B37:C39" si="145">B36/(1+N36)</f>
        <v>293.62663262299913</v>
      </c>
      <c r="C37" s="1620">
        <f t="shared" si="145"/>
        <v>247.83634933123525</v>
      </c>
      <c r="D37" s="1620">
        <f t="shared" si="138"/>
        <v>247.83634933123525</v>
      </c>
      <c r="E37" s="1620">
        <f t="shared" ref="E37:F39" si="146">E36/(1+P36)</f>
        <v>401.09836226341076</v>
      </c>
      <c r="F37" s="1620">
        <f t="shared" si="146"/>
        <v>225.04213343908003</v>
      </c>
      <c r="G37" s="1893"/>
      <c r="H37" s="1648">
        <v>3</v>
      </c>
      <c r="I37" s="1648">
        <v>1.86</v>
      </c>
      <c r="J37" s="1648">
        <v>1.72</v>
      </c>
      <c r="K37" s="1648">
        <v>1.98</v>
      </c>
      <c r="L37" s="1649">
        <v>0.88</v>
      </c>
      <c r="N37" s="1624">
        <f t="shared" si="140"/>
        <v>1.8600000000000002E-2</v>
      </c>
      <c r="O37" s="1650">
        <f t="shared" si="136"/>
        <v>1.72E-2</v>
      </c>
      <c r="P37" s="1650">
        <f t="shared" si="136"/>
        <v>1.9799999999999998E-2</v>
      </c>
      <c r="Q37" s="1650">
        <f t="shared" si="136"/>
        <v>8.8000000000000005E-3</v>
      </c>
      <c r="R37" s="1626"/>
      <c r="S37" s="1624"/>
      <c r="T37" s="1625"/>
      <c r="U37" s="1625"/>
      <c r="V37" s="1625"/>
    </row>
    <row r="38" spans="1:32">
      <c r="A38" s="1619" t="s">
        <v>1642</v>
      </c>
      <c r="B38" s="1620">
        <f t="shared" si="145"/>
        <v>288.2649053828776</v>
      </c>
      <c r="C38" s="1620">
        <f t="shared" si="145"/>
        <v>243.64564425013293</v>
      </c>
      <c r="D38" s="1620">
        <f t="shared" si="138"/>
        <v>243.64564425013293</v>
      </c>
      <c r="E38" s="1620">
        <f t="shared" si="146"/>
        <v>393.31080825986544</v>
      </c>
      <c r="F38" s="1620">
        <f t="shared" si="146"/>
        <v>223.07903790551154</v>
      </c>
      <c r="G38" s="1893"/>
      <c r="H38" s="1635">
        <v>2</v>
      </c>
      <c r="I38" s="1635">
        <v>2.04</v>
      </c>
      <c r="J38" s="1635">
        <v>2.33</v>
      </c>
      <c r="K38" s="1635">
        <v>2.0699999999999998</v>
      </c>
      <c r="L38" s="1642">
        <v>0.69</v>
      </c>
      <c r="N38" s="1624">
        <f t="shared" si="140"/>
        <v>2.0400000000000001E-2</v>
      </c>
      <c r="O38" s="1650">
        <f t="shared" si="136"/>
        <v>2.3300000000000001E-2</v>
      </c>
      <c r="P38" s="1650">
        <f t="shared" si="136"/>
        <v>2.07E-2</v>
      </c>
      <c r="Q38" s="1650">
        <f t="shared" si="136"/>
        <v>6.8999999999999999E-3</v>
      </c>
      <c r="R38" s="1626"/>
      <c r="S38" s="1624"/>
      <c r="T38" s="1625"/>
      <c r="U38" s="1625"/>
      <c r="V38" s="1625"/>
    </row>
    <row r="39" spans="1:32">
      <c r="A39" s="1619" t="s">
        <v>1643</v>
      </c>
      <c r="B39" s="1620">
        <f t="shared" si="145"/>
        <v>282.50186729015837</v>
      </c>
      <c r="C39" s="1620">
        <f t="shared" si="145"/>
        <v>238.09796174155468</v>
      </c>
      <c r="D39" s="1620">
        <f t="shared" si="138"/>
        <v>238.09796174155468</v>
      </c>
      <c r="E39" s="1620">
        <f t="shared" si="146"/>
        <v>385.33438646014054</v>
      </c>
      <c r="F39" s="1620">
        <f t="shared" si="146"/>
        <v>221.55034055567739</v>
      </c>
      <c r="G39" s="1894"/>
      <c r="H39" s="1622">
        <v>1</v>
      </c>
      <c r="I39" s="1622">
        <v>1.67</v>
      </c>
      <c r="J39" s="1622">
        <v>1.31</v>
      </c>
      <c r="K39" s="1622">
        <v>1.85</v>
      </c>
      <c r="L39" s="1641">
        <v>0.96</v>
      </c>
      <c r="N39" s="1627">
        <f t="shared" si="140"/>
        <v>1.67E-2</v>
      </c>
      <c r="O39" s="1628">
        <f t="shared" si="136"/>
        <v>1.3100000000000001E-2</v>
      </c>
      <c r="P39" s="1628">
        <f t="shared" si="136"/>
        <v>1.8500000000000003E-2</v>
      </c>
      <c r="Q39" s="1628">
        <f t="shared" si="136"/>
        <v>9.5999999999999992E-3</v>
      </c>
      <c r="R39" s="1626"/>
      <c r="S39" s="1627">
        <f>B39/B40-1</f>
        <v>1.6193767230785472E-2</v>
      </c>
      <c r="T39" s="1628">
        <f>C39/C40-1</f>
        <v>1.7512657015190891E-2</v>
      </c>
      <c r="U39" s="1628">
        <f>E39/E40-1</f>
        <v>1.6713420739157048E-2</v>
      </c>
      <c r="V39" s="1628">
        <f>F39/F40-1</f>
        <v>7.0470025258062563E-3</v>
      </c>
      <c r="AC39" s="1625"/>
      <c r="AD39" s="1625"/>
      <c r="AE39" s="1625"/>
      <c r="AF39" s="1625"/>
    </row>
    <row r="40" spans="1:32" ht="13.5" thickBot="1">
      <c r="A40" s="1619" t="s">
        <v>1644</v>
      </c>
      <c r="B40" s="1667">
        <v>278</v>
      </c>
      <c r="C40" s="1667">
        <v>234</v>
      </c>
      <c r="D40" s="1667">
        <f t="shared" si="138"/>
        <v>234</v>
      </c>
      <c r="E40" s="1667">
        <v>379</v>
      </c>
      <c r="F40" s="1668">
        <v>220</v>
      </c>
      <c r="G40" s="1887">
        <v>2012</v>
      </c>
      <c r="H40" s="1643">
        <v>4</v>
      </c>
      <c r="I40" s="1643">
        <v>0.91</v>
      </c>
      <c r="J40" s="1643">
        <v>0.68</v>
      </c>
      <c r="K40" s="1643">
        <v>0.98</v>
      </c>
      <c r="L40" s="1644">
        <v>0.9</v>
      </c>
      <c r="N40" s="1624">
        <f t="shared" si="140"/>
        <v>9.1000000000000004E-3</v>
      </c>
      <c r="O40" s="1625">
        <f t="shared" si="140"/>
        <v>6.8000000000000005E-3</v>
      </c>
      <c r="P40" s="1625">
        <f t="shared" si="140"/>
        <v>9.7999999999999997E-3</v>
      </c>
      <c r="Q40" s="1625">
        <f t="shared" si="140"/>
        <v>9.0000000000000011E-3</v>
      </c>
      <c r="R40" s="1626"/>
      <c r="S40" s="1634"/>
      <c r="T40" s="1629"/>
      <c r="U40" s="1629"/>
      <c r="V40" s="1629"/>
      <c r="AC40" s="1629"/>
      <c r="AD40" s="1629"/>
      <c r="AE40" s="1629"/>
      <c r="AF40" s="1629"/>
    </row>
    <row r="41" spans="1:32">
      <c r="A41" s="1619" t="s">
        <v>1645</v>
      </c>
      <c r="B41" s="1620">
        <f>B40/(1+N40)</f>
        <v>275.49301357645425</v>
      </c>
      <c r="C41" s="1620">
        <f>C40/(1+O40)</f>
        <v>232.41954707985698</v>
      </c>
      <c r="D41" s="1620">
        <f t="shared" si="138"/>
        <v>232.41954707985698</v>
      </c>
      <c r="E41" s="1620">
        <f t="shared" ref="E41:F43" si="147">E40/(1+P40)</f>
        <v>375.32184591008121</v>
      </c>
      <c r="F41" s="1620">
        <f t="shared" si="147"/>
        <v>218.03766105054513</v>
      </c>
      <c r="G41" s="1888"/>
      <c r="H41" s="1648">
        <v>3</v>
      </c>
      <c r="I41" s="1648">
        <v>0.09</v>
      </c>
      <c r="J41" s="1648">
        <v>0.28999999999999998</v>
      </c>
      <c r="K41" s="1648">
        <v>-0.01</v>
      </c>
      <c r="L41" s="1649">
        <v>0.57999999999999996</v>
      </c>
      <c r="N41" s="1624">
        <f t="shared" si="140"/>
        <v>8.9999999999999998E-4</v>
      </c>
      <c r="O41" s="1625">
        <f t="shared" si="140"/>
        <v>2.8999999999999998E-3</v>
      </c>
      <c r="P41" s="1625">
        <f t="shared" si="140"/>
        <v>-1E-4</v>
      </c>
      <c r="Q41" s="1625">
        <f t="shared" si="140"/>
        <v>5.7999999999999996E-3</v>
      </c>
      <c r="R41" s="1626"/>
      <c r="S41" s="1624"/>
      <c r="T41" s="1625"/>
      <c r="U41" s="1625"/>
      <c r="V41" s="1625"/>
    </row>
    <row r="42" spans="1:32">
      <c r="A42" s="1619" t="s">
        <v>1646</v>
      </c>
      <c r="B42" s="1620">
        <f>B41/(1+N41)</f>
        <v>275.24529281292263</v>
      </c>
      <c r="C42" s="1620">
        <f>C41/(1+O41)</f>
        <v>231.74747938962707</v>
      </c>
      <c r="D42" s="1620">
        <f t="shared" si="138"/>
        <v>231.74747938962707</v>
      </c>
      <c r="E42" s="1620">
        <f t="shared" si="147"/>
        <v>375.35938184826603</v>
      </c>
      <c r="F42" s="1620">
        <f t="shared" si="147"/>
        <v>216.78033510692495</v>
      </c>
      <c r="G42" s="1888"/>
      <c r="H42" s="1635">
        <v>2</v>
      </c>
      <c r="I42" s="1635">
        <v>0.02</v>
      </c>
      <c r="J42" s="1635">
        <v>0.12</v>
      </c>
      <c r="K42" s="1635">
        <v>-0.08</v>
      </c>
      <c r="L42" s="1642">
        <v>1.24</v>
      </c>
      <c r="N42" s="1624">
        <f t="shared" si="140"/>
        <v>2.0000000000000001E-4</v>
      </c>
      <c r="O42" s="1625">
        <f t="shared" si="140"/>
        <v>1.1999999999999999E-3</v>
      </c>
      <c r="P42" s="1625">
        <f t="shared" si="140"/>
        <v>-8.0000000000000004E-4</v>
      </c>
      <c r="Q42" s="1625">
        <f t="shared" si="140"/>
        <v>1.24E-2</v>
      </c>
      <c r="R42" s="1626"/>
      <c r="S42" s="1624"/>
      <c r="T42" s="1625"/>
      <c r="U42" s="1625"/>
      <c r="V42" s="1625"/>
    </row>
    <row r="43" spans="1:32" ht="13.5" thickBot="1">
      <c r="A43" s="1619" t="s">
        <v>1647</v>
      </c>
      <c r="B43" s="1620">
        <f>B42/(1+N42)</f>
        <v>275.19025476197027</v>
      </c>
      <c r="C43" s="1669">
        <v>232</v>
      </c>
      <c r="D43" s="1669">
        <f t="shared" si="138"/>
        <v>232</v>
      </c>
      <c r="E43" s="1620">
        <f t="shared" si="147"/>
        <v>375.65990977608692</v>
      </c>
      <c r="F43" s="1620">
        <f t="shared" si="147"/>
        <v>214.12518283971252</v>
      </c>
      <c r="G43" s="1889"/>
      <c r="H43" s="1622">
        <v>1</v>
      </c>
      <c r="I43" s="1622">
        <v>0.02</v>
      </c>
      <c r="J43" s="1622">
        <v>0.13</v>
      </c>
      <c r="K43" s="1622">
        <v>-0.04</v>
      </c>
      <c r="L43" s="1641">
        <v>0.46</v>
      </c>
      <c r="N43" s="1624">
        <f t="shared" si="140"/>
        <v>2.0000000000000001E-4</v>
      </c>
      <c r="O43" s="1625">
        <f t="shared" si="140"/>
        <v>1.2999999999999999E-3</v>
      </c>
      <c r="P43" s="1625">
        <f t="shared" si="140"/>
        <v>-4.0000000000000002E-4</v>
      </c>
      <c r="Q43" s="1625">
        <f t="shared" si="140"/>
        <v>4.5999999999999999E-3</v>
      </c>
      <c r="R43" s="1626"/>
      <c r="S43" s="1627">
        <f>B43/B44-1</f>
        <v>6.9183549807361189E-4</v>
      </c>
      <c r="T43" s="1628">
        <f>C43/C44-1</f>
        <v>0</v>
      </c>
      <c r="U43" s="1628">
        <f>E43/E44-1</f>
        <v>-9.0449527636460303E-4</v>
      </c>
      <c r="V43" s="1628">
        <f>F43/F44-1</f>
        <v>5.2825485432512753E-3</v>
      </c>
      <c r="AC43" s="1625"/>
      <c r="AD43" s="1625"/>
      <c r="AE43" s="1625"/>
      <c r="AF43" s="1625"/>
    </row>
    <row r="44" spans="1:32" ht="13.5" thickBot="1">
      <c r="A44" s="1619" t="s">
        <v>1648</v>
      </c>
      <c r="B44" s="1639">
        <v>275</v>
      </c>
      <c r="C44" s="1639">
        <v>232</v>
      </c>
      <c r="D44" s="1639">
        <f t="shared" si="138"/>
        <v>232</v>
      </c>
      <c r="E44" s="1639">
        <v>376</v>
      </c>
      <c r="F44" s="1640">
        <v>213</v>
      </c>
      <c r="G44" s="1887">
        <v>2011</v>
      </c>
      <c r="H44" s="1643">
        <v>4</v>
      </c>
      <c r="I44" s="1643">
        <v>-0.2</v>
      </c>
      <c r="J44" s="1643">
        <v>0.04</v>
      </c>
      <c r="K44" s="1643">
        <v>-0.34</v>
      </c>
      <c r="L44" s="1644">
        <v>0.46</v>
      </c>
      <c r="N44" s="1645">
        <f t="shared" si="140"/>
        <v>-2E-3</v>
      </c>
      <c r="O44" s="1646">
        <f t="shared" si="140"/>
        <v>4.0000000000000002E-4</v>
      </c>
      <c r="P44" s="1646">
        <f t="shared" si="140"/>
        <v>-3.4000000000000002E-3</v>
      </c>
      <c r="Q44" s="1646">
        <f t="shared" si="140"/>
        <v>4.5999999999999999E-3</v>
      </c>
      <c r="R44" s="1626"/>
      <c r="S44" s="1634"/>
      <c r="T44" s="1629"/>
      <c r="U44" s="1629"/>
      <c r="V44" s="1629"/>
      <c r="AC44" s="1629"/>
      <c r="AD44" s="1629"/>
      <c r="AE44" s="1629"/>
      <c r="AF44" s="1629"/>
    </row>
    <row r="45" spans="1:32">
      <c r="A45" s="1619" t="s">
        <v>1649</v>
      </c>
      <c r="B45" s="1620">
        <f t="shared" ref="B45:C47" si="148">B44/(1+N44)</f>
        <v>275.55110220440883</v>
      </c>
      <c r="C45" s="1620">
        <f t="shared" si="148"/>
        <v>231.90723710515795</v>
      </c>
      <c r="D45" s="1620">
        <f t="shared" si="138"/>
        <v>231.90723710515795</v>
      </c>
      <c r="E45" s="1620">
        <f t="shared" ref="E45:F47" si="149">E44/(1+P44)</f>
        <v>377.28276138872161</v>
      </c>
      <c r="F45" s="1620">
        <f t="shared" si="149"/>
        <v>212.02468644236512</v>
      </c>
      <c r="G45" s="1888">
        <v>2011</v>
      </c>
      <c r="H45" s="1648">
        <v>3</v>
      </c>
      <c r="I45" s="1648">
        <v>0.13</v>
      </c>
      <c r="J45" s="1648">
        <v>0.75</v>
      </c>
      <c r="K45" s="1648">
        <v>-0.08</v>
      </c>
      <c r="L45" s="1649">
        <v>0.53</v>
      </c>
      <c r="N45" s="1624">
        <f t="shared" si="140"/>
        <v>1.2999999999999999E-3</v>
      </c>
      <c r="O45" s="1650">
        <f t="shared" si="140"/>
        <v>7.4999999999999997E-3</v>
      </c>
      <c r="P45" s="1650">
        <f t="shared" si="140"/>
        <v>-8.0000000000000004E-4</v>
      </c>
      <c r="Q45" s="1650">
        <f t="shared" si="140"/>
        <v>5.3E-3</v>
      </c>
      <c r="R45" s="1626"/>
      <c r="S45" s="1624"/>
      <c r="T45" s="1625"/>
      <c r="U45" s="1625"/>
      <c r="V45" s="1625"/>
    </row>
    <row r="46" spans="1:32">
      <c r="A46" s="1619" t="s">
        <v>1650</v>
      </c>
      <c r="B46" s="1620">
        <f t="shared" si="148"/>
        <v>275.19335084830601</v>
      </c>
      <c r="C46" s="1620">
        <f t="shared" si="148"/>
        <v>230.18088050139744</v>
      </c>
      <c r="D46" s="1620">
        <f t="shared" si="138"/>
        <v>230.18088050139744</v>
      </c>
      <c r="E46" s="1620">
        <f t="shared" si="149"/>
        <v>377.58482925212331</v>
      </c>
      <c r="F46" s="1620">
        <f t="shared" si="149"/>
        <v>210.90687997847917</v>
      </c>
      <c r="G46" s="1888">
        <v>2011</v>
      </c>
      <c r="H46" s="1635">
        <v>2</v>
      </c>
      <c r="I46" s="1635">
        <v>-0.4</v>
      </c>
      <c r="J46" s="1635">
        <v>0.17</v>
      </c>
      <c r="K46" s="1635">
        <v>-0.57999999999999996</v>
      </c>
      <c r="L46" s="1642">
        <v>-0.2</v>
      </c>
      <c r="N46" s="1624">
        <f t="shared" si="140"/>
        <v>-4.0000000000000001E-3</v>
      </c>
      <c r="O46" s="1650">
        <f t="shared" si="140"/>
        <v>1.7000000000000001E-3</v>
      </c>
      <c r="P46" s="1650">
        <f t="shared" si="140"/>
        <v>-5.7999999999999996E-3</v>
      </c>
      <c r="Q46" s="1650">
        <f t="shared" si="140"/>
        <v>-2E-3</v>
      </c>
      <c r="R46" s="1626"/>
      <c r="S46" s="1624"/>
      <c r="T46" s="1625"/>
      <c r="U46" s="1625"/>
      <c r="V46" s="1625"/>
    </row>
    <row r="47" spans="1:32" ht="13.5" thickBot="1">
      <c r="A47" s="1619" t="s">
        <v>1651</v>
      </c>
      <c r="B47" s="1620">
        <f t="shared" si="148"/>
        <v>276.29854502841971</v>
      </c>
      <c r="C47" s="1620">
        <f t="shared" si="148"/>
        <v>229.79023709833027</v>
      </c>
      <c r="D47" s="1620">
        <f t="shared" si="138"/>
        <v>229.79023709833027</v>
      </c>
      <c r="E47" s="1620">
        <f t="shared" si="149"/>
        <v>379.78759731655936</v>
      </c>
      <c r="F47" s="1620">
        <f t="shared" si="149"/>
        <v>211.32953905659235</v>
      </c>
      <c r="G47" s="1889">
        <v>2011</v>
      </c>
      <c r="H47" s="1622">
        <v>1</v>
      </c>
      <c r="I47" s="1622">
        <v>2.65</v>
      </c>
      <c r="J47" s="1622">
        <v>3.76</v>
      </c>
      <c r="K47" s="1622">
        <v>1.89</v>
      </c>
      <c r="L47" s="1641">
        <v>7.95</v>
      </c>
      <c r="N47" s="1627">
        <f t="shared" si="140"/>
        <v>2.6499999999999999E-2</v>
      </c>
      <c r="O47" s="1628">
        <f t="shared" si="140"/>
        <v>3.7599999999999995E-2</v>
      </c>
      <c r="P47" s="1628">
        <f t="shared" si="140"/>
        <v>1.89E-2</v>
      </c>
      <c r="Q47" s="1628">
        <f t="shared" si="140"/>
        <v>7.9500000000000001E-2</v>
      </c>
      <c r="R47" s="1626"/>
      <c r="S47" s="1627">
        <f>B47/B48-1</f>
        <v>2.713213765211786E-2</v>
      </c>
      <c r="T47" s="1628">
        <f>C47/C48-1</f>
        <v>3.9774828499231862E-2</v>
      </c>
      <c r="U47" s="1628">
        <f>E47/E48-1</f>
        <v>1.8197311840641772E-2</v>
      </c>
      <c r="V47" s="1628">
        <f>F47/F48-1</f>
        <v>7.8211933962205826E-2</v>
      </c>
      <c r="AC47" s="1625"/>
      <c r="AD47" s="1625"/>
      <c r="AE47" s="1625"/>
      <c r="AF47" s="1625"/>
    </row>
    <row r="48" spans="1:32" ht="13.5" thickBot="1">
      <c r="A48" s="1619" t="s">
        <v>1652</v>
      </c>
      <c r="B48" s="1639">
        <v>269</v>
      </c>
      <c r="C48" s="1639">
        <v>221</v>
      </c>
      <c r="D48" s="1639">
        <f t="shared" si="138"/>
        <v>221</v>
      </c>
      <c r="E48" s="1639">
        <v>373</v>
      </c>
      <c r="F48" s="1640">
        <v>196</v>
      </c>
      <c r="G48" s="1887">
        <v>2010</v>
      </c>
      <c r="H48" s="1643">
        <v>4</v>
      </c>
      <c r="I48" s="1643">
        <v>5.72</v>
      </c>
      <c r="J48" s="1643">
        <v>6.57</v>
      </c>
      <c r="K48" s="1643">
        <v>5.72</v>
      </c>
      <c r="L48" s="1644">
        <v>2.72</v>
      </c>
      <c r="N48" s="1624">
        <f t="shared" si="140"/>
        <v>5.7200000000000001E-2</v>
      </c>
      <c r="O48" s="1625">
        <f t="shared" si="140"/>
        <v>6.5700000000000008E-2</v>
      </c>
      <c r="P48" s="1625">
        <f t="shared" si="140"/>
        <v>5.7200000000000001E-2</v>
      </c>
      <c r="Q48" s="1625">
        <f t="shared" si="140"/>
        <v>2.7200000000000002E-2</v>
      </c>
      <c r="R48" s="1626"/>
      <c r="S48" s="1634"/>
      <c r="T48" s="1629"/>
      <c r="U48" s="1629"/>
      <c r="V48" s="1629"/>
      <c r="AC48" s="1629"/>
      <c r="AD48" s="1629"/>
      <c r="AE48" s="1629"/>
      <c r="AF48" s="1629"/>
    </row>
    <row r="49" spans="1:32">
      <c r="A49" s="1619" t="s">
        <v>1653</v>
      </c>
      <c r="B49" s="1620">
        <f t="shared" ref="B49:C51" si="150">B48/(1+N48)</f>
        <v>254.44570563753314</v>
      </c>
      <c r="C49" s="1620">
        <f t="shared" si="150"/>
        <v>207.37543398705074</v>
      </c>
      <c r="D49" s="1620">
        <f t="shared" si="138"/>
        <v>207.37543398705074</v>
      </c>
      <c r="E49" s="1620">
        <f t="shared" ref="E49:F51" si="151">E48/(1+P48)</f>
        <v>352.81876655315932</v>
      </c>
      <c r="F49" s="1620">
        <f t="shared" si="151"/>
        <v>190.809968847352</v>
      </c>
      <c r="G49" s="1888">
        <v>2010</v>
      </c>
      <c r="H49" s="1648">
        <v>3</v>
      </c>
      <c r="I49" s="1648">
        <v>4.7300000000000004</v>
      </c>
      <c r="J49" s="1648">
        <v>3.9</v>
      </c>
      <c r="K49" s="1648">
        <v>5.03</v>
      </c>
      <c r="L49" s="1649">
        <v>4.21</v>
      </c>
      <c r="N49" s="1624">
        <f t="shared" si="140"/>
        <v>4.7300000000000002E-2</v>
      </c>
      <c r="O49" s="1625">
        <f t="shared" si="140"/>
        <v>3.9E-2</v>
      </c>
      <c r="P49" s="1625">
        <f t="shared" si="140"/>
        <v>5.0300000000000004E-2</v>
      </c>
      <c r="Q49" s="1625">
        <f t="shared" si="140"/>
        <v>4.2099999999999999E-2</v>
      </c>
      <c r="R49" s="1626"/>
      <c r="S49" s="1624"/>
      <c r="T49" s="1625"/>
      <c r="U49" s="1625"/>
      <c r="V49" s="1625"/>
    </row>
    <row r="50" spans="1:32">
      <c r="A50" s="1619" t="s">
        <v>1654</v>
      </c>
      <c r="B50" s="1620">
        <f t="shared" si="150"/>
        <v>242.95398227588385</v>
      </c>
      <c r="C50" s="1620">
        <f t="shared" si="150"/>
        <v>199.59137053614126</v>
      </c>
      <c r="D50" s="1620">
        <f t="shared" si="138"/>
        <v>199.59137053614126</v>
      </c>
      <c r="E50" s="1620">
        <f t="shared" si="151"/>
        <v>335.92189522342125</v>
      </c>
      <c r="F50" s="1620">
        <f t="shared" si="151"/>
        <v>183.10139991109489</v>
      </c>
      <c r="G50" s="1888">
        <v>2010</v>
      </c>
      <c r="H50" s="1635">
        <v>2</v>
      </c>
      <c r="I50" s="1635">
        <v>4.6900000000000004</v>
      </c>
      <c r="J50" s="1635">
        <v>3.55</v>
      </c>
      <c r="K50" s="1635">
        <v>5.07</v>
      </c>
      <c r="L50" s="1642">
        <v>4.2300000000000004</v>
      </c>
      <c r="N50" s="1624">
        <f t="shared" si="140"/>
        <v>4.6900000000000004E-2</v>
      </c>
      <c r="O50" s="1625">
        <f t="shared" si="140"/>
        <v>3.5499999999999997E-2</v>
      </c>
      <c r="P50" s="1625">
        <f t="shared" si="140"/>
        <v>5.0700000000000002E-2</v>
      </c>
      <c r="Q50" s="1625">
        <f t="shared" si="140"/>
        <v>4.2300000000000004E-2</v>
      </c>
      <c r="R50" s="1626"/>
      <c r="S50" s="1624"/>
      <c r="T50" s="1625"/>
      <c r="U50" s="1625"/>
      <c r="V50" s="1625"/>
    </row>
    <row r="51" spans="1:32" ht="13.5" thickBot="1">
      <c r="A51" s="1619" t="s">
        <v>1655</v>
      </c>
      <c r="B51" s="1620">
        <f t="shared" si="150"/>
        <v>232.06990378821649</v>
      </c>
      <c r="C51" s="1620">
        <f t="shared" si="150"/>
        <v>192.74878854286936</v>
      </c>
      <c r="D51" s="1620">
        <f t="shared" si="138"/>
        <v>192.74878854286936</v>
      </c>
      <c r="E51" s="1620">
        <f t="shared" si="151"/>
        <v>319.71247284992984</v>
      </c>
      <c r="F51" s="1620">
        <f t="shared" si="151"/>
        <v>175.67053622862409</v>
      </c>
      <c r="G51" s="1889">
        <v>2010</v>
      </c>
      <c r="H51" s="1622">
        <v>1</v>
      </c>
      <c r="I51" s="1622">
        <v>5.4</v>
      </c>
      <c r="J51" s="1622">
        <v>3.2</v>
      </c>
      <c r="K51" s="1622">
        <v>6.16</v>
      </c>
      <c r="L51" s="1641">
        <v>4.51</v>
      </c>
      <c r="N51" s="1624">
        <f t="shared" si="140"/>
        <v>5.4000000000000006E-2</v>
      </c>
      <c r="O51" s="1625">
        <f t="shared" si="140"/>
        <v>3.2000000000000001E-2</v>
      </c>
      <c r="P51" s="1625">
        <f t="shared" si="140"/>
        <v>6.1600000000000002E-2</v>
      </c>
      <c r="Q51" s="1625">
        <f t="shared" si="140"/>
        <v>4.5100000000000001E-2</v>
      </c>
      <c r="R51" s="1626"/>
      <c r="S51" s="1627">
        <f>B51/B52-1</f>
        <v>5.4863199037347599E-2</v>
      </c>
      <c r="T51" s="1628">
        <f>C51/C52-1</f>
        <v>3.0742184721226584E-2</v>
      </c>
      <c r="U51" s="1628">
        <f>E51/E52-1</f>
        <v>6.2167683886810154E-2</v>
      </c>
      <c r="V51" s="1628">
        <f>F51/F52-1</f>
        <v>4.5657953741810031E-2</v>
      </c>
      <c r="AC51" s="1625"/>
      <c r="AD51" s="1625"/>
      <c r="AE51" s="1625"/>
      <c r="AF51" s="1625"/>
    </row>
    <row r="52" spans="1:32" ht="13.5" thickBot="1">
      <c r="A52" s="1619" t="s">
        <v>1656</v>
      </c>
      <c r="B52" s="1639">
        <v>220</v>
      </c>
      <c r="C52" s="1639">
        <v>187</v>
      </c>
      <c r="D52" s="1639">
        <f t="shared" si="138"/>
        <v>187</v>
      </c>
      <c r="E52" s="1639">
        <v>301</v>
      </c>
      <c r="F52" s="1640">
        <v>168</v>
      </c>
      <c r="G52" s="1887">
        <v>2009</v>
      </c>
      <c r="H52" s="1643">
        <v>4</v>
      </c>
      <c r="I52" s="1643">
        <v>2.2999999999999998</v>
      </c>
      <c r="J52" s="1643">
        <v>1.04</v>
      </c>
      <c r="K52" s="1643">
        <v>2.84</v>
      </c>
      <c r="L52" s="1644">
        <v>0.67</v>
      </c>
      <c r="N52" s="1645">
        <f t="shared" si="140"/>
        <v>2.3E-2</v>
      </c>
      <c r="O52" s="1646">
        <f t="shared" si="140"/>
        <v>1.04E-2</v>
      </c>
      <c r="P52" s="1646">
        <f t="shared" si="140"/>
        <v>2.8399999999999998E-2</v>
      </c>
      <c r="Q52" s="1646">
        <f t="shared" si="140"/>
        <v>6.7000000000000002E-3</v>
      </c>
      <c r="R52" s="1626"/>
      <c r="S52" s="1634"/>
      <c r="T52" s="1629"/>
      <c r="U52" s="1629"/>
      <c r="V52" s="1629"/>
      <c r="AC52" s="1629"/>
      <c r="AD52" s="1629"/>
      <c r="AE52" s="1629"/>
      <c r="AF52" s="1629"/>
    </row>
    <row r="53" spans="1:32">
      <c r="A53" s="1619" t="s">
        <v>1657</v>
      </c>
      <c r="B53" s="1620">
        <f t="shared" ref="B53:C55" si="152">B52/(1+N52)</f>
        <v>215.05376344086022</v>
      </c>
      <c r="C53" s="1620">
        <f t="shared" si="152"/>
        <v>185.0752177355503</v>
      </c>
      <c r="D53" s="1620">
        <f t="shared" si="138"/>
        <v>185.0752177355503</v>
      </c>
      <c r="E53" s="1620">
        <f t="shared" ref="E53:F55" si="153">E52/(1+P52)</f>
        <v>292.68767016725008</v>
      </c>
      <c r="F53" s="1620">
        <f t="shared" si="153"/>
        <v>166.88189132810174</v>
      </c>
      <c r="G53" s="1888">
        <v>2009</v>
      </c>
      <c r="H53" s="1648">
        <v>3</v>
      </c>
      <c r="I53" s="1648">
        <v>2.1</v>
      </c>
      <c r="J53" s="1648">
        <v>1.86</v>
      </c>
      <c r="K53" s="1648">
        <v>2.29</v>
      </c>
      <c r="L53" s="1649">
        <v>0.85</v>
      </c>
      <c r="N53" s="1624">
        <f t="shared" si="140"/>
        <v>2.1000000000000001E-2</v>
      </c>
      <c r="O53" s="1650">
        <f t="shared" si="140"/>
        <v>1.8600000000000002E-2</v>
      </c>
      <c r="P53" s="1650">
        <f t="shared" si="140"/>
        <v>2.29E-2</v>
      </c>
      <c r="Q53" s="1650">
        <f t="shared" si="140"/>
        <v>8.5000000000000006E-3</v>
      </c>
      <c r="R53" s="1626"/>
      <c r="S53" s="1624"/>
      <c r="T53" s="1625"/>
      <c r="U53" s="1625"/>
      <c r="V53" s="1625"/>
    </row>
    <row r="54" spans="1:32">
      <c r="A54" s="1619" t="s">
        <v>1658</v>
      </c>
      <c r="B54" s="1620">
        <f t="shared" si="152"/>
        <v>210.630522469011</v>
      </c>
      <c r="C54" s="1620">
        <f t="shared" si="152"/>
        <v>181.69567812247232</v>
      </c>
      <c r="D54" s="1620">
        <f t="shared" si="138"/>
        <v>181.69567812247232</v>
      </c>
      <c r="E54" s="1620">
        <f t="shared" si="153"/>
        <v>286.13517466736738</v>
      </c>
      <c r="F54" s="1620">
        <f t="shared" si="153"/>
        <v>165.47535084591149</v>
      </c>
      <c r="G54" s="1888">
        <v>2009</v>
      </c>
      <c r="H54" s="1635">
        <v>2</v>
      </c>
      <c r="I54" s="1635">
        <v>0.86</v>
      </c>
      <c r="J54" s="1635">
        <v>-1.1299999999999999</v>
      </c>
      <c r="K54" s="1635">
        <v>1.79</v>
      </c>
      <c r="L54" s="1642">
        <v>-2.0699999999999998</v>
      </c>
      <c r="N54" s="1624">
        <f t="shared" si="140"/>
        <v>8.6E-3</v>
      </c>
      <c r="O54" s="1650">
        <f t="shared" si="140"/>
        <v>-1.1299999999999999E-2</v>
      </c>
      <c r="P54" s="1650">
        <f t="shared" si="140"/>
        <v>1.7899999999999999E-2</v>
      </c>
      <c r="Q54" s="1650">
        <f t="shared" si="140"/>
        <v>-2.07E-2</v>
      </c>
      <c r="R54" s="1626"/>
      <c r="S54" s="1624"/>
      <c r="T54" s="1625"/>
      <c r="U54" s="1625"/>
      <c r="V54" s="1625"/>
    </row>
    <row r="55" spans="1:32">
      <c r="A55" s="1619" t="s">
        <v>1659</v>
      </c>
      <c r="B55" s="1620">
        <f t="shared" si="152"/>
        <v>208.83454537875372</v>
      </c>
      <c r="C55" s="1620">
        <f t="shared" si="152"/>
        <v>183.77230517090351</v>
      </c>
      <c r="D55" s="1620">
        <f t="shared" si="138"/>
        <v>183.77230517090351</v>
      </c>
      <c r="E55" s="1620">
        <f t="shared" si="153"/>
        <v>281.10342338870947</v>
      </c>
      <c r="F55" s="1620">
        <f t="shared" si="153"/>
        <v>168.97309388942256</v>
      </c>
      <c r="G55" s="1889">
        <v>2009</v>
      </c>
      <c r="H55" s="1622">
        <v>1</v>
      </c>
      <c r="I55" s="1622">
        <v>-2.64</v>
      </c>
      <c r="J55" s="1622">
        <v>-2.5299999999999998</v>
      </c>
      <c r="K55" s="1622">
        <v>-3.02</v>
      </c>
      <c r="L55" s="1641">
        <v>1.52</v>
      </c>
      <c r="N55" s="1627">
        <f t="shared" si="140"/>
        <v>-2.64E-2</v>
      </c>
      <c r="O55" s="1628">
        <f t="shared" si="140"/>
        <v>-2.53E-2</v>
      </c>
      <c r="P55" s="1628">
        <f t="shared" si="140"/>
        <v>-3.0200000000000001E-2</v>
      </c>
      <c r="Q55" s="1628">
        <f t="shared" si="140"/>
        <v>1.52E-2</v>
      </c>
      <c r="R55" s="1626"/>
      <c r="S55" s="1627">
        <f>B55/B56-1</f>
        <v>-2.4137638417038754E-2</v>
      </c>
      <c r="T55" s="1628">
        <f>C55/C56-1</f>
        <v>-2.248773845264096E-2</v>
      </c>
      <c r="U55" s="1628">
        <f>E55/E56-1</f>
        <v>-2.7323794502735366E-2</v>
      </c>
      <c r="V55" s="1628">
        <f>F55/F56-1</f>
        <v>1.7910204153148035E-2</v>
      </c>
      <c r="AC55" s="1625"/>
      <c r="AD55" s="1625"/>
      <c r="AE55" s="1625"/>
      <c r="AF55" s="1625"/>
    </row>
    <row r="56" spans="1:32" ht="13.5" thickBot="1">
      <c r="A56" s="1619" t="s">
        <v>1660</v>
      </c>
      <c r="B56" s="1667">
        <v>214</v>
      </c>
      <c r="C56" s="1667">
        <v>188</v>
      </c>
      <c r="D56" s="1667">
        <f t="shared" si="138"/>
        <v>188</v>
      </c>
      <c r="E56" s="1667">
        <v>289</v>
      </c>
      <c r="F56" s="1668">
        <v>166</v>
      </c>
      <c r="G56" s="1887">
        <v>2008</v>
      </c>
      <c r="H56" s="1643">
        <v>4</v>
      </c>
      <c r="I56" s="1643">
        <v>1.73</v>
      </c>
      <c r="J56" s="1643">
        <v>0.03</v>
      </c>
      <c r="K56" s="1643">
        <v>2.59</v>
      </c>
      <c r="L56" s="1644">
        <v>-1.66</v>
      </c>
      <c r="N56" s="1624">
        <f t="shared" si="140"/>
        <v>1.7299999999999999E-2</v>
      </c>
      <c r="O56" s="1625">
        <f t="shared" si="140"/>
        <v>2.9999999999999997E-4</v>
      </c>
      <c r="P56" s="1625">
        <f t="shared" si="140"/>
        <v>2.5899999999999999E-2</v>
      </c>
      <c r="Q56" s="1625">
        <f t="shared" si="140"/>
        <v>-1.66E-2</v>
      </c>
      <c r="R56" s="1626"/>
      <c r="S56" s="1634"/>
      <c r="T56" s="1629"/>
      <c r="U56" s="1629"/>
      <c r="V56" s="1629"/>
      <c r="AC56" s="1629"/>
      <c r="AD56" s="1629"/>
      <c r="AE56" s="1629"/>
      <c r="AF56" s="1629"/>
    </row>
    <row r="57" spans="1:32">
      <c r="A57" s="1619" t="s">
        <v>1661</v>
      </c>
      <c r="B57" s="1620">
        <f t="shared" ref="B57:C59" si="154">B56/(1+N56)</f>
        <v>210.36075887152265</v>
      </c>
      <c r="C57" s="1620">
        <f t="shared" si="154"/>
        <v>187.94361691492554</v>
      </c>
      <c r="D57" s="1620">
        <f t="shared" si="138"/>
        <v>187.94361691492554</v>
      </c>
      <c r="E57" s="1620">
        <f t="shared" ref="E57:F59" si="155">E56/(1+P56)</f>
        <v>281.70386977288234</v>
      </c>
      <c r="F57" s="1620">
        <f t="shared" si="155"/>
        <v>168.80211511083994</v>
      </c>
      <c r="G57" s="1888">
        <v>2008</v>
      </c>
      <c r="H57" s="1648">
        <v>3</v>
      </c>
      <c r="I57" s="1648">
        <v>1.96</v>
      </c>
      <c r="J57" s="1648">
        <v>2.36</v>
      </c>
      <c r="K57" s="1648">
        <v>1.82</v>
      </c>
      <c r="L57" s="1649">
        <v>2.2200000000000002</v>
      </c>
      <c r="N57" s="1624">
        <f t="shared" si="140"/>
        <v>1.9599999999999999E-2</v>
      </c>
      <c r="O57" s="1625">
        <f t="shared" si="140"/>
        <v>2.3599999999999999E-2</v>
      </c>
      <c r="P57" s="1625">
        <f t="shared" si="140"/>
        <v>1.8200000000000001E-2</v>
      </c>
      <c r="Q57" s="1625">
        <f t="shared" si="140"/>
        <v>2.2200000000000001E-2</v>
      </c>
      <c r="R57" s="1626"/>
      <c r="S57" s="1624"/>
      <c r="T57" s="1625"/>
      <c r="U57" s="1625"/>
      <c r="V57" s="1625"/>
    </row>
    <row r="58" spans="1:32">
      <c r="A58" s="1619" t="s">
        <v>1662</v>
      </c>
      <c r="B58" s="1620">
        <f t="shared" si="154"/>
        <v>206.31694671589116</v>
      </c>
      <c r="C58" s="1620">
        <f t="shared" si="154"/>
        <v>183.61041121036101</v>
      </c>
      <c r="D58" s="1620">
        <f t="shared" si="138"/>
        <v>183.61041121036101</v>
      </c>
      <c r="E58" s="1620">
        <f t="shared" si="155"/>
        <v>276.66850301795557</v>
      </c>
      <c r="F58" s="1620">
        <f t="shared" si="155"/>
        <v>165.1360938278614</v>
      </c>
      <c r="G58" s="1888">
        <v>2008</v>
      </c>
      <c r="H58" s="1635">
        <v>2</v>
      </c>
      <c r="I58" s="1635">
        <v>4.93</v>
      </c>
      <c r="J58" s="1635">
        <v>7.38</v>
      </c>
      <c r="K58" s="1635">
        <v>3.98</v>
      </c>
      <c r="L58" s="1642">
        <v>6.86</v>
      </c>
      <c r="N58" s="1624">
        <f t="shared" si="140"/>
        <v>4.9299999999999997E-2</v>
      </c>
      <c r="O58" s="1625">
        <f t="shared" si="140"/>
        <v>7.3800000000000004E-2</v>
      </c>
      <c r="P58" s="1625">
        <f t="shared" si="140"/>
        <v>3.9800000000000002E-2</v>
      </c>
      <c r="Q58" s="1625">
        <f t="shared" si="140"/>
        <v>6.8600000000000008E-2</v>
      </c>
      <c r="R58" s="1626"/>
      <c r="S58" s="1624"/>
      <c r="T58" s="1625"/>
      <c r="U58" s="1625"/>
      <c r="V58" s="1625"/>
    </row>
    <row r="59" spans="1:32" s="1673" customFormat="1" ht="13.5" thickBot="1">
      <c r="A59" s="1619" t="s">
        <v>1663</v>
      </c>
      <c r="B59" s="1670">
        <f t="shared" si="154"/>
        <v>196.62341248059772</v>
      </c>
      <c r="C59" s="1670">
        <f t="shared" si="154"/>
        <v>170.99125648199012</v>
      </c>
      <c r="D59" s="1670">
        <f t="shared" si="138"/>
        <v>170.99125648199012</v>
      </c>
      <c r="E59" s="1670">
        <f t="shared" si="155"/>
        <v>266.07857570490052</v>
      </c>
      <c r="F59" s="1670">
        <f t="shared" si="155"/>
        <v>154.53499328828505</v>
      </c>
      <c r="G59" s="1889">
        <v>2008</v>
      </c>
      <c r="H59" s="1671">
        <v>1</v>
      </c>
      <c r="I59" s="1671">
        <v>4.1399999999999997</v>
      </c>
      <c r="J59" s="1671">
        <v>3.45</v>
      </c>
      <c r="K59" s="1671">
        <v>4.95</v>
      </c>
      <c r="L59" s="1672">
        <v>4.82</v>
      </c>
      <c r="N59" s="1674">
        <f t="shared" si="140"/>
        <v>4.1399999999999999E-2</v>
      </c>
      <c r="O59" s="1675">
        <f t="shared" si="140"/>
        <v>3.4500000000000003E-2</v>
      </c>
      <c r="P59" s="1675">
        <f t="shared" si="140"/>
        <v>4.9500000000000002E-2</v>
      </c>
      <c r="Q59" s="1675">
        <f t="shared" si="140"/>
        <v>4.82E-2</v>
      </c>
      <c r="R59" s="1676"/>
      <c r="S59" s="1674">
        <f>B59/B60-1</f>
        <v>4.5869215322328349E-2</v>
      </c>
      <c r="T59" s="1675">
        <f>C59/C60-1</f>
        <v>3.6310645345394743E-2</v>
      </c>
      <c r="U59" s="1675">
        <f>E59/E60-1</f>
        <v>4.7553447657088688E-2</v>
      </c>
      <c r="V59" s="1675">
        <f>F59/F60-1</f>
        <v>4.4155360055980086E-2</v>
      </c>
      <c r="AC59" s="1675"/>
      <c r="AD59" s="1675"/>
      <c r="AE59" s="1675"/>
      <c r="AF59" s="1675"/>
    </row>
    <row r="60" spans="1:32" ht="13.5" thickBot="1">
      <c r="A60" s="1619" t="s">
        <v>1664</v>
      </c>
      <c r="B60" s="1639">
        <v>188</v>
      </c>
      <c r="C60" s="1639">
        <v>165</v>
      </c>
      <c r="D60" s="1639">
        <f t="shared" si="138"/>
        <v>165</v>
      </c>
      <c r="E60" s="1639">
        <v>254</v>
      </c>
      <c r="F60" s="1640">
        <v>148</v>
      </c>
      <c r="G60" s="1887">
        <v>2007</v>
      </c>
      <c r="H60" s="1677">
        <v>4</v>
      </c>
      <c r="I60" s="1677">
        <v>5.51</v>
      </c>
      <c r="J60" s="1677">
        <v>4.8899999999999997</v>
      </c>
      <c r="K60" s="1677">
        <v>6.43</v>
      </c>
      <c r="L60" s="1678">
        <v>5.36</v>
      </c>
      <c r="N60" s="1679">
        <f t="shared" ref="N60:O63" si="156">B60/B61-1</f>
        <v>4.1339718365245526E-2</v>
      </c>
      <c r="O60" s="1680">
        <f t="shared" si="156"/>
        <v>4.0324492593776018E-2</v>
      </c>
      <c r="P60" s="1680">
        <f t="shared" ref="P60:Q63" si="157">E60/E61-1</f>
        <v>6.1625555347990968E-2</v>
      </c>
      <c r="Q60" s="1680">
        <f t="shared" si="157"/>
        <v>4.6757569250590603E-2</v>
      </c>
      <c r="R60" s="1626"/>
      <c r="S60" s="1634"/>
      <c r="T60" s="1629"/>
      <c r="U60" s="1629"/>
      <c r="V60" s="1629"/>
      <c r="AC60" s="1629"/>
      <c r="AD60" s="1629"/>
      <c r="AE60" s="1629"/>
      <c r="AF60" s="1629"/>
    </row>
    <row r="61" spans="1:32">
      <c r="A61" s="1619" t="s">
        <v>1665</v>
      </c>
      <c r="B61" s="1620">
        <f t="shared" ref="B61:C63" si="158">B62+(B$60-B$64)*I61/SUM(I$60:I$63)</f>
        <v>180.5366651097618</v>
      </c>
      <c r="C61" s="1620">
        <f t="shared" si="158"/>
        <v>158.60435967302453</v>
      </c>
      <c r="D61" s="1620">
        <f t="shared" si="138"/>
        <v>158.60435967302453</v>
      </c>
      <c r="E61" s="1620">
        <f t="shared" ref="E61:F63" si="159">E62+(E$60-E$64)*K61/SUM(K$60:K$63)</f>
        <v>239.25573260785075</v>
      </c>
      <c r="F61" s="1620">
        <f t="shared" si="159"/>
        <v>141.38899430740037</v>
      </c>
      <c r="G61" s="1888">
        <v>2007</v>
      </c>
      <c r="H61" s="1648">
        <v>3</v>
      </c>
      <c r="I61" s="1648">
        <v>8.65</v>
      </c>
      <c r="J61" s="1648">
        <v>8.06</v>
      </c>
      <c r="K61" s="1648">
        <v>9.94</v>
      </c>
      <c r="L61" s="1649">
        <v>5.8</v>
      </c>
      <c r="N61" s="1679">
        <f t="shared" si="156"/>
        <v>6.940217571740015E-2</v>
      </c>
      <c r="O61" s="1680">
        <f t="shared" si="156"/>
        <v>7.1197482471153428E-2</v>
      </c>
      <c r="P61" s="1680">
        <f t="shared" si="157"/>
        <v>0.10529679922579582</v>
      </c>
      <c r="Q61" s="1680">
        <f t="shared" si="157"/>
        <v>5.3292245059512133E-2</v>
      </c>
      <c r="R61" s="1626"/>
      <c r="S61" s="1624"/>
      <c r="T61" s="1625"/>
      <c r="U61" s="1625"/>
      <c r="V61" s="1625"/>
      <c r="AC61" s="1681"/>
      <c r="AD61" s="1681"/>
      <c r="AE61" s="1681"/>
      <c r="AF61" s="1681"/>
    </row>
    <row r="62" spans="1:32">
      <c r="A62" s="1619" t="s">
        <v>1666</v>
      </c>
      <c r="B62" s="1620">
        <f t="shared" si="158"/>
        <v>168.82017748715555</v>
      </c>
      <c r="C62" s="1620">
        <f t="shared" si="158"/>
        <v>148.06267029972753</v>
      </c>
      <c r="D62" s="1620">
        <f t="shared" si="138"/>
        <v>148.06267029972753</v>
      </c>
      <c r="E62" s="1620">
        <f t="shared" si="159"/>
        <v>216.46288379323747</v>
      </c>
      <c r="F62" s="1620">
        <f t="shared" si="159"/>
        <v>134.23529411764704</v>
      </c>
      <c r="G62" s="1888">
        <v>2007</v>
      </c>
      <c r="H62" s="1635">
        <v>2</v>
      </c>
      <c r="I62" s="1635">
        <v>3.67</v>
      </c>
      <c r="J62" s="1635">
        <v>2.3199999999999998</v>
      </c>
      <c r="K62" s="1635">
        <v>5.0199999999999996</v>
      </c>
      <c r="L62" s="1642">
        <v>6.71</v>
      </c>
      <c r="N62" s="1679">
        <f t="shared" si="156"/>
        <v>3.0339138143848032E-2</v>
      </c>
      <c r="O62" s="1680">
        <f t="shared" si="156"/>
        <v>2.0922341588790472E-2</v>
      </c>
      <c r="P62" s="1680">
        <f t="shared" si="157"/>
        <v>5.6164796592717003E-2</v>
      </c>
      <c r="Q62" s="1680">
        <f t="shared" si="157"/>
        <v>6.5704536723887319E-2</v>
      </c>
      <c r="R62" s="1626"/>
      <c r="S62" s="1624"/>
      <c r="T62" s="1625"/>
      <c r="U62" s="1625"/>
      <c r="V62" s="1625"/>
      <c r="AC62" s="1681"/>
      <c r="AD62" s="1681"/>
      <c r="AE62" s="1681"/>
      <c r="AF62" s="1681"/>
    </row>
    <row r="63" spans="1:32">
      <c r="A63" s="1619" t="s">
        <v>1667</v>
      </c>
      <c r="B63" s="1620">
        <f t="shared" si="158"/>
        <v>163.84913591779542</v>
      </c>
      <c r="C63" s="1620">
        <f t="shared" si="158"/>
        <v>145.0283378746594</v>
      </c>
      <c r="D63" s="1620">
        <f t="shared" si="138"/>
        <v>145.0283378746594</v>
      </c>
      <c r="E63" s="1620">
        <f t="shared" si="159"/>
        <v>204.95180722891567</v>
      </c>
      <c r="F63" s="1620">
        <f t="shared" si="159"/>
        <v>125.95920303605313</v>
      </c>
      <c r="G63" s="1889">
        <v>2007</v>
      </c>
      <c r="H63" s="1622">
        <v>1</v>
      </c>
      <c r="I63" s="1622">
        <v>3.58</v>
      </c>
      <c r="J63" s="1622">
        <v>3.08</v>
      </c>
      <c r="K63" s="1622">
        <v>4.34</v>
      </c>
      <c r="L63" s="1641">
        <v>3.21</v>
      </c>
      <c r="N63" s="1682">
        <f t="shared" si="156"/>
        <v>3.0497710174814063E-2</v>
      </c>
      <c r="O63" s="1683">
        <f t="shared" si="156"/>
        <v>2.8569772160704998E-2</v>
      </c>
      <c r="P63" s="1683">
        <f t="shared" si="157"/>
        <v>5.1034908866234296E-2</v>
      </c>
      <c r="Q63" s="1683">
        <f t="shared" si="157"/>
        <v>3.245248390207478E-2</v>
      </c>
      <c r="R63" s="1626"/>
      <c r="S63" s="1627">
        <f>B63/B64-1</f>
        <v>3.0497710174814063E-2</v>
      </c>
      <c r="T63" s="1628">
        <f>C63/C64-1</f>
        <v>2.8569772160704998E-2</v>
      </c>
      <c r="U63" s="1628">
        <f>E63/E64-1</f>
        <v>5.1034908866234296E-2</v>
      </c>
      <c r="V63" s="1628">
        <f>F63/F64-1</f>
        <v>3.245248390207478E-2</v>
      </c>
      <c r="AC63" s="1681"/>
      <c r="AD63" s="1681"/>
      <c r="AE63" s="1681"/>
      <c r="AF63" s="1681"/>
    </row>
    <row r="64" spans="1:32" ht="13.5" thickBot="1">
      <c r="A64" s="1619" t="s">
        <v>1668</v>
      </c>
      <c r="B64" s="1651">
        <v>159</v>
      </c>
      <c r="C64" s="1651">
        <v>141</v>
      </c>
      <c r="D64" s="1651">
        <f t="shared" si="138"/>
        <v>141</v>
      </c>
      <c r="E64" s="1651">
        <v>195</v>
      </c>
      <c r="F64" s="1652">
        <v>122</v>
      </c>
      <c r="G64" s="1887">
        <v>2006</v>
      </c>
      <c r="H64" s="1643">
        <v>4</v>
      </c>
      <c r="I64" s="1643">
        <v>3.79</v>
      </c>
      <c r="J64" s="1643">
        <v>2.21</v>
      </c>
      <c r="K64" s="1643">
        <v>5.65</v>
      </c>
      <c r="L64" s="1644">
        <v>5.41</v>
      </c>
      <c r="N64" s="1679">
        <f t="shared" ref="N64:O67" si="160">I64/SUM(I$64:I$67)*(B$64/B$68-1)</f>
        <v>7.245466462748526E-2</v>
      </c>
      <c r="O64" s="1680">
        <f t="shared" si="160"/>
        <v>2.3237230038062766E-2</v>
      </c>
      <c r="P64" s="1680">
        <f t="shared" ref="P64:Q67" si="161">K64/SUM(K$64:K$67)*(E$64/E$68-1)</f>
        <v>0.16146893866323722</v>
      </c>
      <c r="Q64" s="1680">
        <f t="shared" si="161"/>
        <v>5.0755230321793784E-2</v>
      </c>
      <c r="R64" s="1626"/>
      <c r="S64" s="1634"/>
      <c r="T64" s="1629"/>
      <c r="U64" s="1629"/>
      <c r="V64" s="1629"/>
      <c r="AC64" s="1681"/>
      <c r="AD64" s="1681"/>
      <c r="AE64" s="1681"/>
      <c r="AF64" s="1681"/>
    </row>
    <row r="65" spans="1:32">
      <c r="A65" s="1619" t="s">
        <v>1669</v>
      </c>
      <c r="B65" s="1620">
        <f t="shared" ref="B65:C67" si="162">B66+(B$64-B$68)*I65/SUM(I$64:I$67)</f>
        <v>149.00125628140702</v>
      </c>
      <c r="C65" s="1620">
        <f t="shared" si="162"/>
        <v>137.95592286501378</v>
      </c>
      <c r="D65" s="1620">
        <f t="shared" si="138"/>
        <v>137.95592286501378</v>
      </c>
      <c r="E65" s="1620">
        <f t="shared" ref="E65:F67" si="163">E66+(E$64-E$68)*K65/SUM(K$64:K$67)</f>
        <v>169.97231450719823</v>
      </c>
      <c r="F65" s="1620">
        <f t="shared" si="163"/>
        <v>116.21390374331551</v>
      </c>
      <c r="G65" s="1888">
        <v>2006</v>
      </c>
      <c r="H65" s="1648">
        <v>3</v>
      </c>
      <c r="I65" s="1648">
        <v>0.92</v>
      </c>
      <c r="J65" s="1648">
        <v>1.08</v>
      </c>
      <c r="K65" s="1648">
        <v>0.73</v>
      </c>
      <c r="L65" s="1649">
        <v>1.08</v>
      </c>
      <c r="N65" s="1679">
        <f t="shared" si="160"/>
        <v>1.7587939698492462E-2</v>
      </c>
      <c r="O65" s="1680">
        <f t="shared" si="160"/>
        <v>1.1355750425840628E-2</v>
      </c>
      <c r="P65" s="1680">
        <f t="shared" si="161"/>
        <v>2.0862358446754544E-2</v>
      </c>
      <c r="Q65" s="1680">
        <f t="shared" si="161"/>
        <v>1.0132282578103011E-2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1670</v>
      </c>
      <c r="B66" s="1620">
        <f t="shared" si="162"/>
        <v>146.57412060301507</v>
      </c>
      <c r="C66" s="1620">
        <f t="shared" si="162"/>
        <v>136.46831955922866</v>
      </c>
      <c r="D66" s="1620">
        <f t="shared" si="138"/>
        <v>136.46831955922866</v>
      </c>
      <c r="E66" s="1620">
        <f t="shared" si="163"/>
        <v>166.73864894795128</v>
      </c>
      <c r="F66" s="1620">
        <f t="shared" si="163"/>
        <v>115.05882352941177</v>
      </c>
      <c r="G66" s="1888">
        <v>2006</v>
      </c>
      <c r="H66" s="1635">
        <v>2</v>
      </c>
      <c r="I66" s="1635">
        <v>0.96</v>
      </c>
      <c r="J66" s="1635">
        <v>0.25</v>
      </c>
      <c r="K66" s="1635">
        <v>1.9</v>
      </c>
      <c r="L66" s="1642">
        <v>0.95</v>
      </c>
      <c r="N66" s="1679">
        <f t="shared" si="160"/>
        <v>1.8352632728861701E-2</v>
      </c>
      <c r="O66" s="1680">
        <f t="shared" si="160"/>
        <v>2.6286459319075526E-3</v>
      </c>
      <c r="P66" s="1680">
        <f t="shared" si="161"/>
        <v>5.4299289107991269E-2</v>
      </c>
      <c r="Q66" s="1680">
        <f t="shared" si="161"/>
        <v>8.9126559714794995E-3</v>
      </c>
      <c r="R66" s="1626"/>
      <c r="S66" s="1624"/>
      <c r="T66" s="1625"/>
      <c r="U66" s="1625"/>
      <c r="V66" s="1625"/>
      <c r="AC66" s="1681"/>
      <c r="AD66" s="1681"/>
      <c r="AE66" s="1681"/>
      <c r="AF66" s="1681"/>
    </row>
    <row r="67" spans="1:32">
      <c r="A67" s="1619" t="s">
        <v>1671</v>
      </c>
      <c r="B67" s="1620">
        <f t="shared" si="162"/>
        <v>144.04145728643215</v>
      </c>
      <c r="C67" s="1620">
        <f t="shared" si="162"/>
        <v>136.12396694214877</v>
      </c>
      <c r="D67" s="1620">
        <f t="shared" si="138"/>
        <v>136.12396694214877</v>
      </c>
      <c r="E67" s="1620">
        <f t="shared" si="163"/>
        <v>158.32225913621264</v>
      </c>
      <c r="F67" s="1620">
        <f t="shared" si="163"/>
        <v>114.04278074866311</v>
      </c>
      <c r="G67" s="1889">
        <v>2006</v>
      </c>
      <c r="H67" s="1622">
        <v>1</v>
      </c>
      <c r="I67" s="1622">
        <v>2.29</v>
      </c>
      <c r="J67" s="1622">
        <v>3.72</v>
      </c>
      <c r="K67" s="1622">
        <v>0.75</v>
      </c>
      <c r="L67" s="1641">
        <v>0.04</v>
      </c>
      <c r="N67" s="1682">
        <f t="shared" si="160"/>
        <v>4.3778675988638847E-2</v>
      </c>
      <c r="O67" s="1683">
        <f t="shared" si="160"/>
        <v>3.9114251466784385E-2</v>
      </c>
      <c r="P67" s="1683">
        <f t="shared" si="161"/>
        <v>2.1433929911049188E-2</v>
      </c>
      <c r="Q67" s="1683">
        <f t="shared" si="161"/>
        <v>3.7526972511492629E-4</v>
      </c>
      <c r="R67" s="1626"/>
      <c r="S67" s="1627">
        <f>B67/B68-1</f>
        <v>4.3778675988638716E-2</v>
      </c>
      <c r="T67" s="1628">
        <f>C67/C68-1</f>
        <v>3.91142514667846E-2</v>
      </c>
      <c r="U67" s="1628">
        <f>E67/E68-1</f>
        <v>2.143392991104931E-2</v>
      </c>
      <c r="V67" s="1628">
        <f>F67/F68-1</f>
        <v>3.7526972511492396E-4</v>
      </c>
      <c r="AC67" s="1681"/>
      <c r="AD67" s="1681"/>
      <c r="AE67" s="1681"/>
      <c r="AF67" s="1681"/>
    </row>
    <row r="68" spans="1:32" ht="13.5" thickBot="1">
      <c r="A68" s="1619" t="s">
        <v>1672</v>
      </c>
      <c r="B68" s="1651">
        <v>138</v>
      </c>
      <c r="C68" s="1651">
        <v>131</v>
      </c>
      <c r="D68" s="1651">
        <f t="shared" si="138"/>
        <v>131</v>
      </c>
      <c r="E68" s="1651">
        <v>155</v>
      </c>
      <c r="F68" s="1652">
        <v>114</v>
      </c>
      <c r="G68" s="1887">
        <v>2005</v>
      </c>
      <c r="H68" s="1643">
        <v>4</v>
      </c>
      <c r="I68" s="1643">
        <v>3.29</v>
      </c>
      <c r="J68" s="1643">
        <v>1.44</v>
      </c>
      <c r="K68" s="1643">
        <v>0.66</v>
      </c>
      <c r="L68" s="1644">
        <v>7.78</v>
      </c>
      <c r="N68" s="1679">
        <f t="shared" ref="N68:O71" si="164">I68/SUM(I$68:I$71)*(B$68/B$72-1)</f>
        <v>9.9404603216919935E-2</v>
      </c>
      <c r="O68" s="1680">
        <f t="shared" si="164"/>
        <v>4.7636550760861554E-2</v>
      </c>
      <c r="P68" s="1680">
        <f t="shared" ref="P68:Q71" si="165">K68/SUM(K$68:K$71)*(E$68/E$72-1)</f>
        <v>8.3756345177664976E-2</v>
      </c>
      <c r="Q68" s="1680">
        <f t="shared" si="165"/>
        <v>5.2148766661559584E-2</v>
      </c>
      <c r="R68" s="1626"/>
      <c r="S68" s="1634"/>
      <c r="T68" s="1629"/>
      <c r="U68" s="1629"/>
      <c r="V68" s="1629"/>
      <c r="AC68" s="1681"/>
      <c r="AD68" s="1681"/>
      <c r="AE68" s="1681"/>
      <c r="AF68" s="1681"/>
    </row>
    <row r="69" spans="1:32">
      <c r="A69" s="1619" t="s">
        <v>1673</v>
      </c>
      <c r="B69" s="1620">
        <f t="shared" ref="B69:C71" si="166">B70+(B$68-B$72)*I69/SUM(I$68:I$71)</f>
        <v>125.9720430107527</v>
      </c>
      <c r="C69" s="1620">
        <f t="shared" si="166"/>
        <v>125.1883408071749</v>
      </c>
      <c r="D69" s="1620">
        <f t="shared" si="138"/>
        <v>125.1883408071749</v>
      </c>
      <c r="E69" s="1620">
        <f t="shared" ref="E69:F71" si="167">E70+(E$68-E$72)*K69/SUM(K$68:K$71)</f>
        <v>144.61421319796952</v>
      </c>
      <c r="F69" s="1620">
        <f t="shared" si="167"/>
        <v>108.42008196721311</v>
      </c>
      <c r="G69" s="1888">
        <v>2005</v>
      </c>
      <c r="H69" s="1648">
        <v>3</v>
      </c>
      <c r="I69" s="1648">
        <v>0.46</v>
      </c>
      <c r="J69" s="1648">
        <v>0.32</v>
      </c>
      <c r="K69" s="1648">
        <v>0.42</v>
      </c>
      <c r="L69" s="1649">
        <v>0.64</v>
      </c>
      <c r="N69" s="1679">
        <f t="shared" si="164"/>
        <v>1.3898515951301874E-2</v>
      </c>
      <c r="O69" s="1680">
        <f t="shared" si="164"/>
        <v>1.0585900169080346E-2</v>
      </c>
      <c r="P69" s="1680">
        <f t="shared" si="165"/>
        <v>5.3299492385786795E-2</v>
      </c>
      <c r="Q69" s="1680">
        <f t="shared" si="165"/>
        <v>4.2898728359123568E-3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1674</v>
      </c>
      <c r="B70" s="1620">
        <f t="shared" si="166"/>
        <v>124.29032258064517</v>
      </c>
      <c r="C70" s="1620">
        <f t="shared" si="166"/>
        <v>123.8968609865471</v>
      </c>
      <c r="D70" s="1620">
        <f t="shared" si="138"/>
        <v>123.8968609865471</v>
      </c>
      <c r="E70" s="1620">
        <f t="shared" si="167"/>
        <v>138.00507614213197</v>
      </c>
      <c r="F70" s="1620">
        <f t="shared" si="167"/>
        <v>107.96106557377048</v>
      </c>
      <c r="G70" s="1888">
        <v>2005</v>
      </c>
      <c r="H70" s="1635">
        <v>2</v>
      </c>
      <c r="I70" s="1635">
        <v>0.47</v>
      </c>
      <c r="J70" s="1635">
        <v>0.1</v>
      </c>
      <c r="K70" s="1635">
        <v>0.52</v>
      </c>
      <c r="L70" s="1642">
        <v>0.79</v>
      </c>
      <c r="N70" s="1679">
        <f t="shared" si="164"/>
        <v>1.420065760241713E-2</v>
      </c>
      <c r="O70" s="1680">
        <f t="shared" si="164"/>
        <v>3.3080938028376083E-3</v>
      </c>
      <c r="P70" s="1680">
        <f t="shared" si="165"/>
        <v>6.598984771573603E-2</v>
      </c>
      <c r="Q70" s="1680">
        <f t="shared" si="165"/>
        <v>5.2953117818293153E-3</v>
      </c>
      <c r="R70" s="1626"/>
      <c r="S70" s="1624"/>
      <c r="T70" s="1625"/>
      <c r="U70" s="1625"/>
      <c r="V70" s="1625"/>
      <c r="AC70" s="1681"/>
      <c r="AD70" s="1681"/>
      <c r="AE70" s="1681"/>
      <c r="AF70" s="1681"/>
    </row>
    <row r="71" spans="1:32">
      <c r="A71" s="1619" t="s">
        <v>1675</v>
      </c>
      <c r="B71" s="1620">
        <f t="shared" si="166"/>
        <v>122.57204301075269</v>
      </c>
      <c r="C71" s="1620">
        <f t="shared" si="166"/>
        <v>123.4932735426009</v>
      </c>
      <c r="D71" s="1620">
        <f t="shared" si="138"/>
        <v>123.4932735426009</v>
      </c>
      <c r="E71" s="1620">
        <f t="shared" si="167"/>
        <v>129.82233502538071</v>
      </c>
      <c r="F71" s="1620">
        <f t="shared" si="167"/>
        <v>107.39446721311475</v>
      </c>
      <c r="G71" s="1889">
        <v>2005</v>
      </c>
      <c r="H71" s="1622">
        <v>1</v>
      </c>
      <c r="I71" s="1622">
        <v>0.43</v>
      </c>
      <c r="J71" s="1622">
        <v>0.37</v>
      </c>
      <c r="K71" s="1622">
        <v>0.37</v>
      </c>
      <c r="L71" s="1641">
        <v>0.55000000000000004</v>
      </c>
      <c r="N71" s="1682">
        <f t="shared" si="164"/>
        <v>1.2992090997956099E-2</v>
      </c>
      <c r="O71" s="1683">
        <f t="shared" si="164"/>
        <v>1.2239947070499151E-2</v>
      </c>
      <c r="P71" s="1683">
        <f t="shared" si="165"/>
        <v>4.6954314720812178E-2</v>
      </c>
      <c r="Q71" s="1683">
        <f t="shared" si="165"/>
        <v>3.6866094683621815E-3</v>
      </c>
      <c r="R71" s="1626"/>
      <c r="S71" s="1627">
        <f>B71/B72-1</f>
        <v>1.2992090997956174E-2</v>
      </c>
      <c r="T71" s="1628">
        <f>C71/C72-1</f>
        <v>1.2239947070499246E-2</v>
      </c>
      <c r="U71" s="1628">
        <f>E71/E72-1</f>
        <v>4.695431472081224E-2</v>
      </c>
      <c r="V71" s="1628">
        <f>F71/F72-1</f>
        <v>3.6866094683620787E-3</v>
      </c>
      <c r="AC71" s="1681"/>
      <c r="AD71" s="1681"/>
      <c r="AE71" s="1681"/>
      <c r="AF71" s="1681"/>
    </row>
    <row r="72" spans="1:32" ht="13.5" thickBot="1">
      <c r="A72" s="1619" t="s">
        <v>1676</v>
      </c>
      <c r="B72" s="1667">
        <v>121</v>
      </c>
      <c r="C72" s="1667">
        <v>122</v>
      </c>
      <c r="D72" s="1667">
        <f t="shared" si="138"/>
        <v>122</v>
      </c>
      <c r="E72" s="1667">
        <v>124</v>
      </c>
      <c r="F72" s="1668">
        <v>107</v>
      </c>
      <c r="G72" s="1887">
        <v>2004</v>
      </c>
      <c r="H72" s="1643">
        <v>4</v>
      </c>
      <c r="I72" s="1643">
        <v>0.33</v>
      </c>
      <c r="J72" s="1643">
        <v>0.5</v>
      </c>
      <c r="K72" s="1643">
        <v>0.5</v>
      </c>
      <c r="L72" s="1644">
        <v>0</v>
      </c>
      <c r="N72" s="1679">
        <f t="shared" ref="N72:O75" si="168">I72/SUM(I$72:I$75)*(B$72/B$76-1)</f>
        <v>1.3391770148526898E-2</v>
      </c>
      <c r="O72" s="1680">
        <f t="shared" si="168"/>
        <v>1.063264221158958E-2</v>
      </c>
      <c r="P72" s="1680">
        <f t="shared" ref="P72:Q75" si="169">K72/SUM(K$72:K$75)*(E$72/E$76-1)</f>
        <v>2.2244466688911134E-2</v>
      </c>
      <c r="Q72" s="1680">
        <f t="shared" si="169"/>
        <v>0</v>
      </c>
      <c r="R72" s="1626"/>
      <c r="S72" s="1634"/>
      <c r="T72" s="1629"/>
      <c r="U72" s="1629"/>
      <c r="V72" s="1629"/>
      <c r="AC72" s="1681"/>
      <c r="AD72" s="1681"/>
      <c r="AE72" s="1681"/>
      <c r="AF72" s="1681"/>
    </row>
    <row r="73" spans="1:32">
      <c r="A73" s="1619" t="s">
        <v>1677</v>
      </c>
      <c r="B73" s="1620">
        <f t="shared" ref="B73:C75" si="170">B74+(B$72-B$76)*I73/SUM(I$72:I$75)</f>
        <v>119.51351351351352</v>
      </c>
      <c r="C73" s="1620">
        <f t="shared" si="170"/>
        <v>120.7878787878788</v>
      </c>
      <c r="D73" s="1620">
        <f t="shared" si="138"/>
        <v>120.7878787878788</v>
      </c>
      <c r="E73" s="1620">
        <f t="shared" ref="E73:F75" si="171">E74+(E$72-E$76)*K73/SUM(K$72:K$75)</f>
        <v>121.5975975975976</v>
      </c>
      <c r="F73" s="1620">
        <f t="shared" si="171"/>
        <v>107</v>
      </c>
      <c r="G73" s="1888">
        <v>2004</v>
      </c>
      <c r="H73" s="1648">
        <v>3</v>
      </c>
      <c r="I73" s="1648">
        <v>0.56000000000000005</v>
      </c>
      <c r="J73" s="1648">
        <v>0.8</v>
      </c>
      <c r="K73" s="1648">
        <v>0.83</v>
      </c>
      <c r="L73" s="1649">
        <v>0.06</v>
      </c>
      <c r="N73" s="1679">
        <f t="shared" si="168"/>
        <v>2.2725428130833527E-2</v>
      </c>
      <c r="O73" s="1680">
        <f t="shared" si="168"/>
        <v>1.7012227538543329E-2</v>
      </c>
      <c r="P73" s="1680">
        <f t="shared" si="169"/>
        <v>3.6925814703592477E-2</v>
      </c>
      <c r="Q73" s="1680">
        <f t="shared" si="169"/>
        <v>2.8846153846153744E-2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1678</v>
      </c>
      <c r="B74" s="1620">
        <f t="shared" si="170"/>
        <v>116.99099099099099</v>
      </c>
      <c r="C74" s="1620">
        <f t="shared" si="170"/>
        <v>118.84848484848486</v>
      </c>
      <c r="D74" s="1620">
        <f t="shared" si="138"/>
        <v>118.84848484848486</v>
      </c>
      <c r="E74" s="1620">
        <f t="shared" si="171"/>
        <v>117.60960960960961</v>
      </c>
      <c r="F74" s="1620">
        <f t="shared" si="171"/>
        <v>104</v>
      </c>
      <c r="G74" s="1888">
        <v>2004</v>
      </c>
      <c r="H74" s="1635">
        <v>2</v>
      </c>
      <c r="I74" s="1635">
        <v>1</v>
      </c>
      <c r="J74" s="1635">
        <v>1.5</v>
      </c>
      <c r="K74" s="1635">
        <v>1.5</v>
      </c>
      <c r="L74" s="1642">
        <v>0</v>
      </c>
      <c r="N74" s="1679">
        <f t="shared" si="168"/>
        <v>4.0581121662202721E-2</v>
      </c>
      <c r="O74" s="1680">
        <f t="shared" si="168"/>
        <v>3.1897926634768738E-2</v>
      </c>
      <c r="P74" s="1680">
        <f t="shared" si="169"/>
        <v>6.6733400066733395E-2</v>
      </c>
      <c r="Q74" s="1680">
        <f t="shared" si="169"/>
        <v>0</v>
      </c>
      <c r="R74" s="1626"/>
      <c r="S74" s="1624"/>
      <c r="T74" s="1625"/>
      <c r="U74" s="1625"/>
      <c r="V74" s="1625"/>
      <c r="AC74" s="1681"/>
      <c r="AD74" s="1681"/>
      <c r="AE74" s="1681"/>
      <c r="AF74" s="1681"/>
    </row>
    <row r="75" spans="1:32" s="1673" customFormat="1" ht="13.5" thickBot="1">
      <c r="A75" s="1619" t="s">
        <v>1679</v>
      </c>
      <c r="B75" s="1670">
        <f t="shared" si="170"/>
        <v>112.48648648648648</v>
      </c>
      <c r="C75" s="1670">
        <f t="shared" si="170"/>
        <v>115.21212121212122</v>
      </c>
      <c r="D75" s="1670">
        <f t="shared" si="138"/>
        <v>115.21212121212122</v>
      </c>
      <c r="E75" s="1670">
        <f t="shared" si="171"/>
        <v>110.4024024024024</v>
      </c>
      <c r="F75" s="1670">
        <f t="shared" si="171"/>
        <v>104</v>
      </c>
      <c r="G75" s="1889">
        <v>2004</v>
      </c>
      <c r="H75" s="1671">
        <v>1</v>
      </c>
      <c r="I75" s="1671">
        <v>0.33</v>
      </c>
      <c r="J75" s="1671">
        <v>0.5</v>
      </c>
      <c r="K75" s="1671">
        <v>0.5</v>
      </c>
      <c r="L75" s="1672">
        <v>0</v>
      </c>
      <c r="N75" s="1684">
        <f t="shared" si="168"/>
        <v>1.3391770148526898E-2</v>
      </c>
      <c r="O75" s="1685">
        <f t="shared" si="168"/>
        <v>1.063264221158958E-2</v>
      </c>
      <c r="P75" s="1685">
        <f t="shared" si="169"/>
        <v>2.2244466688911134E-2</v>
      </c>
      <c r="Q75" s="1685">
        <f t="shared" si="169"/>
        <v>0</v>
      </c>
      <c r="R75" s="1676"/>
      <c r="S75" s="1674">
        <f>B75/B76-1</f>
        <v>1.3391770148526883E-2</v>
      </c>
      <c r="T75" s="1675">
        <f>C75/C76-1</f>
        <v>1.063264221158966E-2</v>
      </c>
      <c r="U75" s="1675">
        <f>E75/E76-1</f>
        <v>2.2244466688911224E-2</v>
      </c>
      <c r="V75" s="1675">
        <f>F75/F76-1</f>
        <v>0</v>
      </c>
      <c r="AC75" s="1686"/>
      <c r="AD75" s="1686"/>
      <c r="AE75" s="1686"/>
      <c r="AF75" s="1686"/>
    </row>
    <row r="76" spans="1:32" ht="13.5" thickBot="1">
      <c r="A76" s="1619" t="s">
        <v>1680</v>
      </c>
      <c r="B76" s="1687">
        <v>111</v>
      </c>
      <c r="C76" s="1687">
        <v>114</v>
      </c>
      <c r="D76" s="1687">
        <f t="shared" si="138"/>
        <v>114</v>
      </c>
      <c r="E76" s="1687">
        <v>108</v>
      </c>
      <c r="F76" s="1688">
        <v>104</v>
      </c>
      <c r="G76" s="1887">
        <v>2003</v>
      </c>
      <c r="H76" s="1677">
        <v>4</v>
      </c>
      <c r="I76" s="1689"/>
      <c r="J76" s="1689"/>
      <c r="K76" s="1689"/>
      <c r="L76" s="1689"/>
      <c r="N76" s="1690"/>
      <c r="O76" s="1689"/>
      <c r="P76" s="1689"/>
      <c r="Q76" s="1689"/>
      <c r="S76" s="1690"/>
      <c r="T76" s="1689"/>
      <c r="U76" s="1689"/>
      <c r="V76" s="1689"/>
      <c r="AC76" s="1681"/>
      <c r="AD76" s="1681"/>
      <c r="AE76" s="1681"/>
      <c r="AF76" s="1681"/>
    </row>
    <row r="77" spans="1:32">
      <c r="A77" s="1619" t="s">
        <v>1681</v>
      </c>
      <c r="B77" s="1691">
        <f t="shared" ref="B77:C79" si="172">B78+(B$76-B$80)/4</f>
        <v>109.75</v>
      </c>
      <c r="C77" s="1691">
        <f t="shared" si="172"/>
        <v>112.25</v>
      </c>
      <c r="D77" s="1691">
        <f t="shared" si="138"/>
        <v>112.25</v>
      </c>
      <c r="E77" s="1691">
        <f t="shared" ref="E77:F79" si="173">E78+(E$76-E$80)/4</f>
        <v>107.25</v>
      </c>
      <c r="F77" s="1691">
        <f t="shared" si="173"/>
        <v>103.5</v>
      </c>
      <c r="G77" s="1888">
        <v>2003</v>
      </c>
      <c r="H77" s="1648">
        <v>3</v>
      </c>
      <c r="I77" s="1689"/>
      <c r="J77" s="1689"/>
      <c r="K77" s="1689"/>
      <c r="L77" s="1689"/>
      <c r="AC77" s="1681"/>
      <c r="AD77" s="1681"/>
      <c r="AE77" s="1681"/>
      <c r="AF77" s="1681"/>
    </row>
    <row r="78" spans="1:32">
      <c r="A78" s="1619" t="s">
        <v>1682</v>
      </c>
      <c r="B78" s="1691">
        <f t="shared" si="172"/>
        <v>108.5</v>
      </c>
      <c r="C78" s="1691">
        <f t="shared" si="172"/>
        <v>110.5</v>
      </c>
      <c r="D78" s="1691">
        <f t="shared" si="138"/>
        <v>110.5</v>
      </c>
      <c r="E78" s="1691">
        <f t="shared" si="173"/>
        <v>106.5</v>
      </c>
      <c r="F78" s="1691">
        <f t="shared" si="173"/>
        <v>103</v>
      </c>
      <c r="G78" s="1888">
        <v>2003</v>
      </c>
      <c r="H78" s="1635">
        <v>2</v>
      </c>
      <c r="I78" s="1689"/>
      <c r="J78" s="1689"/>
      <c r="K78" s="1689"/>
      <c r="L78" s="1689"/>
      <c r="AC78" s="1681"/>
      <c r="AD78" s="1681"/>
      <c r="AE78" s="1681"/>
      <c r="AF78" s="1681"/>
    </row>
    <row r="79" spans="1:32" ht="13.5" thickBot="1">
      <c r="A79" s="1619" t="s">
        <v>1683</v>
      </c>
      <c r="B79" s="1691">
        <f t="shared" si="172"/>
        <v>107.25</v>
      </c>
      <c r="C79" s="1691">
        <f t="shared" si="172"/>
        <v>108.75</v>
      </c>
      <c r="D79" s="1691">
        <f t="shared" si="138"/>
        <v>108.75</v>
      </c>
      <c r="E79" s="1691">
        <f t="shared" si="173"/>
        <v>105.75</v>
      </c>
      <c r="F79" s="1691">
        <f t="shared" si="173"/>
        <v>102.5</v>
      </c>
      <c r="G79" s="1889">
        <v>2003</v>
      </c>
      <c r="H79" s="1692">
        <v>1</v>
      </c>
      <c r="I79" s="1689"/>
      <c r="J79" s="1689"/>
      <c r="K79" s="1689"/>
      <c r="L79" s="1689"/>
      <c r="S79" s="1624"/>
      <c r="T79" s="1625"/>
      <c r="U79" s="1625"/>
      <c r="AC79" s="1681"/>
      <c r="AD79" s="1681"/>
      <c r="AE79" s="1681"/>
      <c r="AF79" s="1681"/>
    </row>
    <row r="80" spans="1:32" ht="13.5" thickBot="1">
      <c r="A80" s="1619" t="s">
        <v>1684</v>
      </c>
      <c r="B80" s="1693">
        <v>106</v>
      </c>
      <c r="C80" s="1693">
        <v>107</v>
      </c>
      <c r="D80" s="1693">
        <f t="shared" si="138"/>
        <v>107</v>
      </c>
      <c r="E80" s="1693">
        <v>105</v>
      </c>
      <c r="F80" s="1694">
        <v>102</v>
      </c>
      <c r="G80" s="1887">
        <v>2002</v>
      </c>
      <c r="H80" s="1643">
        <v>4</v>
      </c>
      <c r="I80" s="1689"/>
      <c r="J80" s="1689"/>
      <c r="K80" s="1689"/>
      <c r="L80" s="1689"/>
      <c r="N80" s="1690"/>
      <c r="O80" s="1689"/>
      <c r="P80" s="1689"/>
      <c r="Q80" s="1689"/>
      <c r="S80" s="1690"/>
      <c r="T80" s="1689"/>
      <c r="U80" s="1689"/>
      <c r="V80" s="1689"/>
      <c r="AC80" s="1681"/>
      <c r="AD80" s="1681"/>
      <c r="AE80" s="1681"/>
      <c r="AF80" s="1681"/>
    </row>
    <row r="81" spans="1:32">
      <c r="A81" s="1619" t="s">
        <v>1685</v>
      </c>
      <c r="B81" s="1691">
        <f t="shared" ref="B81:C83" si="174">B82+(B$80-B$84)/4</f>
        <v>105</v>
      </c>
      <c r="C81" s="1691">
        <f t="shared" si="174"/>
        <v>106</v>
      </c>
      <c r="D81" s="1691">
        <f t="shared" si="138"/>
        <v>106</v>
      </c>
      <c r="E81" s="1691">
        <f t="shared" ref="E81:F83" si="175">E82+(E$80-E$84)/4</f>
        <v>104.5</v>
      </c>
      <c r="F81" s="1691">
        <f t="shared" si="175"/>
        <v>101.5</v>
      </c>
      <c r="G81" s="1888">
        <v>2002</v>
      </c>
      <c r="H81" s="1648">
        <v>3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>
      <c r="A82" s="1619" t="s">
        <v>1686</v>
      </c>
      <c r="B82" s="1691">
        <f t="shared" si="174"/>
        <v>104</v>
      </c>
      <c r="C82" s="1691">
        <f t="shared" si="174"/>
        <v>105</v>
      </c>
      <c r="D82" s="1691">
        <f t="shared" si="138"/>
        <v>105</v>
      </c>
      <c r="E82" s="1691">
        <f t="shared" si="175"/>
        <v>104</v>
      </c>
      <c r="F82" s="1691">
        <f t="shared" si="175"/>
        <v>101</v>
      </c>
      <c r="G82" s="1888">
        <v>2002</v>
      </c>
      <c r="H82" s="1635">
        <v>2</v>
      </c>
      <c r="I82" s="1689"/>
      <c r="J82" s="1689"/>
      <c r="K82" s="1689"/>
      <c r="L82" s="1689"/>
      <c r="AC82" s="1681"/>
      <c r="AD82" s="1681"/>
      <c r="AE82" s="1681"/>
      <c r="AF82" s="1681"/>
    </row>
    <row r="83" spans="1:32" s="1659" customFormat="1" ht="13.5" thickBot="1">
      <c r="A83" s="1655" t="s">
        <v>1687</v>
      </c>
      <c r="B83" s="1662">
        <f t="shared" si="174"/>
        <v>103</v>
      </c>
      <c r="C83" s="1662">
        <f t="shared" si="174"/>
        <v>104</v>
      </c>
      <c r="D83" s="1662">
        <f t="shared" si="138"/>
        <v>104</v>
      </c>
      <c r="E83" s="1662">
        <f t="shared" si="175"/>
        <v>103.5</v>
      </c>
      <c r="F83" s="1662">
        <f t="shared" si="175"/>
        <v>100.5</v>
      </c>
      <c r="G83" s="1889">
        <v>2002</v>
      </c>
      <c r="H83" s="1695">
        <v>1</v>
      </c>
      <c r="I83" s="1696"/>
      <c r="J83" s="1696"/>
      <c r="K83" s="1696"/>
      <c r="L83" s="1696"/>
      <c r="N83" s="1697"/>
      <c r="S83" s="1697"/>
      <c r="AC83" s="1698"/>
      <c r="AD83" s="1698"/>
      <c r="AE83" s="1698"/>
      <c r="AF83" s="1698"/>
    </row>
    <row r="84" spans="1:32" ht="13.5" thickBot="1">
      <c r="B84" s="1699">
        <v>102</v>
      </c>
      <c r="C84" s="1700">
        <v>103</v>
      </c>
      <c r="D84" s="1700">
        <f t="shared" si="138"/>
        <v>103</v>
      </c>
      <c r="E84" s="1700">
        <v>103</v>
      </c>
      <c r="F84" s="1701">
        <v>100</v>
      </c>
      <c r="I84" s="1689"/>
      <c r="J84" s="1689"/>
      <c r="K84" s="1689"/>
      <c r="L84" s="1689"/>
      <c r="N84" s="1690"/>
      <c r="O84" s="1689"/>
      <c r="P84" s="1689"/>
      <c r="Q84" s="1689"/>
      <c r="S84" s="1690"/>
      <c r="T84" s="1689"/>
      <c r="U84" s="1689"/>
      <c r="V84" s="1689"/>
      <c r="AC84" s="1629"/>
      <c r="AD84" s="1629"/>
      <c r="AE84" s="1629"/>
      <c r="AF84" s="1629"/>
    </row>
    <row r="86" spans="1:32" s="1703" customFormat="1">
      <c r="A86" s="1702" t="s">
        <v>1694</v>
      </c>
      <c r="G86" s="1704"/>
      <c r="N86" s="1704"/>
      <c r="S86" s="1704"/>
    </row>
    <row r="87" spans="1:32" s="1703" customFormat="1">
      <c r="A87" s="1703" t="s">
        <v>1695</v>
      </c>
      <c r="G87" s="1704"/>
      <c r="N87" s="1704"/>
      <c r="S87" s="1704"/>
    </row>
    <row r="88" spans="1:32" s="1703" customFormat="1">
      <c r="A88" s="1703" t="s">
        <v>1696</v>
      </c>
      <c r="G88" s="1704"/>
      <c r="I88" s="1705"/>
      <c r="J88" s="1705"/>
      <c r="K88" s="1705"/>
      <c r="L88" s="1705"/>
      <c r="N88" s="1706"/>
      <c r="O88" s="1705"/>
      <c r="P88" s="1705"/>
      <c r="Q88" s="1705"/>
      <c r="S88" s="1706"/>
      <c r="T88" s="1705"/>
      <c r="U88" s="1705"/>
      <c r="V88" s="1705"/>
    </row>
    <row r="89" spans="1:32" s="1703" customFormat="1">
      <c r="A89" s="1703" t="s">
        <v>1697</v>
      </c>
      <c r="G89" s="1704"/>
      <c r="N89" s="1704"/>
      <c r="S89" s="1704"/>
    </row>
    <row r="96" spans="1:32" ht="13.5" thickBot="1"/>
    <row r="97" spans="14:29" ht="24">
      <c r="S97" s="1707" t="s">
        <v>1688</v>
      </c>
      <c r="T97" s="1708" t="s">
        <v>1689</v>
      </c>
      <c r="U97" s="1708" t="s">
        <v>1690</v>
      </c>
      <c r="V97" s="1708" t="s">
        <v>1691</v>
      </c>
      <c r="W97" s="1709" t="s">
        <v>1692</v>
      </c>
      <c r="X97" s="1710">
        <v>2006</v>
      </c>
      <c r="Y97" s="1711">
        <v>4</v>
      </c>
      <c r="Z97" s="1711">
        <v>3.79</v>
      </c>
      <c r="AA97" s="1711">
        <v>2.21</v>
      </c>
      <c r="AB97" s="1711">
        <v>5.65</v>
      </c>
      <c r="AC97" s="1712">
        <v>5.41</v>
      </c>
    </row>
    <row r="98" spans="14:29">
      <c r="N98" s="1634"/>
      <c r="O98" s="1629"/>
      <c r="P98" s="1629"/>
      <c r="Q98" s="1629"/>
      <c r="S98" s="1713">
        <v>2006</v>
      </c>
      <c r="T98" s="1714">
        <v>15.1</v>
      </c>
      <c r="U98" s="1714">
        <v>7.43</v>
      </c>
      <c r="V98" s="1714">
        <v>26.26</v>
      </c>
      <c r="W98" s="1715">
        <v>7.6</v>
      </c>
      <c r="X98" s="1716">
        <v>2006</v>
      </c>
      <c r="Y98" s="1717">
        <v>3</v>
      </c>
      <c r="Z98" s="1717">
        <v>0.92</v>
      </c>
      <c r="AA98" s="1717">
        <v>1.08</v>
      </c>
      <c r="AB98" s="1717">
        <v>0.73</v>
      </c>
      <c r="AC98" s="1718">
        <v>1.08</v>
      </c>
    </row>
    <row r="99" spans="14:29">
      <c r="N99" s="1634"/>
      <c r="O99" s="1629"/>
      <c r="P99" s="1629"/>
      <c r="Q99" s="1629"/>
      <c r="S99" s="1719">
        <v>2005</v>
      </c>
      <c r="T99" s="1717">
        <v>13.9</v>
      </c>
      <c r="U99" s="1717">
        <v>7.49</v>
      </c>
      <c r="V99" s="1717">
        <v>24.92</v>
      </c>
      <c r="W99" s="1718">
        <v>6.51</v>
      </c>
      <c r="X99" s="1720">
        <v>2006</v>
      </c>
      <c r="Y99" s="1714">
        <v>2</v>
      </c>
      <c r="Z99" s="1714">
        <v>0.96</v>
      </c>
      <c r="AA99" s="1714">
        <v>0.25</v>
      </c>
      <c r="AB99" s="1714">
        <v>1.9</v>
      </c>
      <c r="AC99" s="1715">
        <v>0.95</v>
      </c>
    </row>
    <row r="100" spans="14:29" ht="13.5" thickBot="1">
      <c r="N100" s="1634"/>
      <c r="O100" s="1629"/>
      <c r="P100" s="1629"/>
      <c r="Q100" s="1629"/>
      <c r="S100" s="1713">
        <v>2004</v>
      </c>
      <c r="T100" s="1714">
        <v>9.48</v>
      </c>
      <c r="U100" s="1714">
        <v>7.2</v>
      </c>
      <c r="V100" s="1714">
        <v>14.68</v>
      </c>
      <c r="W100" s="1715">
        <v>2.2000000000000002</v>
      </c>
      <c r="X100" s="1721">
        <v>2006</v>
      </c>
      <c r="Y100" s="1722">
        <v>1</v>
      </c>
      <c r="Z100" s="1722">
        <v>2.29</v>
      </c>
      <c r="AA100" s="1722">
        <v>3.72</v>
      </c>
      <c r="AB100" s="1722">
        <v>0.75</v>
      </c>
      <c r="AC100" s="1723">
        <v>0.04</v>
      </c>
    </row>
    <row r="101" spans="14:29">
      <c r="N101" s="1634"/>
      <c r="O101" s="1629"/>
      <c r="P101" s="1629"/>
      <c r="Q101" s="1629"/>
      <c r="S101" s="1719">
        <v>2003</v>
      </c>
      <c r="T101" s="1717">
        <v>4.5</v>
      </c>
      <c r="U101" s="1717">
        <v>6.12</v>
      </c>
      <c r="V101" s="1717">
        <v>2.34</v>
      </c>
      <c r="W101" s="1718">
        <v>2.36</v>
      </c>
    </row>
    <row r="102" spans="14:29" ht="13.5" thickBot="1">
      <c r="N102" s="1634"/>
      <c r="O102" s="1629"/>
      <c r="P102" s="1629"/>
      <c r="Q102" s="1629"/>
      <c r="S102" s="1724">
        <v>2002</v>
      </c>
      <c r="T102" s="1725">
        <v>3.59</v>
      </c>
      <c r="U102" s="1725">
        <v>4.54</v>
      </c>
      <c r="V102" s="1725">
        <v>2.5499999999999998</v>
      </c>
      <c r="W102" s="1726">
        <v>1.52</v>
      </c>
    </row>
    <row r="103" spans="14:29">
      <c r="N103" s="1634"/>
      <c r="O103" s="1629"/>
      <c r="P103" s="1629"/>
      <c r="Q103" s="1629"/>
    </row>
    <row r="104" spans="14:29">
      <c r="N104" s="1634"/>
      <c r="O104" s="1629"/>
      <c r="P104" s="1629"/>
      <c r="Q104" s="1629"/>
    </row>
    <row r="105" spans="14:29">
      <c r="N105" s="1634"/>
      <c r="O105" s="1629"/>
      <c r="P105" s="1629"/>
      <c r="Q105" s="1629"/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</sheetData>
  <sheetProtection sheet="1" objects="1" scenarios="1" formatCells="0" formatColumns="0" formatRows="0"/>
  <mergeCells count="20">
    <mergeCell ref="S2:V2"/>
    <mergeCell ref="G48:G51"/>
    <mergeCell ref="G24:G27"/>
    <mergeCell ref="G28:G31"/>
    <mergeCell ref="G32:G35"/>
    <mergeCell ref="G36:G39"/>
    <mergeCell ref="G40:G43"/>
    <mergeCell ref="G44:G47"/>
    <mergeCell ref="G2:L2"/>
    <mergeCell ref="N2:Q2"/>
    <mergeCell ref="G16:G19"/>
    <mergeCell ref="G20:G23"/>
    <mergeCell ref="G76:G79"/>
    <mergeCell ref="G80:G83"/>
    <mergeCell ref="G52:G55"/>
    <mergeCell ref="G56:G59"/>
    <mergeCell ref="G60:G63"/>
    <mergeCell ref="G64:G67"/>
    <mergeCell ref="G68:G71"/>
    <mergeCell ref="G72:G75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9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967</v>
      </c>
      <c r="H1" s="249">
        <f>'2014基准地价'!M18</f>
        <v>10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38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56.25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6.25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7.5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6.25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7.5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7.5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2" customWidth="1"/>
    <col min="2" max="9" width="15.75" style="1732" customWidth="1"/>
    <col min="10" max="16384" width="9" style="1732"/>
  </cols>
  <sheetData>
    <row r="1" spans="1:10" ht="16.5">
      <c r="A1" s="1728" t="s">
        <v>1700</v>
      </c>
      <c r="B1" s="1729">
        <f>SUM(B14:B23)</f>
        <v>119.61</v>
      </c>
      <c r="C1" s="1727"/>
      <c r="D1" s="1727"/>
      <c r="E1" s="1727"/>
      <c r="F1" s="1727"/>
      <c r="G1" s="1730"/>
      <c r="H1" s="1731"/>
      <c r="I1" s="1731"/>
    </row>
    <row r="2" spans="1:10" ht="16.5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6.5">
      <c r="A3" s="1729" t="s">
        <v>1702</v>
      </c>
      <c r="B3" s="1733">
        <f>主表!B3</f>
        <v>0</v>
      </c>
      <c r="C3" s="1727"/>
      <c r="D3" s="1727"/>
      <c r="E3" s="1727"/>
      <c r="F3" s="1727"/>
      <c r="G3" s="1730"/>
      <c r="H3" s="1731"/>
      <c r="I3" s="1731"/>
    </row>
    <row r="4" spans="1:10" ht="33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6.5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6.5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6.5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6.5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6.5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6.5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6.5">
      <c r="A11" s="1728" t="s">
        <v>1731</v>
      </c>
      <c r="B11" s="1728" t="e">
        <f ca="1">结果表!B19</f>
        <v>#DIV/0!</v>
      </c>
      <c r="C11" s="1728" t="e">
        <f ca="1">结果表!B18</f>
        <v>#DIV/0!</v>
      </c>
      <c r="D11" s="1727"/>
      <c r="E11" s="1727"/>
      <c r="F11" s="1730"/>
      <c r="G11" s="1730"/>
      <c r="H11" s="1731"/>
      <c r="I11" s="1731"/>
    </row>
    <row r="12" spans="1:10" ht="16.5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3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6.5">
      <c r="A14" s="1737" t="s">
        <v>1721</v>
      </c>
      <c r="B14" s="1738">
        <f>主表!B7</f>
        <v>119.61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6.5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6.5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6.5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6.5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6.5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6.5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6.5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6.5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6.5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9.5" thickBot="1">
      <c r="A2" s="1767" t="s">
        <v>1351</v>
      </c>
      <c r="B2" s="1767"/>
      <c r="C2" s="1767"/>
      <c r="D2" s="1767"/>
      <c r="E2" s="1767"/>
      <c r="F2" s="1767"/>
      <c r="G2" s="1767"/>
      <c r="H2" s="1742"/>
      <c r="I2" s="1741"/>
      <c r="X2" s="221"/>
      <c r="AG2" s="189"/>
    </row>
    <row r="3" spans="1:33" ht="13.5">
      <c r="A3" s="1768" t="s">
        <v>1352</v>
      </c>
      <c r="B3" s="1769"/>
      <c r="C3" s="1770"/>
      <c r="D3" s="1771" t="s">
        <v>1353</v>
      </c>
      <c r="E3" s="1769"/>
      <c r="F3" s="1769"/>
      <c r="G3" s="1772"/>
      <c r="H3" s="1742"/>
      <c r="I3" s="1741"/>
      <c r="X3" s="221"/>
      <c r="AG3" s="189"/>
    </row>
    <row r="4" spans="1:33" ht="27">
      <c r="A4" s="1292" t="s">
        <v>1354</v>
      </c>
      <c r="B4" s="1293" t="s">
        <v>1355</v>
      </c>
      <c r="C4" s="1294" t="s">
        <v>1356</v>
      </c>
      <c r="D4" s="1773" t="s">
        <v>1354</v>
      </c>
      <c r="E4" s="1774"/>
      <c r="F4" s="1293" t="s">
        <v>1355</v>
      </c>
      <c r="G4" s="1295" t="s">
        <v>1357</v>
      </c>
      <c r="H4" s="1742"/>
      <c r="I4" s="1741"/>
      <c r="X4" s="221"/>
      <c r="AG4" s="189"/>
    </row>
    <row r="5" spans="1:33" ht="13.5">
      <c r="A5" s="1775" t="s">
        <v>1358</v>
      </c>
      <c r="B5" s="1776">
        <f>主表!F5</f>
        <v>2303</v>
      </c>
      <c r="C5" s="1777" t="s">
        <v>1359</v>
      </c>
      <c r="D5" s="1774" t="s">
        <v>1360</v>
      </c>
      <c r="E5" s="1778"/>
      <c r="F5" s="1296">
        <f>SUM(F6:F10)</f>
        <v>0</v>
      </c>
      <c r="G5" s="1297" t="s">
        <v>1633</v>
      </c>
      <c r="H5" s="1742"/>
      <c r="I5" s="1741"/>
      <c r="X5" s="221"/>
      <c r="AG5" s="189"/>
    </row>
    <row r="6" spans="1:33" ht="27">
      <c r="A6" s="1775"/>
      <c r="B6" s="1776"/>
      <c r="C6" s="1777"/>
      <c r="D6" s="1779" t="s">
        <v>1381</v>
      </c>
      <c r="E6" s="1296" t="s">
        <v>1361</v>
      </c>
      <c r="F6" s="1296">
        <f>主表!F14</f>
        <v>0</v>
      </c>
      <c r="G6" s="1297" t="s">
        <v>1362</v>
      </c>
      <c r="H6" s="1742"/>
      <c r="I6" s="1741"/>
      <c r="X6" s="221"/>
      <c r="AG6" s="189"/>
    </row>
    <row r="7" spans="1:33" ht="13.5">
      <c r="A7" s="1775"/>
      <c r="B7" s="1776"/>
      <c r="C7" s="1777"/>
      <c r="D7" s="1779"/>
      <c r="E7" s="1296" t="s">
        <v>1363</v>
      </c>
      <c r="F7" s="1296">
        <f>主表!F15</f>
        <v>0</v>
      </c>
      <c r="G7" s="1297"/>
      <c r="H7" s="1742"/>
      <c r="I7" s="1741"/>
      <c r="X7" s="221"/>
      <c r="AG7" s="189"/>
    </row>
    <row r="8" spans="1:33" ht="13.5">
      <c r="A8" s="1775"/>
      <c r="B8" s="1776"/>
      <c r="C8" s="1777"/>
      <c r="D8" s="1780" t="s">
        <v>1382</v>
      </c>
      <c r="E8" s="1781"/>
      <c r="F8" s="1296">
        <f>主表!F16</f>
        <v>0</v>
      </c>
      <c r="G8" s="1297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3.5">
      <c r="A9" s="1775"/>
      <c r="B9" s="1776"/>
      <c r="C9" s="1777"/>
      <c r="D9" s="1780" t="s">
        <v>1383</v>
      </c>
      <c r="E9" s="1781"/>
      <c r="F9" s="1296">
        <f>主表!F18</f>
        <v>0</v>
      </c>
      <c r="G9" s="1297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3.5">
      <c r="A10" s="1775"/>
      <c r="B10" s="1776"/>
      <c r="C10" s="1777"/>
      <c r="D10" s="1780" t="s">
        <v>1384</v>
      </c>
      <c r="E10" s="1781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3.5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4" t="s">
        <v>1365</v>
      </c>
      <c r="E11" s="1778"/>
      <c r="F11" s="1296">
        <f>主表!F20</f>
        <v>0</v>
      </c>
      <c r="G11" s="1297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0.5">
      <c r="A12" s="1292" t="s">
        <v>1366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前期开发期为年，贷款利率为5.85%，计息期为年，复利计息</v>
      </c>
      <c r="D12" s="1774" t="s">
        <v>1367</v>
      </c>
      <c r="E12" s="1778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7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4" t="s">
        <v>1368</v>
      </c>
      <c r="E13" s="1778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3.5">
      <c r="A14" s="1292" t="s">
        <v>1369</v>
      </c>
      <c r="B14" s="1296">
        <f ca="1">SUM(B5:B13)</f>
        <v>2303</v>
      </c>
      <c r="C14" s="1299" t="s">
        <v>1370</v>
      </c>
      <c r="D14" s="1774" t="s">
        <v>1369</v>
      </c>
      <c r="E14" s="1778"/>
      <c r="F14" s="1296">
        <f ca="1">F5+F11+F12+F13</f>
        <v>0</v>
      </c>
      <c r="G14" s="1297" t="s">
        <v>1370</v>
      </c>
      <c r="H14" s="1742"/>
      <c r="I14" s="1741"/>
      <c r="X14" s="221"/>
      <c r="AG14" s="189"/>
    </row>
    <row r="15" spans="1:33" ht="27.75" thickBot="1">
      <c r="A15" s="1292" t="s">
        <v>1371</v>
      </c>
      <c r="B15" s="1776">
        <f ca="1">主表!F24</f>
        <v>2303</v>
      </c>
      <c r="C15" s="1782"/>
      <c r="D15" s="1780" t="s">
        <v>1372</v>
      </c>
      <c r="E15" s="1781"/>
      <c r="F15" s="1781"/>
      <c r="G15" s="1783"/>
      <c r="H15" s="1742"/>
      <c r="I15" s="1741"/>
      <c r="X15" s="221"/>
      <c r="AG15" s="189"/>
    </row>
    <row r="16" spans="1:33" ht="27.75" thickBot="1">
      <c r="A16" s="1292" t="s">
        <v>1373</v>
      </c>
      <c r="B16" s="1776">
        <f ca="1">主表!F25</f>
        <v>27.546199999999999</v>
      </c>
      <c r="C16" s="1782"/>
      <c r="D16" s="1780" t="s">
        <v>1374</v>
      </c>
      <c r="E16" s="1781"/>
      <c r="F16" s="1781"/>
      <c r="G16" s="1783"/>
      <c r="H16" s="1301" t="str">
        <f ca="1">NUMBERSTRING(INT(B16*10000),2)&amp;"元整"</f>
        <v>贰拾柒万伍仟肆佰陆拾贰元整</v>
      </c>
      <c r="I16" s="1302"/>
      <c r="X16" s="221"/>
      <c r="AG16" s="189"/>
    </row>
    <row r="17" spans="1:33" ht="13.5">
      <c r="A17" s="1292" t="s">
        <v>1375</v>
      </c>
      <c r="B17" s="1789" t="e">
        <f>主表!F33</f>
        <v>#DIV/0!</v>
      </c>
      <c r="C17" s="1782"/>
      <c r="D17" s="1780" t="s">
        <v>1376</v>
      </c>
      <c r="E17" s="1781"/>
      <c r="F17" s="1781"/>
      <c r="G17" s="1783"/>
      <c r="H17" s="1742"/>
      <c r="I17" s="1741"/>
      <c r="X17" s="221"/>
      <c r="AG17" s="189"/>
    </row>
    <row r="18" spans="1:33" ht="27.75" thickBot="1">
      <c r="A18" s="1292" t="s">
        <v>1377</v>
      </c>
      <c r="B18" s="1776" t="e">
        <f ca="1">主表!F35</f>
        <v>#DIV/0!</v>
      </c>
      <c r="C18" s="1782"/>
      <c r="D18" s="1780" t="s">
        <v>1378</v>
      </c>
      <c r="E18" s="1781"/>
      <c r="F18" s="1781"/>
      <c r="G18" s="1783"/>
      <c r="H18" s="1742"/>
      <c r="I18" s="1741"/>
      <c r="X18" s="221"/>
      <c r="AG18" s="189"/>
    </row>
    <row r="19" spans="1:33" ht="27.75" thickBot="1">
      <c r="A19" s="1300" t="s">
        <v>1379</v>
      </c>
      <c r="B19" s="1784" t="e">
        <f ca="1">主表!F36</f>
        <v>#DIV/0!</v>
      </c>
      <c r="C19" s="1785"/>
      <c r="D19" s="1786" t="s">
        <v>1380</v>
      </c>
      <c r="E19" s="1787"/>
      <c r="F19" s="1787"/>
      <c r="G19" s="1788"/>
      <c r="H19" s="1301" t="e">
        <f ca="1">NUMBERSTRING(INT(B19*10000),2)&amp;"元整"</f>
        <v>#DIV/0!</v>
      </c>
      <c r="I19" s="1302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1" t="s">
        <v>1282</v>
      </c>
      <c r="B2" s="1163"/>
      <c r="C2" s="1164"/>
      <c r="D2" s="1795" t="s">
        <v>1273</v>
      </c>
      <c r="E2" s="1796"/>
      <c r="F2" s="1796"/>
      <c r="G2" s="1796"/>
      <c r="H2" s="1797"/>
      <c r="I2" s="1165"/>
      <c r="J2" s="1165"/>
      <c r="K2" s="1212"/>
      <c r="L2" s="1212"/>
      <c r="N2" s="501" t="s">
        <v>1151</v>
      </c>
      <c r="O2" s="484">
        <f>SUMPRODUCT((N6:N12=B20)*(O5:Q5=B21)*(O6:Q12))</f>
        <v>0</v>
      </c>
    </row>
    <row r="3" spans="1:18" ht="15.75" customHeight="1">
      <c r="A3" s="1179" t="s">
        <v>1773</v>
      </c>
      <c r="B3" s="1564"/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0</v>
      </c>
    </row>
    <row r="4" spans="1:18" ht="15.75" customHeight="1">
      <c r="A4" s="1191" t="s">
        <v>1774</v>
      </c>
      <c r="B4" s="1564">
        <v>40691</v>
      </c>
      <c r="C4" s="1164"/>
      <c r="D4" s="1171" t="s">
        <v>1274</v>
      </c>
      <c r="E4" s="1172" t="s">
        <v>1567</v>
      </c>
      <c r="F4" s="1173">
        <f ca="1">F5+F8+F9+F10</f>
        <v>2303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5"/>
      <c r="B5" s="1163"/>
      <c r="C5" s="1164"/>
      <c r="D5" s="1178">
        <v>1</v>
      </c>
      <c r="E5" s="1179" t="s">
        <v>1568</v>
      </c>
      <c r="F5" s="1021">
        <f>IF(B4&lt;DATE(2002,12,10),F6,F6-F7)</f>
        <v>2303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6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3714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6">
        <v>119.61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1411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7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6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0</v>
      </c>
      <c r="G9" s="1194">
        <f ca="1">存贷款利率!G2</f>
        <v>5.8499999999999996E-2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8" t="s">
        <v>250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69" t="s">
        <v>331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0" t="s">
        <v>1787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1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2">
        <v>67475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3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6"/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4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5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6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7"/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8"/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79"/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0"/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0"/>
      <c r="C24" s="1212"/>
      <c r="D24" s="1178">
        <v>1</v>
      </c>
      <c r="E24" s="1179" t="s">
        <v>1243</v>
      </c>
      <c r="F24" s="1021">
        <f ca="1">F4+F11</f>
        <v>2303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27.546199999999999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798" t="s">
        <v>1275</v>
      </c>
      <c r="E26" s="1799"/>
      <c r="F26" s="1799"/>
      <c r="G26" s="1799"/>
      <c r="H26" s="1800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 t="e">
        <f>ROUND(IF(AND(B12&lt;&gt;"住宅/居住",B13&lt;O2),1-(1-O4)*O3/B13,1-(1-O4)*O3/O2),2)</f>
        <v>#DIV/0!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</v>
      </c>
      <c r="H30" s="1229"/>
      <c r="I30" s="1790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</v>
      </c>
      <c r="H31" s="1229"/>
      <c r="I31" s="1790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</v>
      </c>
      <c r="H32" s="1229"/>
      <c r="I32" s="1790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 t="e">
        <f>ROUND(F28*G28+F29*G29,2)</f>
        <v>#DIV/0!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798" t="s">
        <v>1278</v>
      </c>
      <c r="E34" s="1799"/>
      <c r="F34" s="1799"/>
      <c r="G34" s="1799"/>
      <c r="H34" s="1800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 t="e">
        <f ca="1">ROUND(F24*F33,0)</f>
        <v>#DIV/0!</v>
      </c>
      <c r="G35" s="1791" t="s">
        <v>1255</v>
      </c>
      <c r="H35" s="1792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 t="e">
        <f ca="1">ROUND(F25*F33,4)</f>
        <v>#DIV/0!</v>
      </c>
      <c r="G36" s="1793" t="s">
        <v>1257</v>
      </c>
      <c r="H36" s="1794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70" sqref="G7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1466</v>
      </c>
      <c r="B1" s="809"/>
      <c r="C1" s="707" t="s">
        <v>1176</v>
      </c>
      <c r="D1" s="509">
        <f>主表!B7</f>
        <v>119.61</v>
      </c>
      <c r="E1" s="706" t="s">
        <v>1553</v>
      </c>
      <c r="F1" s="1311" t="s">
        <v>1788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四级</v>
      </c>
      <c r="H2" s="811" t="s">
        <v>910</v>
      </c>
      <c r="I2" s="665" t="str">
        <f>主表!B11</f>
        <v>Ⅲ—03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1789</v>
      </c>
      <c r="F3" s="1459" t="s">
        <v>1790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20290</v>
      </c>
      <c r="N3" s="438">
        <f>SUMPRODUCT(('2014因素修正幅度'!B29:B48=I2)*('2014因素修正幅度'!C3:F3=E2)*('2014因素修正幅度'!C29:F48))</f>
        <v>8.8999999999999996E-2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1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3"/>
      <c r="B14" s="846"/>
      <c r="C14" s="847" t="s">
        <v>25</v>
      </c>
      <c r="D14" s="795" t="s">
        <v>25</v>
      </c>
      <c r="E14" s="795" t="s">
        <v>25</v>
      </c>
      <c r="F14" s="848" t="s">
        <v>1792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04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0" t="s">
        <v>926</v>
      </c>
      <c r="E16" s="1811"/>
      <c r="F16" s="1810" t="s">
        <v>924</v>
      </c>
      <c r="G16" s="181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05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1791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10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ROUND(SUMIF(地价!B3:F3,E2,地价!B35:F35),0)</f>
        <v>423</v>
      </c>
      <c r="G19" s="1466" t="s">
        <v>261</v>
      </c>
      <c r="H19" s="1308">
        <f>主表!B4</f>
        <v>40691</v>
      </c>
      <c r="I19" s="1507">
        <f>ROUND(SUMPRODUCT((地价!A12:A35=YEAR(H19)&amp;"-"&amp;ROUNDUP(MONTH(H19)/3,0))*(地价!B3:F3=E2)*(地价!B12:F35)),0)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6.4000000000000001E-2</v>
      </c>
      <c r="F20" s="1465" t="s">
        <v>934</v>
      </c>
      <c r="G20" s="1469">
        <f ca="1">SUMIF(P18:S18,E2,P20:S20)</f>
        <v>7.3999999999999996E-2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0.08</v>
      </c>
      <c r="Q20" s="608">
        <f ca="1">ROUND($E$20*(1+Q19),3)</f>
        <v>7.6999999999999999E-2</v>
      </c>
      <c r="R20" s="608">
        <f ca="1">ROUND($E$20*(1+R19),3)</f>
        <v>7.3999999999999996E-2</v>
      </c>
      <c r="S20" s="935">
        <f ca="1">ROUND($E$20*(1+S19),3)</f>
        <v>7.0000000000000007E-2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938</v>
      </c>
      <c r="B24" s="876" t="s">
        <v>939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957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7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8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8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9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7.3999999999999996E-2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1301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>
        <f>H70</f>
        <v>0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>
        <f t="shared" ref="G71:G78" si="19">H71</f>
        <v>0</v>
      </c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>
        <f t="shared" si="19"/>
        <v>0</v>
      </c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904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>
        <f t="shared" si="19"/>
        <v>0</v>
      </c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>
        <f t="shared" si="19"/>
        <v>0</v>
      </c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>
        <f t="shared" si="19"/>
        <v>0</v>
      </c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898</v>
      </c>
      <c r="B76" s="1536" t="s">
        <v>1735</v>
      </c>
      <c r="C76" s="795"/>
      <c r="D76" s="490">
        <f t="shared" si="14"/>
        <v>0</v>
      </c>
      <c r="E76" s="263"/>
      <c r="F76" s="938"/>
      <c r="G76" s="491">
        <f t="shared" si="19"/>
        <v>0</v>
      </c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>
        <f t="shared" si="19"/>
        <v>0</v>
      </c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905</v>
      </c>
      <c r="B78" s="489"/>
      <c r="C78" s="795"/>
      <c r="D78" s="490">
        <f t="shared" si="14"/>
        <v>0</v>
      </c>
      <c r="E78" s="264"/>
      <c r="F78" s="938"/>
      <c r="G78" s="491">
        <f t="shared" si="19"/>
        <v>0</v>
      </c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20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1">IFERROR($F$81*I81/2,"——")</f>
        <v>——</v>
      </c>
      <c r="I81" s="252">
        <v>0.26</v>
      </c>
      <c r="J81" s="492">
        <f t="shared" ref="J81:J88" si="22">K81+$G81</f>
        <v>0</v>
      </c>
      <c r="K81" s="492">
        <f t="shared" ref="K81:K88" si="23">$L81+$G81</f>
        <v>0</v>
      </c>
      <c r="L81" s="492">
        <v>0</v>
      </c>
      <c r="M81" s="492">
        <f t="shared" ref="M81:N88" si="24">L81-$G81</f>
        <v>0</v>
      </c>
      <c r="N81" s="492">
        <f t="shared" si="24"/>
        <v>0</v>
      </c>
      <c r="Z81" s="709"/>
      <c r="AA81" s="710"/>
      <c r="AG81" s="711"/>
      <c r="AK81" s="710"/>
    </row>
    <row r="82" spans="1:37" ht="48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20"/>
        <v>0</v>
      </c>
      <c r="E82" s="263"/>
      <c r="F82" s="938"/>
      <c r="G82" s="491"/>
      <c r="H82" s="494" t="str">
        <f t="shared" si="21"/>
        <v>——</v>
      </c>
      <c r="I82" s="252">
        <v>0.33</v>
      </c>
      <c r="J82" s="492">
        <f t="shared" si="22"/>
        <v>0</v>
      </c>
      <c r="K82" s="492">
        <f t="shared" si="23"/>
        <v>0</v>
      </c>
      <c r="L82" s="492">
        <v>0</v>
      </c>
      <c r="M82" s="492">
        <f t="shared" si="24"/>
        <v>0</v>
      </c>
      <c r="N82" s="492">
        <f t="shared" si="24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20"/>
        <v>0</v>
      </c>
      <c r="E83" s="263"/>
      <c r="F83" s="938"/>
      <c r="G83" s="491"/>
      <c r="H83" s="494" t="str">
        <f t="shared" si="21"/>
        <v>——</v>
      </c>
      <c r="I83" s="252">
        <v>0.05</v>
      </c>
      <c r="J83" s="492">
        <f t="shared" si="22"/>
        <v>0</v>
      </c>
      <c r="K83" s="492">
        <f t="shared" si="23"/>
        <v>0</v>
      </c>
      <c r="L83" s="492">
        <v>0</v>
      </c>
      <c r="M83" s="492">
        <f t="shared" si="24"/>
        <v>0</v>
      </c>
      <c r="N83" s="492">
        <f t="shared" si="24"/>
        <v>0</v>
      </c>
      <c r="Z83" s="709"/>
      <c r="AA83" s="710"/>
      <c r="AG83" s="711"/>
      <c r="AK83" s="710"/>
    </row>
    <row r="84" spans="1:37" ht="14.25">
      <c r="A84" s="247" t="s">
        <v>904</v>
      </c>
      <c r="B84" s="254">
        <f>估价对象房地状况!G10</f>
        <v>0</v>
      </c>
      <c r="C84" s="795"/>
      <c r="D84" s="490">
        <f t="shared" si="20"/>
        <v>0</v>
      </c>
      <c r="E84" s="263"/>
      <c r="F84" s="938"/>
      <c r="G84" s="491"/>
      <c r="H84" s="494" t="str">
        <f t="shared" si="21"/>
        <v>——</v>
      </c>
      <c r="I84" s="252">
        <v>0.04</v>
      </c>
      <c r="J84" s="492">
        <f t="shared" si="22"/>
        <v>0</v>
      </c>
      <c r="K84" s="492">
        <f t="shared" si="23"/>
        <v>0</v>
      </c>
      <c r="L84" s="492">
        <v>0</v>
      </c>
      <c r="M84" s="492">
        <f t="shared" si="24"/>
        <v>0</v>
      </c>
      <c r="N84" s="492">
        <f t="shared" si="24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20"/>
        <v>0</v>
      </c>
      <c r="E85" s="263"/>
      <c r="F85" s="938"/>
      <c r="G85" s="491"/>
      <c r="H85" s="494" t="str">
        <f t="shared" si="21"/>
        <v>——</v>
      </c>
      <c r="I85" s="252">
        <v>0.06</v>
      </c>
      <c r="J85" s="492">
        <f t="shared" si="22"/>
        <v>0</v>
      </c>
      <c r="K85" s="492">
        <f t="shared" si="23"/>
        <v>0</v>
      </c>
      <c r="L85" s="492">
        <v>0</v>
      </c>
      <c r="M85" s="492">
        <f t="shared" si="24"/>
        <v>0</v>
      </c>
      <c r="N85" s="492">
        <f t="shared" si="24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20"/>
        <v>0</v>
      </c>
      <c r="E86" s="263"/>
      <c r="F86" s="938"/>
      <c r="G86" s="491"/>
      <c r="H86" s="494" t="str">
        <f t="shared" si="21"/>
        <v>——</v>
      </c>
      <c r="I86" s="252">
        <v>0.15</v>
      </c>
      <c r="J86" s="492">
        <f t="shared" si="22"/>
        <v>0</v>
      </c>
      <c r="K86" s="492">
        <f t="shared" si="23"/>
        <v>0</v>
      </c>
      <c r="L86" s="492">
        <v>0</v>
      </c>
      <c r="M86" s="492">
        <f t="shared" si="24"/>
        <v>0</v>
      </c>
      <c r="N86" s="492">
        <f t="shared" si="24"/>
        <v>0</v>
      </c>
      <c r="Z86" s="709"/>
      <c r="AA86" s="710"/>
      <c r="AG86" s="711"/>
      <c r="AK86" s="710"/>
    </row>
    <row r="87" spans="1:37" ht="24">
      <c r="A87" s="247" t="s">
        <v>898</v>
      </c>
      <c r="B87" s="1536" t="s">
        <v>1735</v>
      </c>
      <c r="C87" s="795"/>
      <c r="D87" s="490">
        <f t="shared" si="20"/>
        <v>0</v>
      </c>
      <c r="E87" s="263"/>
      <c r="F87" s="938"/>
      <c r="G87" s="491"/>
      <c r="H87" s="494" t="str">
        <f t="shared" si="21"/>
        <v>——</v>
      </c>
      <c r="I87" s="252">
        <v>0.05</v>
      </c>
      <c r="J87" s="492">
        <f t="shared" si="22"/>
        <v>0</v>
      </c>
      <c r="K87" s="492">
        <f t="shared" si="23"/>
        <v>0</v>
      </c>
      <c r="L87" s="492">
        <v>0</v>
      </c>
      <c r="M87" s="492">
        <f t="shared" si="24"/>
        <v>0</v>
      </c>
      <c r="N87" s="492">
        <f t="shared" si="24"/>
        <v>0</v>
      </c>
      <c r="Z87" s="709"/>
      <c r="AA87" s="710"/>
      <c r="AG87" s="711"/>
      <c r="AK87" s="710"/>
    </row>
    <row r="88" spans="1:37" ht="36.75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20"/>
        <v>0</v>
      </c>
      <c r="E88" s="264"/>
      <c r="F88" s="938"/>
      <c r="G88" s="491"/>
      <c r="H88" s="494" t="str">
        <f t="shared" si="21"/>
        <v>——</v>
      </c>
      <c r="I88" s="260">
        <v>0.06</v>
      </c>
      <c r="J88" s="492">
        <f t="shared" si="22"/>
        <v>0</v>
      </c>
      <c r="K88" s="492">
        <f t="shared" si="23"/>
        <v>0</v>
      </c>
      <c r="L88" s="492">
        <v>0</v>
      </c>
      <c r="M88" s="492">
        <f t="shared" si="24"/>
        <v>0</v>
      </c>
      <c r="N88" s="492">
        <f t="shared" si="24"/>
        <v>0</v>
      </c>
      <c r="Z88" s="709"/>
      <c r="AA88" s="710"/>
      <c r="AG88" s="711"/>
      <c r="AK88" s="710"/>
    </row>
    <row r="91" spans="1:37">
      <c r="A91" s="1806" t="s">
        <v>1157</v>
      </c>
      <c r="B91" s="1806"/>
      <c r="C91" s="1806"/>
      <c r="D91" s="1806"/>
      <c r="E91" s="1806"/>
      <c r="F91" s="1806"/>
      <c r="G91" s="1806"/>
      <c r="H91" s="1806"/>
      <c r="I91" s="1806"/>
      <c r="J91" s="1806"/>
      <c r="K91" s="653"/>
      <c r="L91" s="653"/>
      <c r="M91" s="653"/>
      <c r="N91" s="653"/>
    </row>
    <row r="92" spans="1:37">
      <c r="A92" s="1814" t="s">
        <v>1158</v>
      </c>
      <c r="B92" s="1814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4"/>
      <c r="B93" s="1814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2.75">
      <c r="A94" s="1815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16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16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16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16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16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16"/>
      <c r="B100" s="939" t="s">
        <v>1480</v>
      </c>
      <c r="C100" s="941">
        <f>$I$3</f>
        <v>1</v>
      </c>
      <c r="D100" s="941">
        <f t="shared" ref="D100:M100" si="25">$I$3</f>
        <v>1</v>
      </c>
      <c r="E100" s="941">
        <f t="shared" si="25"/>
        <v>1</v>
      </c>
      <c r="F100" s="941">
        <f t="shared" si="25"/>
        <v>1</v>
      </c>
      <c r="G100" s="941">
        <f t="shared" si="25"/>
        <v>1</v>
      </c>
      <c r="H100" s="941">
        <f t="shared" si="25"/>
        <v>1</v>
      </c>
      <c r="I100" s="941">
        <f t="shared" si="25"/>
        <v>1</v>
      </c>
      <c r="J100" s="941">
        <f t="shared" si="25"/>
        <v>1</v>
      </c>
      <c r="K100" s="941">
        <f t="shared" si="25"/>
        <v>1</v>
      </c>
      <c r="L100" s="941">
        <f t="shared" si="25"/>
        <v>1</v>
      </c>
      <c r="M100" s="941">
        <f t="shared" si="25"/>
        <v>1</v>
      </c>
      <c r="N100" s="941">
        <f>$I$3</f>
        <v>1</v>
      </c>
    </row>
    <row r="101" spans="1:14" ht="12.75">
      <c r="A101" s="1817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15" t="s">
        <v>1478</v>
      </c>
      <c r="B102" s="943" t="s">
        <v>1481</v>
      </c>
      <c r="C102" s="944">
        <f>$G$3</f>
        <v>2</v>
      </c>
      <c r="D102" s="944">
        <f t="shared" ref="D102:N102" si="26">$G$3</f>
        <v>2</v>
      </c>
      <c r="E102" s="944">
        <f t="shared" si="26"/>
        <v>2</v>
      </c>
      <c r="F102" s="944">
        <f t="shared" si="26"/>
        <v>2</v>
      </c>
      <c r="G102" s="944">
        <f t="shared" si="26"/>
        <v>2</v>
      </c>
      <c r="H102" s="944">
        <f t="shared" si="26"/>
        <v>2</v>
      </c>
      <c r="I102" s="944">
        <f t="shared" si="26"/>
        <v>2</v>
      </c>
      <c r="J102" s="944">
        <f t="shared" si="26"/>
        <v>2</v>
      </c>
      <c r="K102" s="944">
        <f t="shared" si="26"/>
        <v>2</v>
      </c>
      <c r="L102" s="944">
        <f t="shared" si="26"/>
        <v>2</v>
      </c>
      <c r="M102" s="944">
        <f t="shared" si="26"/>
        <v>2</v>
      </c>
      <c r="N102" s="944">
        <f t="shared" si="26"/>
        <v>2</v>
      </c>
    </row>
    <row r="103" spans="1:14" ht="12.75">
      <c r="A103" s="1816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2.75">
      <c r="A104" s="1816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2.75">
      <c r="A105" s="1816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2.75">
      <c r="A106" s="1816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2.75">
      <c r="A107" s="1816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2.75">
      <c r="A108" s="1816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2.75">
      <c r="A109" s="1816"/>
      <c r="B109" s="1818" t="s">
        <v>1482</v>
      </c>
      <c r="C109" s="941">
        <f>C100</f>
        <v>1</v>
      </c>
      <c r="D109" s="941">
        <f t="shared" ref="D109:N109" si="27">D100</f>
        <v>1</v>
      </c>
      <c r="E109" s="941">
        <f t="shared" si="27"/>
        <v>1</v>
      </c>
      <c r="F109" s="941">
        <f t="shared" si="27"/>
        <v>1</v>
      </c>
      <c r="G109" s="941">
        <f t="shared" si="27"/>
        <v>1</v>
      </c>
      <c r="H109" s="941">
        <f t="shared" si="27"/>
        <v>1</v>
      </c>
      <c r="I109" s="941">
        <f t="shared" si="27"/>
        <v>1</v>
      </c>
      <c r="J109" s="941">
        <f t="shared" si="27"/>
        <v>1</v>
      </c>
      <c r="K109" s="941">
        <f t="shared" si="27"/>
        <v>1</v>
      </c>
      <c r="L109" s="941">
        <f t="shared" si="27"/>
        <v>1</v>
      </c>
      <c r="M109" s="941">
        <f t="shared" si="27"/>
        <v>1</v>
      </c>
      <c r="N109" s="941">
        <f t="shared" si="27"/>
        <v>1</v>
      </c>
    </row>
    <row r="110" spans="1:14" ht="12.75">
      <c r="A110" s="1817"/>
      <c r="B110" s="1819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3" t="s">
        <v>1173</v>
      </c>
      <c r="B111" s="1813"/>
      <c r="C111" s="1813"/>
      <c r="D111" s="1813"/>
      <c r="E111" s="1813"/>
      <c r="F111" s="1813"/>
      <c r="G111" s="1813"/>
      <c r="H111" s="1813"/>
      <c r="I111" s="1813"/>
      <c r="J111" s="1813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2.75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8">I116</f>
        <v>0.65800000000000003</v>
      </c>
      <c r="K116" s="355">
        <f t="shared" si="28"/>
        <v>0.65800000000000003</v>
      </c>
      <c r="L116" s="355">
        <f t="shared" si="28"/>
        <v>0.65800000000000003</v>
      </c>
      <c r="M116" s="356">
        <f t="shared" si="28"/>
        <v>0.65800000000000003</v>
      </c>
    </row>
    <row r="117" spans="1:13" ht="12.75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9">D117</f>
        <v>0.83069999999999999</v>
      </c>
      <c r="F117" s="355">
        <f t="shared" si="29"/>
        <v>0.83069999999999999</v>
      </c>
      <c r="G117" s="355">
        <f t="shared" si="29"/>
        <v>0.83069999999999999</v>
      </c>
      <c r="H117" s="355">
        <f t="shared" si="29"/>
        <v>0.83069999999999999</v>
      </c>
      <c r="I117" s="355">
        <f>ROUND(0.7694-0.014*B114,4)</f>
        <v>0.74139999999999995</v>
      </c>
      <c r="J117" s="355">
        <f t="shared" si="28"/>
        <v>0.74139999999999995</v>
      </c>
      <c r="K117" s="355">
        <f t="shared" si="28"/>
        <v>0.74139999999999995</v>
      </c>
      <c r="L117" s="355">
        <f t="shared" si="28"/>
        <v>0.74139999999999995</v>
      </c>
      <c r="M117" s="356">
        <f t="shared" si="28"/>
        <v>0.74139999999999995</v>
      </c>
    </row>
    <row r="118" spans="1:13" ht="12.75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9"/>
        <v>0.85880000000000001</v>
      </c>
      <c r="F118" s="355">
        <f t="shared" si="29"/>
        <v>0.85880000000000001</v>
      </c>
      <c r="G118" s="355">
        <f t="shared" si="29"/>
        <v>0.85880000000000001</v>
      </c>
      <c r="H118" s="355">
        <f t="shared" si="29"/>
        <v>0.85880000000000001</v>
      </c>
      <c r="I118" s="355">
        <f>ROUND(0.7412-0.0095*B114,4)</f>
        <v>0.72219999999999995</v>
      </c>
      <c r="J118" s="355">
        <f t="shared" si="28"/>
        <v>0.72219999999999995</v>
      </c>
      <c r="K118" s="355">
        <f t="shared" si="28"/>
        <v>0.72219999999999995</v>
      </c>
      <c r="L118" s="355">
        <f t="shared" si="28"/>
        <v>0.72219999999999995</v>
      </c>
      <c r="M118" s="356">
        <f t="shared" si="28"/>
        <v>0.72219999999999995</v>
      </c>
    </row>
    <row r="119" spans="1:13" ht="13.5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8"/>
        <v>0.53949999999999998</v>
      </c>
      <c r="K119" s="357">
        <f t="shared" si="28"/>
        <v>0.53949999999999998</v>
      </c>
      <c r="L119" s="357">
        <f t="shared" si="28"/>
        <v>0.53949999999999998</v>
      </c>
      <c r="M119" s="358">
        <f t="shared" si="28"/>
        <v>0.53949999999999998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0" t="s">
        <v>983</v>
      </c>
      <c r="B1" s="1820"/>
    </row>
    <row r="2" spans="1:6" ht="14.25" thickBot="1">
      <c r="A2" s="412"/>
      <c r="B2" s="412"/>
    </row>
    <row r="3" spans="1:6" ht="14.2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4.2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4.2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4.2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4.2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75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4.2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14.25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14.25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75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75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75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4.2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4.2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14.25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75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75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75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75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75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75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4.2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75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75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75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75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75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75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75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75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4.2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4.2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4.2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4.2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4.2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4.2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75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75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75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75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75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75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75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4.2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4.2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75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75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75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75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75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75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75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75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75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75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4.2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4.2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75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75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4.2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0" t="s">
        <v>287</v>
      </c>
      <c r="B1" s="1820"/>
      <c r="C1" s="1820"/>
      <c r="D1" s="1820"/>
      <c r="E1" s="1820"/>
      <c r="F1" s="1820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4.25" thickBot="1">
      <c r="A2" s="1821" t="s">
        <v>300</v>
      </c>
      <c r="B2" s="1821"/>
      <c r="C2" s="1821"/>
      <c r="D2" s="1821"/>
      <c r="E2" s="1821"/>
      <c r="F2" s="1821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2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3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20290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2021-05-10T01:18:56Z</dcterms:modified>
</cp:coreProperties>
</file>