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44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state="hidden" r:id="rId25"/>
    <sheet name="成本法 (元)" sheetId="69" state="hidden" r:id="rId26"/>
    <sheet name="收益法 (元)商业" sheetId="8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0" i="84"/>
  <c r="J49" i="84"/>
  <c r="M47" i="84"/>
  <c r="D46" i="84"/>
  <c r="F34" i="84"/>
  <c r="F33" i="84"/>
  <c r="F32" i="84"/>
  <c r="F31" i="84"/>
  <c r="F28" i="84"/>
  <c r="D24" i="84"/>
  <c r="F23" i="84"/>
  <c r="D23" i="84"/>
  <c r="D22" i="84"/>
  <c r="F21" i="84"/>
  <c r="M20" i="84"/>
  <c r="F20" i="84"/>
  <c r="M19" i="84"/>
  <c r="M18" i="84"/>
  <c r="F18" i="84"/>
  <c r="M17" i="84"/>
  <c r="F17" i="84"/>
  <c r="F15" i="84"/>
  <c r="G1" i="84"/>
  <c r="F50" i="69"/>
  <c r="F48" i="69"/>
  <c r="G41" i="69"/>
  <c r="F40" i="69"/>
  <c r="C40" i="69"/>
  <c r="F39" i="69"/>
  <c r="F38" i="69"/>
  <c r="E37" i="69"/>
  <c r="F36" i="69"/>
  <c r="F35" i="69"/>
  <c r="F30" i="69"/>
  <c r="G22" i="69"/>
  <c r="F21" i="69"/>
  <c r="C21" i="69"/>
  <c r="F20" i="69"/>
  <c r="E19" i="69"/>
  <c r="C19" i="69"/>
  <c r="E10" i="69"/>
  <c r="E9" i="69"/>
  <c r="F7" i="69"/>
  <c r="H1" i="69"/>
  <c r="G1" i="69"/>
  <c r="D126" i="85"/>
  <c r="D127" i="85" s="1"/>
  <c r="A126" i="85"/>
  <c r="A124" i="85"/>
  <c r="A122" i="85"/>
  <c r="D121" i="85"/>
  <c r="K120" i="85"/>
  <c r="D120" i="85"/>
  <c r="A120" i="85"/>
  <c r="G118" i="85"/>
  <c r="F118" i="85" s="1"/>
  <c r="F119" i="85" s="1"/>
  <c r="E118" i="85"/>
  <c r="D118" i="85" s="1"/>
  <c r="D119" i="85" s="1"/>
  <c r="C118" i="85"/>
  <c r="B118" i="85"/>
  <c r="A118" i="85"/>
  <c r="H112" i="85"/>
  <c r="H111" i="85"/>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C35" i="85"/>
  <c r="C34" i="85"/>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11" i="12"/>
  <c r="K7" i="12"/>
  <c r="J7" i="12"/>
  <c r="I7" i="12"/>
  <c r="H7" i="12"/>
  <c r="G7" i="12"/>
  <c r="F7" i="12"/>
  <c r="E7" i="12"/>
  <c r="D7" i="12"/>
  <c r="C7" i="12"/>
  <c r="C4" i="12"/>
  <c r="K1" i="12"/>
  <c r="F50" i="68"/>
  <c r="F48" i="68"/>
  <c r="G41" i="68"/>
  <c r="F40" i="68"/>
  <c r="C40" i="68"/>
  <c r="F39" i="68"/>
  <c r="F38" i="68"/>
  <c r="E37" i="68"/>
  <c r="F36" i="68"/>
  <c r="F35" i="68"/>
  <c r="F34" i="68"/>
  <c r="F30" i="68"/>
  <c r="F27" i="68"/>
  <c r="F45" i="68" s="1"/>
  <c r="G22" i="68"/>
  <c r="F21" i="68"/>
  <c r="C21" i="68"/>
  <c r="F20" i="68"/>
  <c r="E19" i="68"/>
  <c r="E10" i="68"/>
  <c r="D10" i="68"/>
  <c r="C10" i="68" s="1"/>
  <c r="E9" i="68"/>
  <c r="D9" i="68"/>
  <c r="C9" i="68"/>
  <c r="C8" i="68"/>
  <c r="C5" i="68" s="1"/>
  <c r="F7" i="68"/>
  <c r="C7" i="68"/>
  <c r="G1" i="68"/>
  <c r="D126" i="9"/>
  <c r="D127" i="9" s="1"/>
  <c r="D13" i="52" s="1"/>
  <c r="A126" i="9"/>
  <c r="D125" i="9"/>
  <c r="D124" i="9"/>
  <c r="A124" i="9"/>
  <c r="A122" i="9"/>
  <c r="D121" i="9"/>
  <c r="K120" i="9"/>
  <c r="D120" i="9"/>
  <c r="A120" i="9"/>
  <c r="E118" i="9"/>
  <c r="A118" i="9"/>
  <c r="H112" i="9"/>
  <c r="H111" i="9"/>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G27"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F15" i="74"/>
  <c r="B14" i="74"/>
  <c r="B10" i="74"/>
  <c r="D8" i="74"/>
  <c r="C8" i="74"/>
  <c r="B8" i="74"/>
  <c r="D7" i="74"/>
  <c r="C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C15" i="4"/>
  <c r="K6" i="4"/>
  <c r="K5" i="4"/>
  <c r="B47" i="48" s="1"/>
  <c r="I4" i="4"/>
  <c r="G4" i="4"/>
  <c r="E4" i="4"/>
  <c r="B5" i="62" s="1"/>
  <c r="B73" i="72" s="1"/>
  <c r="C4" i="4"/>
  <c r="K4" i="4" s="1"/>
  <c r="B46" i="48" s="1"/>
  <c r="B4"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E4" i="52"/>
  <c r="B48" i="72" s="1"/>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2" i="72"/>
  <c r="B11" i="72"/>
  <c r="B10" i="72"/>
  <c r="B9" i="72"/>
  <c r="B8" i="72"/>
  <c r="B7" i="72"/>
  <c r="B6" i="72"/>
  <c r="B5" i="72"/>
  <c r="B3" i="72"/>
  <c r="B2" i="72"/>
  <c r="B13" i="76"/>
  <c r="D10" i="69"/>
  <c r="F38" i="84"/>
  <c r="M24" i="84"/>
  <c r="M21" i="67"/>
  <c r="M28" i="67"/>
  <c r="F27" i="69"/>
  <c r="E2" i="68"/>
  <c r="M21" i="15"/>
  <c r="C76" i="67"/>
  <c r="C76" i="84"/>
  <c r="F7" i="15"/>
  <c r="F8" i="67"/>
  <c r="M23" i="15"/>
  <c r="E8" i="76"/>
  <c r="M27" i="15"/>
  <c r="B8" i="76"/>
  <c r="F38" i="67"/>
  <c r="L47" i="84"/>
  <c r="M23" i="67"/>
  <c r="AO13" i="1"/>
  <c r="M9" i="67"/>
  <c r="D2" i="34"/>
  <c r="M24" i="15"/>
  <c r="F37" i="67"/>
  <c r="E7" i="76"/>
  <c r="F16" i="84"/>
  <c r="E2" i="69"/>
  <c r="C76" i="15"/>
  <c r="F41" i="15"/>
  <c r="M26" i="67"/>
  <c r="F26" i="84"/>
  <c r="AO9" i="1"/>
  <c r="B9" i="76"/>
  <c r="F8" i="84"/>
  <c r="M22" i="67"/>
  <c r="F20" i="31"/>
  <c r="M26" i="84"/>
  <c r="F9" i="84"/>
  <c r="J15" i="15"/>
  <c r="M22" i="84"/>
  <c r="M6" i="67"/>
  <c r="F37" i="15"/>
  <c r="M6" i="84"/>
  <c r="M22" i="15"/>
  <c r="F6" i="84"/>
  <c r="D2" i="36"/>
  <c r="M8" i="84"/>
  <c r="B10" i="76"/>
  <c r="M28" i="15"/>
  <c r="F13" i="15"/>
  <c r="D2" i="21"/>
  <c r="M8" i="15"/>
  <c r="B11" i="76"/>
  <c r="C34" i="69"/>
  <c r="M27" i="84"/>
  <c r="F9" i="15"/>
  <c r="M26" i="15"/>
  <c r="F40" i="67"/>
  <c r="L47" i="67"/>
  <c r="F16" i="67"/>
  <c r="F36" i="84"/>
  <c r="M27" i="67"/>
  <c r="F38" i="15"/>
  <c r="M21" i="84"/>
  <c r="D9" i="69"/>
  <c r="F35" i="15"/>
  <c r="M23" i="84"/>
  <c r="F42" i="15"/>
  <c r="C14" i="15"/>
  <c r="AO11" i="1"/>
  <c r="F40" i="84"/>
  <c r="F42" i="67"/>
  <c r="F42" i="84"/>
  <c r="E11" i="76"/>
  <c r="E10" i="76"/>
  <c r="J15" i="84"/>
  <c r="F7" i="84"/>
  <c r="F37" i="84"/>
  <c r="D2" i="33"/>
  <c r="F40" i="15"/>
  <c r="AO10" i="1"/>
  <c r="M24" i="67"/>
  <c r="F43" i="15"/>
  <c r="B12" i="76"/>
  <c r="D2" i="35"/>
  <c r="F35" i="67"/>
  <c r="D2" i="37"/>
  <c r="M6" i="15"/>
  <c r="F26" i="15"/>
  <c r="M8" i="67"/>
  <c r="L47" i="15"/>
  <c r="F13" i="84"/>
  <c r="J15" i="67"/>
  <c r="E12" i="76"/>
  <c r="L48" i="15"/>
  <c r="F6" i="67"/>
  <c r="F6" i="15"/>
  <c r="E13" i="76"/>
  <c r="M28" i="84"/>
  <c r="F43" i="67"/>
  <c r="E9" i="76"/>
  <c r="F35" i="84"/>
  <c r="M29" i="15"/>
  <c r="F13" i="67"/>
  <c r="B7" i="76"/>
  <c r="F43" i="84"/>
  <c r="F26" i="67"/>
  <c r="F9" i="67"/>
  <c r="F36" i="67"/>
  <c r="M9" i="15"/>
  <c r="F8" i="15"/>
  <c r="AO7" i="1"/>
  <c r="F16" i="15"/>
  <c r="M29" i="67"/>
  <c r="M29" i="84"/>
  <c r="C36" i="69"/>
  <c r="F36" i="15"/>
  <c r="M9" i="84"/>
  <c r="AO12" i="1"/>
  <c r="F7" i="67"/>
  <c r="AO8" i="1"/>
  <c r="D19" i="68" l="1"/>
  <c r="D37" i="68" s="1"/>
  <c r="C37" i="68" s="1"/>
  <c r="C5" i="78"/>
  <c r="D5" i="78" s="1"/>
  <c r="C7" i="78"/>
  <c r="D7" i="78" s="1"/>
  <c r="J1" i="73"/>
  <c r="L1" i="73"/>
  <c r="D15" i="4"/>
  <c r="F6" i="1" s="1"/>
  <c r="B2" i="1"/>
  <c r="B3" i="74"/>
  <c r="R16" i="1"/>
  <c r="D118" i="9"/>
  <c r="D4" i="52" s="1"/>
  <c r="B47" i="72" s="1"/>
  <c r="C18" i="12"/>
  <c r="Q71" i="67"/>
  <c r="B7" i="70"/>
  <c r="B11" i="70"/>
  <c r="N59" i="15"/>
  <c r="L58" i="15"/>
  <c r="M59" i="15"/>
  <c r="L59" i="15"/>
  <c r="B10" i="70"/>
  <c r="F65" i="15"/>
  <c r="B8" i="70"/>
  <c r="B12" i="70"/>
  <c r="B9" i="70"/>
  <c r="B13" i="70"/>
  <c r="F51" i="15"/>
  <c r="F66" i="67"/>
  <c r="J20" i="15"/>
  <c r="F68" i="15"/>
  <c r="J57" i="15"/>
  <c r="J55" i="15" s="1"/>
  <c r="J58" i="15" s="1"/>
  <c r="Q50" i="15" s="1"/>
  <c r="J53" i="15"/>
  <c r="L56" i="15" s="1"/>
  <c r="I54" i="15"/>
  <c r="F71" i="67"/>
  <c r="C10" i="69"/>
  <c r="J20" i="84"/>
  <c r="C27" i="84"/>
  <c r="C6" i="15"/>
  <c r="C15" i="15"/>
  <c r="C18" i="15"/>
  <c r="C27" i="15"/>
  <c r="F71" i="15"/>
  <c r="F68" i="67"/>
  <c r="C6" i="84"/>
  <c r="C34" i="15"/>
  <c r="F63" i="15"/>
  <c r="C62" i="15" s="1"/>
  <c r="F51" i="67"/>
  <c r="F64" i="67"/>
  <c r="F45" i="69"/>
  <c r="C29" i="69"/>
  <c r="D27" i="69" s="1"/>
  <c r="C47" i="69"/>
  <c r="D45" i="69" s="1"/>
  <c r="F65" i="84"/>
  <c r="F64" i="15"/>
  <c r="F66" i="15"/>
  <c r="F69" i="15"/>
  <c r="M7" i="67"/>
  <c r="J6" i="67" s="1"/>
  <c r="F50" i="67"/>
  <c r="M7" i="84"/>
  <c r="J6" i="84" s="1"/>
  <c r="F50" i="84"/>
  <c r="F50" i="15"/>
  <c r="M7" i="15"/>
  <c r="J6" i="15" s="1"/>
  <c r="Q71" i="15"/>
  <c r="C6" i="67"/>
  <c r="J20" i="67"/>
  <c r="C27" i="67"/>
  <c r="F63" i="67"/>
  <c r="C62" i="67" s="1"/>
  <c r="C34" i="67"/>
  <c r="F65" i="67"/>
  <c r="C34" i="84"/>
  <c r="F63" i="84"/>
  <c r="C62" i="84" s="1"/>
  <c r="C9" i="69"/>
  <c r="D19" i="69"/>
  <c r="D37" i="69" s="1"/>
  <c r="C37" i="69" s="1"/>
  <c r="F51" i="84"/>
  <c r="F68" i="84"/>
  <c r="F71" i="84"/>
  <c r="Q71" i="84"/>
  <c r="C38" i="69"/>
  <c r="C35" i="69"/>
  <c r="F64" i="84"/>
  <c r="F66" i="84"/>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29" i="68"/>
  <c r="D27" i="68" s="1"/>
  <c r="C47" i="68"/>
  <c r="D45" i="68" s="1"/>
  <c r="C34" i="68"/>
  <c r="D12" i="52"/>
  <c r="F15" i="49"/>
  <c r="H15" i="49" s="1"/>
  <c r="D119" i="9"/>
  <c r="D5" i="52" s="1"/>
  <c r="B49" i="72" s="1"/>
  <c r="F4" i="49"/>
  <c r="H4" i="49" s="1"/>
  <c r="F5" i="49"/>
  <c r="H5" i="49" s="1"/>
  <c r="F6" i="49"/>
  <c r="H6" i="49" s="1"/>
  <c r="F7" i="49"/>
  <c r="H7" i="49" s="1"/>
  <c r="F8" i="49"/>
  <c r="H8" i="49" s="1"/>
  <c r="F9" i="49"/>
  <c r="H9" i="49" s="1"/>
  <c r="F10" i="49"/>
  <c r="H10" i="49" s="1"/>
  <c r="F11" i="49"/>
  <c r="H11" i="49" s="1"/>
  <c r="F12" i="49"/>
  <c r="H12" i="49" s="1"/>
  <c r="F13" i="49"/>
  <c r="H13" i="49" s="1"/>
  <c r="G118" i="9"/>
  <c r="C14" i="12"/>
  <c r="C23" i="12"/>
  <c r="C12" i="12"/>
  <c r="C15" i="12"/>
  <c r="L48" i="67"/>
  <c r="D6" i="73"/>
  <c r="F3" i="73"/>
  <c r="F7" i="73"/>
  <c r="F4" i="73"/>
  <c r="C16" i="15"/>
  <c r="D3" i="73"/>
  <c r="F5" i="73"/>
  <c r="L48" i="84"/>
  <c r="D4" i="73"/>
  <c r="C14" i="84"/>
  <c r="C14" i="67"/>
  <c r="F6" i="73"/>
  <c r="D5" i="73"/>
  <c r="C17" i="15"/>
  <c r="C16" i="67"/>
  <c r="D7" i="73"/>
  <c r="C16" i="84"/>
  <c r="C17" i="67"/>
  <c r="C17" i="84"/>
  <c r="C49" i="84" l="1"/>
  <c r="C61" i="84" s="1"/>
  <c r="C19" i="68"/>
  <c r="C20" i="68" s="1"/>
  <c r="G1" i="73"/>
  <c r="B40" i="1" s="1"/>
  <c r="L36" i="43" s="1"/>
  <c r="L56" i="67"/>
  <c r="L58" i="67"/>
  <c r="Q60" i="67" s="1"/>
  <c r="L60" i="67"/>
  <c r="Q57" i="67" s="1"/>
  <c r="L58" i="84"/>
  <c r="Q60" i="84" s="1"/>
  <c r="I1" i="73"/>
  <c r="B39" i="1" s="1"/>
  <c r="F11" i="15" s="1"/>
  <c r="G23" i="43"/>
  <c r="C7" i="40"/>
  <c r="C63" i="40" s="1"/>
  <c r="C7" i="39"/>
  <c r="C67" i="39" s="1"/>
  <c r="C7" i="36"/>
  <c r="C46" i="36" s="1"/>
  <c r="C7" i="21"/>
  <c r="C58" i="21" s="1"/>
  <c r="J51" i="67"/>
  <c r="C7" i="33"/>
  <c r="C58" i="33" s="1"/>
  <c r="C7" i="35"/>
  <c r="C48" i="35" s="1"/>
  <c r="J51" i="84"/>
  <c r="L57" i="84" s="1"/>
  <c r="M47" i="85"/>
  <c r="M47" i="9"/>
  <c r="C42" i="1"/>
  <c r="J18" i="67" s="1"/>
  <c r="C7" i="37"/>
  <c r="C52" i="37" s="1"/>
  <c r="C7" i="34"/>
  <c r="C59" i="34" s="1"/>
  <c r="I24" i="43"/>
  <c r="C24" i="43" s="1"/>
  <c r="G6" i="1"/>
  <c r="G16" i="1" s="1"/>
  <c r="C33" i="69"/>
  <c r="C39" i="69" s="1"/>
  <c r="C46" i="69" s="1"/>
  <c r="C45" i="69" s="1"/>
  <c r="C15" i="84"/>
  <c r="C18" i="84"/>
  <c r="C19" i="84" s="1"/>
  <c r="C18" i="67"/>
  <c r="C15" i="67"/>
  <c r="C19" i="15"/>
  <c r="J18" i="15"/>
  <c r="J19" i="15"/>
  <c r="F118" i="9"/>
  <c r="G4" i="52"/>
  <c r="B52" i="72" s="1"/>
  <c r="C8" i="69"/>
  <c r="C32" i="67"/>
  <c r="C33" i="15"/>
  <c r="C49" i="15"/>
  <c r="M11" i="67"/>
  <c r="J10" i="67" s="1"/>
  <c r="J5" i="67" s="1"/>
  <c r="J18" i="84"/>
  <c r="J19" i="84"/>
  <c r="Q61" i="15"/>
  <c r="Q74" i="15"/>
  <c r="C35" i="68"/>
  <c r="C38" i="68"/>
  <c r="C49" i="67"/>
  <c r="C32" i="84"/>
  <c r="C33" i="84"/>
  <c r="Q52" i="15"/>
  <c r="F1" i="15"/>
  <c r="Q73" i="15"/>
  <c r="Q60" i="15"/>
  <c r="F22" i="69" l="1"/>
  <c r="Q66" i="67"/>
  <c r="C28" i="68"/>
  <c r="C27" i="68" s="1"/>
  <c r="F24" i="67"/>
  <c r="C24" i="67" s="1"/>
  <c r="M11" i="84"/>
  <c r="J10" i="84" s="1"/>
  <c r="J5" i="84" s="1"/>
  <c r="F24" i="15"/>
  <c r="C24" i="15" s="1"/>
  <c r="Q73" i="84"/>
  <c r="F22" i="68"/>
  <c r="C24" i="68" s="1"/>
  <c r="F22" i="11"/>
  <c r="M11" i="15"/>
  <c r="J10" i="15" s="1"/>
  <c r="J5" i="15" s="1"/>
  <c r="F11" i="67"/>
  <c r="C53" i="67" s="1"/>
  <c r="C48" i="67" s="1"/>
  <c r="F25" i="12"/>
  <c r="F11" i="84"/>
  <c r="C53" i="84" s="1"/>
  <c r="C48" i="84" s="1"/>
  <c r="Q73" i="67"/>
  <c r="C42" i="69"/>
  <c r="C31" i="84"/>
  <c r="F7" i="33"/>
  <c r="D58" i="33"/>
  <c r="E58" i="33" s="1"/>
  <c r="F58" i="33" s="1"/>
  <c r="G58" i="33" s="1"/>
  <c r="H58" i="33" s="1"/>
  <c r="I58" i="33" s="1"/>
  <c r="J58" i="33" s="1"/>
  <c r="K58" i="33" s="1"/>
  <c r="L58" i="33" s="1"/>
  <c r="M58" i="33" s="1"/>
  <c r="N58" i="33" s="1"/>
  <c r="O58" i="33" s="1"/>
  <c r="J7" i="33"/>
  <c r="H7" i="33"/>
  <c r="L60" i="84"/>
  <c r="F24" i="84"/>
  <c r="C24" i="84" s="1"/>
  <c r="J7" i="34"/>
  <c r="H7" i="34"/>
  <c r="D59" i="34"/>
  <c r="E59" i="34" s="1"/>
  <c r="F59" i="34" s="1"/>
  <c r="G59" i="34" s="1"/>
  <c r="H59" i="34" s="1"/>
  <c r="I59" i="34" s="1"/>
  <c r="J59" i="34" s="1"/>
  <c r="K59" i="34" s="1"/>
  <c r="L59" i="34" s="1"/>
  <c r="M59" i="34" s="1"/>
  <c r="N59" i="34" s="1"/>
  <c r="O59" i="34" s="1"/>
  <c r="J53" i="67"/>
  <c r="N59" i="67"/>
  <c r="J57" i="67"/>
  <c r="J55" i="67" s="1"/>
  <c r="J58" i="67" s="1"/>
  <c r="Q50" i="67" s="1"/>
  <c r="M59" i="67"/>
  <c r="I54" i="67"/>
  <c r="L59" i="67"/>
  <c r="C65" i="40"/>
  <c r="D63" i="40"/>
  <c r="L57" i="67"/>
  <c r="D52" i="37"/>
  <c r="E52" i="37" s="1"/>
  <c r="F52" i="37" s="1"/>
  <c r="G52" i="37" s="1"/>
  <c r="H52" i="37" s="1"/>
  <c r="I52" i="37" s="1"/>
  <c r="J52" i="37" s="1"/>
  <c r="K52" i="37" s="1"/>
  <c r="L52" i="37" s="1"/>
  <c r="M52" i="37" s="1"/>
  <c r="N52" i="37" s="1"/>
  <c r="O52" i="37" s="1"/>
  <c r="N59" i="84"/>
  <c r="J57" i="84"/>
  <c r="J55" i="84" s="1"/>
  <c r="J58" i="84" s="1"/>
  <c r="Q50" i="84" s="1"/>
  <c r="I54" i="84"/>
  <c r="J53" i="84"/>
  <c r="M59" i="84"/>
  <c r="L59" i="84"/>
  <c r="F7" i="21"/>
  <c r="J7" i="21"/>
  <c r="D58" i="21"/>
  <c r="E58" i="21" s="1"/>
  <c r="F58" i="21" s="1"/>
  <c r="G58" i="21" s="1"/>
  <c r="H58" i="21" s="1"/>
  <c r="I58" i="21" s="1"/>
  <c r="J58" i="21" s="1"/>
  <c r="K58" i="21" s="1"/>
  <c r="L58" i="21" s="1"/>
  <c r="M58" i="21" s="1"/>
  <c r="N58" i="21" s="1"/>
  <c r="O58" i="21" s="1"/>
  <c r="H7" i="21"/>
  <c r="P27" i="43"/>
  <c r="B70" i="39" s="1"/>
  <c r="P29" i="43"/>
  <c r="P25" i="43"/>
  <c r="O23" i="43"/>
  <c r="C23" i="43"/>
  <c r="A1" i="79"/>
  <c r="P28" i="43"/>
  <c r="B66" i="40" s="1"/>
  <c r="P26" i="43"/>
  <c r="M24" i="43"/>
  <c r="F10" i="39"/>
  <c r="J10" i="40"/>
  <c r="H10" i="40"/>
  <c r="J10" i="39"/>
  <c r="F10" i="40"/>
  <c r="H10" i="39"/>
  <c r="C36" i="11"/>
  <c r="C34" i="11"/>
  <c r="C28" i="84"/>
  <c r="C77" i="9"/>
  <c r="C74" i="9" s="1"/>
  <c r="C48" i="69"/>
  <c r="C77" i="85"/>
  <c r="C74" i="85" s="1"/>
  <c r="C24" i="12"/>
  <c r="C29" i="12" s="1"/>
  <c r="D28" i="12" s="1"/>
  <c r="C13" i="12"/>
  <c r="C16" i="12" s="1"/>
  <c r="C21" i="12" s="1"/>
  <c r="C22" i="12" s="1"/>
  <c r="C30" i="68"/>
  <c r="C48" i="68"/>
  <c r="C30" i="69"/>
  <c r="C28" i="67"/>
  <c r="C28" i="15"/>
  <c r="C31" i="12"/>
  <c r="C36" i="68"/>
  <c r="C33" i="68"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L56" i="84"/>
  <c r="C32" i="15"/>
  <c r="C31" i="15" s="1"/>
  <c r="C33" i="67"/>
  <c r="C31" i="67" s="1"/>
  <c r="J19" i="67"/>
  <c r="J17" i="67" s="1"/>
  <c r="C69" i="39"/>
  <c r="D67" i="39"/>
  <c r="C19" i="67"/>
  <c r="C20" i="67" s="1"/>
  <c r="C26" i="67" s="1"/>
  <c r="J17" i="84"/>
  <c r="J26" i="15"/>
  <c r="J29" i="15" s="1"/>
  <c r="J24" i="15"/>
  <c r="J24" i="67"/>
  <c r="J26" i="67"/>
  <c r="C20" i="84"/>
  <c r="C23" i="84" s="1"/>
  <c r="J26" i="84"/>
  <c r="J24" i="84"/>
  <c r="F119" i="9"/>
  <c r="F5" i="52" s="1"/>
  <c r="B53" i="72" s="1"/>
  <c r="F4" i="52"/>
  <c r="B51" i="72" s="1"/>
  <c r="C61" i="67"/>
  <c r="C24" i="11"/>
  <c r="C23" i="11"/>
  <c r="C26" i="11"/>
  <c r="D22" i="11" s="1"/>
  <c r="C44" i="11"/>
  <c r="D41" i="11" s="1"/>
  <c r="C25" i="11"/>
  <c r="C66" i="84"/>
  <c r="C60" i="84"/>
  <c r="C59" i="84" s="1"/>
  <c r="L37" i="43"/>
  <c r="Q36" i="43"/>
  <c r="M36" i="43"/>
  <c r="P36" i="43"/>
  <c r="N36" i="43"/>
  <c r="O36" i="43"/>
  <c r="C61" i="15"/>
  <c r="C10" i="67"/>
  <c r="C5" i="67" s="1"/>
  <c r="J17" i="15"/>
  <c r="C10" i="84"/>
  <c r="C5" i="84" s="1"/>
  <c r="F41" i="68"/>
  <c r="C44" i="68"/>
  <c r="D41" i="68" s="1"/>
  <c r="C26" i="68"/>
  <c r="D22" i="68" s="1"/>
  <c r="C23" i="68"/>
  <c r="C10" i="15"/>
  <c r="C5" i="15" s="1"/>
  <c r="C53" i="15"/>
  <c r="C48" i="15" s="1"/>
  <c r="C43" i="69"/>
  <c r="C41" i="69" s="1"/>
  <c r="C25" i="68"/>
  <c r="C44" i="69"/>
  <c r="D41" i="69" s="1"/>
  <c r="F41" i="69"/>
  <c r="C26" i="69"/>
  <c r="D22" i="69" s="1"/>
  <c r="C24" i="69"/>
  <c r="C20" i="15"/>
  <c r="C23" i="15" s="1"/>
  <c r="C30" i="12" l="1"/>
  <c r="C28" i="12" s="1"/>
  <c r="C27" i="12"/>
  <c r="C25" i="12" s="1"/>
  <c r="C39" i="68"/>
  <c r="C43" i="68" s="1"/>
  <c r="C41" i="68" s="1"/>
  <c r="C42" i="68"/>
  <c r="D69" i="39"/>
  <c r="E67" i="39"/>
  <c r="H7" i="36"/>
  <c r="H7" i="35"/>
  <c r="AB10" i="39"/>
  <c r="U10" i="39"/>
  <c r="AC10" i="40"/>
  <c r="W10" i="40"/>
  <c r="J7" i="37"/>
  <c r="F7" i="34"/>
  <c r="J7" i="36"/>
  <c r="J7" i="35"/>
  <c r="AA10" i="40"/>
  <c r="S10" i="40"/>
  <c r="AA10" i="39"/>
  <c r="S10" i="39"/>
  <c r="AC7" i="21"/>
  <c r="V48" i="21" s="1"/>
  <c r="I48" i="21" s="1"/>
  <c r="W7" i="21"/>
  <c r="Q52" i="84"/>
  <c r="F1" i="84"/>
  <c r="C26" i="12"/>
  <c r="D25" i="12" s="1"/>
  <c r="Q74" i="67"/>
  <c r="Q61" i="67"/>
  <c r="U7" i="34"/>
  <c r="AB7" i="34"/>
  <c r="T49" i="34" s="1"/>
  <c r="G49" i="34" s="1"/>
  <c r="Q66" i="84"/>
  <c r="Q57" i="84"/>
  <c r="S7" i="33"/>
  <c r="AA7" i="33"/>
  <c r="R48" i="33" s="1"/>
  <c r="C35" i="11"/>
  <c r="C38" i="11"/>
  <c r="C33" i="11"/>
  <c r="AC10" i="39"/>
  <c r="W10" i="39"/>
  <c r="C41" i="43"/>
  <c r="C39" i="43"/>
  <c r="T15" i="43"/>
  <c r="V15" i="43" s="1"/>
  <c r="T13" i="43"/>
  <c r="V13" i="43" s="1"/>
  <c r="T8" i="43"/>
  <c r="V8" i="43" s="1"/>
  <c r="C37" i="43"/>
  <c r="C33" i="43"/>
  <c r="E33" i="43" s="1"/>
  <c r="T10" i="43"/>
  <c r="V10" i="43" s="1"/>
  <c r="T6" i="43"/>
  <c r="V6" i="43" s="1"/>
  <c r="C42" i="43"/>
  <c r="C40" i="43"/>
  <c r="C38" i="43"/>
  <c r="T16" i="43"/>
  <c r="V16" i="43" s="1"/>
  <c r="T14" i="43"/>
  <c r="V14" i="43" s="1"/>
  <c r="T9" i="43"/>
  <c r="V9" i="43" s="1"/>
  <c r="T4" i="43"/>
  <c r="V4" i="43" s="1"/>
  <c r="T2" i="43"/>
  <c r="V2" i="43" s="1"/>
  <c r="T12" i="43"/>
  <c r="V12" i="43" s="1"/>
  <c r="T11" i="43"/>
  <c r="V11" i="43" s="1"/>
  <c r="T7" i="43"/>
  <c r="V7" i="43" s="1"/>
  <c r="T5" i="43"/>
  <c r="V5" i="43" s="1"/>
  <c r="T3" i="43"/>
  <c r="V3" i="43" s="1"/>
  <c r="S7" i="21"/>
  <c r="AA7" i="21"/>
  <c r="R48" i="21" s="1"/>
  <c r="F7" i="37"/>
  <c r="F1" i="67"/>
  <c r="Q52" i="67"/>
  <c r="W7" i="34"/>
  <c r="AC7" i="34"/>
  <c r="V49" i="34" s="1"/>
  <c r="I49" i="34" s="1"/>
  <c r="U7" i="33"/>
  <c r="AB7" i="33"/>
  <c r="T48" i="33" s="1"/>
  <c r="G48" i="33" s="1"/>
  <c r="F7" i="36"/>
  <c r="F7" i="35"/>
  <c r="AB10" i="40"/>
  <c r="U10" i="40"/>
  <c r="U7" i="21"/>
  <c r="AB7" i="21"/>
  <c r="T48" i="21" s="1"/>
  <c r="G48" i="21" s="1"/>
  <c r="Q74" i="84"/>
  <c r="Q61" i="84"/>
  <c r="H7" i="37"/>
  <c r="D65" i="40"/>
  <c r="E63" i="40"/>
  <c r="AC7" i="33"/>
  <c r="V48" i="33" s="1"/>
  <c r="I48" i="33" s="1"/>
  <c r="W7" i="33"/>
  <c r="C26" i="84"/>
  <c r="C29" i="84" s="1"/>
  <c r="C22" i="68"/>
  <c r="C31" i="68" s="1"/>
  <c r="C23" i="67"/>
  <c r="C29" i="67" s="1"/>
  <c r="C13" i="67" s="1"/>
  <c r="C38" i="15"/>
  <c r="C22" i="11"/>
  <c r="C31" i="11" s="1"/>
  <c r="C38" i="67"/>
  <c r="P37" i="43"/>
  <c r="O37" i="43"/>
  <c r="Q37" i="43"/>
  <c r="M37" i="43"/>
  <c r="N37" i="43"/>
  <c r="C60" i="67"/>
  <c r="C59" i="67" s="1"/>
  <c r="C66" i="67"/>
  <c r="C49" i="69"/>
  <c r="C51" i="69" s="1"/>
  <c r="C66" i="15"/>
  <c r="C60" i="15"/>
  <c r="C59" i="15" s="1"/>
  <c r="C26" i="15"/>
  <c r="C29" i="15" s="1"/>
  <c r="C38" i="84"/>
  <c r="AE6" i="1"/>
  <c r="F41" i="67"/>
  <c r="F41" i="84"/>
  <c r="C32" i="12" l="1"/>
  <c r="B2" i="12" s="1"/>
  <c r="B3" i="12" s="1"/>
  <c r="F69" i="67"/>
  <c r="J29" i="67"/>
  <c r="F69" i="84"/>
  <c r="J29" i="84"/>
  <c r="G52" i="21"/>
  <c r="H52" i="21" s="1"/>
  <c r="G53" i="21"/>
  <c r="H53" i="21" s="1"/>
  <c r="U7" i="37"/>
  <c r="AB7" i="37"/>
  <c r="T42" i="37" s="1"/>
  <c r="G42" i="37" s="1"/>
  <c r="W7" i="36"/>
  <c r="AC7" i="36"/>
  <c r="V36" i="36" s="1"/>
  <c r="I36" i="36" s="1"/>
  <c r="E48" i="21"/>
  <c r="I53" i="21" s="1"/>
  <c r="J53" i="21" s="1"/>
  <c r="R49" i="21"/>
  <c r="E38" i="43"/>
  <c r="G38" i="43"/>
  <c r="I38" i="43" s="1"/>
  <c r="E65" i="40"/>
  <c r="F63" i="40"/>
  <c r="G53" i="33"/>
  <c r="H53" i="33" s="1"/>
  <c r="G52" i="33"/>
  <c r="H52" i="33" s="1"/>
  <c r="E40" i="43"/>
  <c r="G40" i="43"/>
  <c r="I40" i="43" s="1"/>
  <c r="E48" i="33"/>
  <c r="R49" i="33"/>
  <c r="G53" i="34"/>
  <c r="H53" i="34" s="1"/>
  <c r="G54" i="34"/>
  <c r="H54" i="34" s="1"/>
  <c r="I52" i="21"/>
  <c r="J52" i="21" s="1"/>
  <c r="E42" i="43"/>
  <c r="G42" i="43"/>
  <c r="I42" i="43" s="1"/>
  <c r="G37" i="43"/>
  <c r="I37" i="43" s="1"/>
  <c r="E37" i="43"/>
  <c r="C6" i="69"/>
  <c r="G39" i="43"/>
  <c r="I39" i="43" s="1"/>
  <c r="E39" i="43"/>
  <c r="C39" i="11"/>
  <c r="C43" i="11" s="1"/>
  <c r="C42" i="11"/>
  <c r="AC7" i="35"/>
  <c r="V38" i="35" s="1"/>
  <c r="I38" i="35" s="1"/>
  <c r="W7" i="35"/>
  <c r="AA7" i="34"/>
  <c r="R49" i="34" s="1"/>
  <c r="S7" i="34"/>
  <c r="W7" i="37"/>
  <c r="AC7" i="37"/>
  <c r="V42" i="37" s="1"/>
  <c r="I42" i="37" s="1"/>
  <c r="S7" i="36"/>
  <c r="AA7" i="36"/>
  <c r="R36" i="36" s="1"/>
  <c r="I53" i="34"/>
  <c r="J53" i="34" s="1"/>
  <c r="U7" i="35"/>
  <c r="AB7" i="35"/>
  <c r="T38" i="35" s="1"/>
  <c r="G38" i="35" s="1"/>
  <c r="AA7" i="35"/>
  <c r="R38" i="35" s="1"/>
  <c r="S7" i="35"/>
  <c r="AA7" i="37"/>
  <c r="R42" i="37" s="1"/>
  <c r="S7" i="37"/>
  <c r="E34" i="43"/>
  <c r="C34" i="43"/>
  <c r="G41" i="43"/>
  <c r="I41" i="43" s="1"/>
  <c r="E41" i="43"/>
  <c r="I52" i="33"/>
  <c r="J52" i="33" s="1"/>
  <c r="I53" i="33"/>
  <c r="J53" i="33" s="1"/>
  <c r="U7" i="36"/>
  <c r="AB7" i="36"/>
  <c r="T36" i="36" s="1"/>
  <c r="G36" i="36" s="1"/>
  <c r="E69" i="39"/>
  <c r="F67" i="39"/>
  <c r="C46" i="68"/>
  <c r="C45" i="68" s="1"/>
  <c r="C49" i="68" s="1"/>
  <c r="C51" i="68" s="1"/>
  <c r="C13" i="84"/>
  <c r="Q70" i="84" s="1"/>
  <c r="Q49" i="84"/>
  <c r="C57" i="84"/>
  <c r="C64" i="84" s="1"/>
  <c r="C36" i="84"/>
  <c r="J59" i="84"/>
  <c r="J60" i="84" s="1"/>
  <c r="Q48" i="84" s="1"/>
  <c r="J14" i="84"/>
  <c r="J13" i="84" s="1"/>
  <c r="J23" i="84" s="1"/>
  <c r="J14" i="67"/>
  <c r="J13" i="67" s="1"/>
  <c r="J23" i="67" s="1"/>
  <c r="C57" i="67"/>
  <c r="C64" i="67" s="1"/>
  <c r="Q49" i="67"/>
  <c r="C36" i="67"/>
  <c r="J59" i="67"/>
  <c r="J60" i="67" s="1"/>
  <c r="Q48" i="67" s="1"/>
  <c r="J14" i="15"/>
  <c r="C57" i="15"/>
  <c r="C64" i="15" s="1"/>
  <c r="C36" i="15"/>
  <c r="Q49" i="15"/>
  <c r="C13" i="15"/>
  <c r="J59" i="15"/>
  <c r="J60" i="15" s="1"/>
  <c r="C56" i="67"/>
  <c r="C65" i="67" s="1"/>
  <c r="C75" i="67"/>
  <c r="Q70" i="67"/>
  <c r="C37" i="67"/>
  <c r="C30" i="43" l="1"/>
  <c r="C75" i="84"/>
  <c r="C31" i="43"/>
  <c r="L46" i="84"/>
  <c r="L46" i="67"/>
  <c r="J22" i="84"/>
  <c r="J16" i="84" s="1"/>
  <c r="J25" i="84" s="1"/>
  <c r="C56" i="84"/>
  <c r="C65" i="84" s="1"/>
  <c r="C58" i="84" s="1"/>
  <c r="C67" i="84" s="1"/>
  <c r="C68" i="84" s="1"/>
  <c r="C71" i="84" s="1"/>
  <c r="B2" i="43"/>
  <c r="C52" i="68"/>
  <c r="B2" i="68" s="1"/>
  <c r="B3" i="68" s="1"/>
  <c r="G40" i="36"/>
  <c r="H40" i="36" s="1"/>
  <c r="G41" i="36"/>
  <c r="H41" i="36" s="1"/>
  <c r="R39" i="35"/>
  <c r="E38" i="35"/>
  <c r="I46" i="37"/>
  <c r="J46" i="37" s="1"/>
  <c r="C46" i="11"/>
  <c r="C45" i="11" s="1"/>
  <c r="C37" i="84"/>
  <c r="C30" i="84" s="1"/>
  <c r="C39" i="84" s="1"/>
  <c r="G43" i="35"/>
  <c r="H43" i="35" s="1"/>
  <c r="G42" i="35"/>
  <c r="H42" i="35" s="1"/>
  <c r="I42" i="35"/>
  <c r="J42" i="35" s="1"/>
  <c r="I43" i="35"/>
  <c r="J43" i="35" s="1"/>
  <c r="C49" i="33"/>
  <c r="C48" i="33"/>
  <c r="F69" i="39"/>
  <c r="G67" i="39"/>
  <c r="E42" i="37"/>
  <c r="R43" i="37"/>
  <c r="E36" i="36"/>
  <c r="R37" i="36"/>
  <c r="C41" i="11"/>
  <c r="E52" i="33"/>
  <c r="F52" i="33" s="1"/>
  <c r="E53" i="33"/>
  <c r="F53" i="33" s="1"/>
  <c r="I41" i="36"/>
  <c r="J41" i="36" s="1"/>
  <c r="I40" i="36"/>
  <c r="J40" i="36" s="1"/>
  <c r="E49" i="34"/>
  <c r="R50" i="34"/>
  <c r="C7" i="69"/>
  <c r="C5" i="69" s="1"/>
  <c r="F65" i="40"/>
  <c r="G63" i="40"/>
  <c r="C49" i="21"/>
  <c r="C48" i="21"/>
  <c r="E53" i="21"/>
  <c r="F53" i="21" s="1"/>
  <c r="E52" i="21"/>
  <c r="F52" i="21" s="1"/>
  <c r="G46" i="37"/>
  <c r="H46" i="37" s="1"/>
  <c r="G47" i="37"/>
  <c r="H47" i="37" s="1"/>
  <c r="C58" i="67"/>
  <c r="C67" i="67" s="1"/>
  <c r="C68" i="67" s="1"/>
  <c r="C71" i="67" s="1"/>
  <c r="C30" i="67"/>
  <c r="C39" i="67" s="1"/>
  <c r="C40" i="67" s="1"/>
  <c r="J22" i="67"/>
  <c r="J16" i="67" s="1"/>
  <c r="J25" i="67" s="1"/>
  <c r="Q48" i="15"/>
  <c r="L46" i="15"/>
  <c r="C37" i="15"/>
  <c r="C30" i="15" s="1"/>
  <c r="C39" i="15" s="1"/>
  <c r="C56" i="15"/>
  <c r="C65" i="15" s="1"/>
  <c r="C58" i="15" s="1"/>
  <c r="C67" i="15" s="1"/>
  <c r="C68" i="15" s="1"/>
  <c r="C75" i="15"/>
  <c r="Q70" i="15"/>
  <c r="J13" i="15"/>
  <c r="J23" i="15" s="1"/>
  <c r="J22" i="15"/>
  <c r="E6" i="76"/>
  <c r="B6" i="76"/>
  <c r="L51" i="84"/>
  <c r="E2" i="76" l="1"/>
  <c r="C80" i="67"/>
  <c r="C79" i="67" s="1"/>
  <c r="Q69" i="67"/>
  <c r="Q68" i="67" s="1"/>
  <c r="J16" i="15"/>
  <c r="J25" i="15" s="1"/>
  <c r="B2" i="76"/>
  <c r="B3" i="76" s="1"/>
  <c r="C80" i="84"/>
  <c r="C79" i="84" s="1"/>
  <c r="Q69" i="84"/>
  <c r="Q68" i="84" s="1"/>
  <c r="C23" i="69"/>
  <c r="C20" i="69"/>
  <c r="C25" i="69" s="1"/>
  <c r="G69" i="39"/>
  <c r="H67" i="39"/>
  <c r="E42" i="35"/>
  <c r="F42" i="35" s="1"/>
  <c r="E43" i="35"/>
  <c r="F43" i="35" s="1"/>
  <c r="G65" i="40"/>
  <c r="H63" i="40"/>
  <c r="E41" i="36"/>
  <c r="F41" i="36" s="1"/>
  <c r="E40" i="36"/>
  <c r="F40" i="36" s="1"/>
  <c r="C38" i="35"/>
  <c r="C39" i="35"/>
  <c r="M3" i="35" s="1"/>
  <c r="C49" i="11"/>
  <c r="C51" i="11" s="1"/>
  <c r="E47" i="37"/>
  <c r="F47" i="37" s="1"/>
  <c r="E46" i="37"/>
  <c r="F46" i="37" s="1"/>
  <c r="B2" i="33"/>
  <c r="B3" i="33"/>
  <c r="I47" i="37"/>
  <c r="J47" i="37" s="1"/>
  <c r="C57" i="68"/>
  <c r="C56" i="68" s="1"/>
  <c r="B3" i="43"/>
  <c r="C37" i="36"/>
  <c r="C36" i="36"/>
  <c r="C50" i="34"/>
  <c r="C49" i="34"/>
  <c r="E54" i="34"/>
  <c r="F54" i="34" s="1"/>
  <c r="E53" i="34"/>
  <c r="F53" i="34" s="1"/>
  <c r="I54" i="34"/>
  <c r="J54" i="34" s="1"/>
  <c r="C43" i="37"/>
  <c r="C42" i="37"/>
  <c r="C40" i="84"/>
  <c r="Q56" i="84" s="1"/>
  <c r="Q62" i="84" s="1"/>
  <c r="Q67" i="84"/>
  <c r="C40" i="15"/>
  <c r="C46" i="15" s="1"/>
  <c r="Q69" i="15"/>
  <c r="Q68" i="15" s="1"/>
  <c r="C71" i="15"/>
  <c r="C80" i="15"/>
  <c r="C79" i="15" s="1"/>
  <c r="Q65" i="67"/>
  <c r="Q75" i="67" s="1"/>
  <c r="Q47" i="67"/>
  <c r="Q53" i="67" s="1"/>
  <c r="C43" i="67"/>
  <c r="D2" i="67"/>
  <c r="Q56" i="67"/>
  <c r="Q62" i="67" s="1"/>
  <c r="C83" i="67"/>
  <c r="C82" i="67" s="1"/>
  <c r="C45" i="67"/>
  <c r="C46" i="67" s="1"/>
  <c r="L51" i="15"/>
  <c r="L51" i="67"/>
  <c r="D2" i="84" l="1"/>
  <c r="B2" i="84" s="1"/>
  <c r="Q47" i="84"/>
  <c r="Q53" i="84" s="1"/>
  <c r="C45" i="84"/>
  <c r="C46" i="84" s="1"/>
  <c r="Q65" i="84"/>
  <c r="Q75" i="84" s="1"/>
  <c r="B3" i="34"/>
  <c r="B2" i="34"/>
  <c r="C28" i="69"/>
  <c r="C27" i="69" s="1"/>
  <c r="C83" i="84"/>
  <c r="C82" i="84" s="1"/>
  <c r="C52" i="11"/>
  <c r="B2" i="11" s="1"/>
  <c r="B3" i="11" s="1"/>
  <c r="H65" i="40"/>
  <c r="I63" i="40"/>
  <c r="H69" i="39"/>
  <c r="I67" i="39"/>
  <c r="C22" i="69"/>
  <c r="Q67" i="67"/>
  <c r="C43" i="84"/>
  <c r="Q67" i="15"/>
  <c r="L57" i="15"/>
  <c r="L60" i="15" s="1"/>
  <c r="B3" i="67"/>
  <c r="B2" i="67"/>
  <c r="Q47" i="15"/>
  <c r="Q53" i="15" s="1"/>
  <c r="B2" i="15"/>
  <c r="B3" i="15" s="1"/>
  <c r="Q65" i="15"/>
  <c r="Q56" i="15"/>
  <c r="C43" i="15"/>
  <c r="C83" i="15"/>
  <c r="C82" i="15" s="1"/>
  <c r="AO6" i="1"/>
  <c r="D20" i="9"/>
  <c r="D19" i="9"/>
  <c r="C20" i="9"/>
  <c r="C19" i="9"/>
  <c r="D19" i="85"/>
  <c r="C31" i="69" l="1"/>
  <c r="C52" i="69" s="1"/>
  <c r="C57" i="69" s="1"/>
  <c r="C56" i="69" s="1"/>
  <c r="C56" i="11"/>
  <c r="C57" i="11" s="1"/>
  <c r="B3" i="84"/>
  <c r="C102" i="9"/>
  <c r="C21" i="9"/>
  <c r="C103" i="9"/>
  <c r="I69" i="39"/>
  <c r="J67" i="39"/>
  <c r="I65" i="40"/>
  <c r="J63" i="40"/>
  <c r="B2" i="69"/>
  <c r="D21" i="85"/>
  <c r="D102" i="85"/>
  <c r="D102" i="9"/>
  <c r="D21" i="9"/>
  <c r="G19" i="9"/>
  <c r="G21" i="9" s="1"/>
  <c r="D22" i="9"/>
  <c r="B6" i="70"/>
  <c r="B2" i="70" s="1"/>
  <c r="B3" i="70" s="1"/>
  <c r="D103" i="9"/>
  <c r="G20" i="9"/>
  <c r="Q66" i="15"/>
  <c r="Q75" i="15" s="1"/>
  <c r="Q57" i="15"/>
  <c r="Q62" i="15" s="1"/>
  <c r="D20" i="85"/>
  <c r="B3" i="69"/>
  <c r="C19" i="85"/>
  <c r="D103" i="85" l="1"/>
  <c r="C102" i="85"/>
  <c r="C21" i="85"/>
  <c r="D22" i="85"/>
  <c r="G19" i="85"/>
  <c r="G21" i="85" s="1"/>
  <c r="J65" i="40"/>
  <c r="K63" i="40"/>
  <c r="J69" i="39"/>
  <c r="K67" i="39"/>
  <c r="G26" i="9"/>
  <c r="C32" i="9"/>
  <c r="C20" i="85"/>
  <c r="C103" i="85" l="1"/>
  <c r="G20" i="85"/>
  <c r="K69" i="39"/>
  <c r="L67" i="39"/>
  <c r="K65" i="40"/>
  <c r="L63" i="40"/>
  <c r="R24" i="31"/>
  <c r="I118" i="9"/>
  <c r="D34" i="9"/>
  <c r="E14" i="74"/>
  <c r="D14" i="74" s="1"/>
  <c r="D35" i="9"/>
  <c r="C32" i="85" l="1"/>
  <c r="G26" i="85"/>
  <c r="L65" i="40"/>
  <c r="M63" i="40"/>
  <c r="L69" i="39"/>
  <c r="M67" i="39"/>
  <c r="G14" i="74"/>
  <c r="B6" i="74" s="1"/>
  <c r="B5" i="74"/>
  <c r="F14" i="74"/>
  <c r="H102" i="9"/>
  <c r="D7" i="53" s="1"/>
  <c r="B21" i="72" s="1"/>
  <c r="I4" i="52"/>
  <c r="C105" i="9"/>
  <c r="H118" i="9"/>
  <c r="S24" i="31"/>
  <c r="R25" i="31"/>
  <c r="T24" i="31"/>
  <c r="D34" i="85" l="1"/>
  <c r="D35" i="85"/>
  <c r="I118" i="85"/>
  <c r="M69" i="39"/>
  <c r="N67" i="39"/>
  <c r="M65" i="40"/>
  <c r="N63" i="40"/>
  <c r="D6" i="74"/>
  <c r="T25" i="31"/>
  <c r="T22" i="31" s="1"/>
  <c r="S25" i="31"/>
  <c r="S22" i="31" s="1"/>
  <c r="H101" i="9"/>
  <c r="H119" i="9"/>
  <c r="H5" i="52" s="1"/>
  <c r="H4" i="52"/>
  <c r="C104" i="9"/>
  <c r="D5" i="74"/>
  <c r="C5" i="74"/>
  <c r="H118" i="85" l="1"/>
  <c r="H102" i="85"/>
  <c r="C105" i="85"/>
  <c r="N65" i="40"/>
  <c r="O63" i="40"/>
  <c r="O65" i="40" s="1"/>
  <c r="N69" i="39"/>
  <c r="O67" i="39"/>
  <c r="O69" i="39" s="1"/>
  <c r="R22" i="31"/>
  <c r="B20" i="31"/>
  <c r="B21" i="31" s="1"/>
  <c r="M48" i="9"/>
  <c r="D5" i="53"/>
  <c r="H107" i="9"/>
  <c r="D45" i="9"/>
  <c r="H119" i="85" l="1"/>
  <c r="H101" i="85"/>
  <c r="C104" i="85"/>
  <c r="H7" i="39"/>
  <c r="F7" i="39"/>
  <c r="J7" i="39"/>
  <c r="J7" i="40"/>
  <c r="F7" i="40"/>
  <c r="H7" i="40"/>
  <c r="D122" i="9"/>
  <c r="H108" i="9"/>
  <c r="M49" i="9"/>
  <c r="D13" i="53"/>
  <c r="D6" i="53"/>
  <c r="B22" i="72" s="1"/>
  <c r="B20" i="72"/>
  <c r="C72" i="9"/>
  <c r="C64" i="9"/>
  <c r="C63" i="9" s="1"/>
  <c r="C67" i="9" s="1"/>
  <c r="D53" i="9"/>
  <c r="C78" i="9"/>
  <c r="C73" i="9" s="1"/>
  <c r="D52" i="9"/>
  <c r="C93" i="9"/>
  <c r="C86" i="9" s="1"/>
  <c r="C85" i="9"/>
  <c r="D55" i="9"/>
  <c r="M53" i="9" s="1"/>
  <c r="M48" i="85" l="1"/>
  <c r="D45" i="85"/>
  <c r="H107" i="85"/>
  <c r="AC7" i="40"/>
  <c r="V42" i="40" s="1"/>
  <c r="I42" i="40" s="1"/>
  <c r="W7" i="40"/>
  <c r="C95" i="9"/>
  <c r="W7" i="39"/>
  <c r="AC7" i="39"/>
  <c r="V47" i="39" s="1"/>
  <c r="I47" i="39" s="1"/>
  <c r="U7" i="40"/>
  <c r="AB7" i="40"/>
  <c r="T42" i="40" s="1"/>
  <c r="G42" i="40" s="1"/>
  <c r="S7" i="39"/>
  <c r="AA7" i="39"/>
  <c r="R47" i="39" s="1"/>
  <c r="S7" i="40"/>
  <c r="AA7" i="40"/>
  <c r="R42" i="40" s="1"/>
  <c r="U7" i="39"/>
  <c r="AB7" i="39"/>
  <c r="T47" i="39" s="1"/>
  <c r="G47" i="39" s="1"/>
  <c r="C79" i="9"/>
  <c r="C80" i="9" s="1"/>
  <c r="E80" i="9" s="1"/>
  <c r="E81" i="9" s="1"/>
  <c r="C96" i="9"/>
  <c r="E96" i="9" s="1"/>
  <c r="E97" i="9" s="1"/>
  <c r="D59" i="9"/>
  <c r="M55" i="9" s="1"/>
  <c r="C68" i="9"/>
  <c r="D54" i="9" s="1"/>
  <c r="B30" i="72"/>
  <c r="D14" i="53"/>
  <c r="B32" i="72" s="1"/>
  <c r="L68" i="9"/>
  <c r="M68" i="9" s="1"/>
  <c r="L67" i="9"/>
  <c r="M67" i="9" s="1"/>
  <c r="L65" i="9"/>
  <c r="M65" i="9" s="1"/>
  <c r="L63" i="9"/>
  <c r="M63" i="9" s="1"/>
  <c r="L66" i="9"/>
  <c r="M66" i="9" s="1"/>
  <c r="L64" i="9"/>
  <c r="M64" i="9" s="1"/>
  <c r="D107" i="9"/>
  <c r="D15" i="53"/>
  <c r="B31" i="72" s="1"/>
  <c r="C6" i="74"/>
  <c r="D123" i="9"/>
  <c r="D9" i="52" s="1"/>
  <c r="D8" i="52"/>
  <c r="C78" i="85" l="1"/>
  <c r="C73" i="85" s="1"/>
  <c r="C93" i="85"/>
  <c r="C86" i="85" s="1"/>
  <c r="C64" i="85"/>
  <c r="C63" i="85" s="1"/>
  <c r="C67" i="85" s="1"/>
  <c r="C72" i="85"/>
  <c r="D52" i="85"/>
  <c r="C85" i="85"/>
  <c r="C95" i="85" s="1"/>
  <c r="C96" i="85" s="1"/>
  <c r="E96" i="85" s="1"/>
  <c r="E97" i="85" s="1"/>
  <c r="D53" i="85"/>
  <c r="D55" i="85"/>
  <c r="M53" i="85" s="1"/>
  <c r="H108" i="85"/>
  <c r="D107" i="85" s="1"/>
  <c r="M49" i="85"/>
  <c r="D122" i="85"/>
  <c r="D123" i="85" s="1"/>
  <c r="R43" i="40"/>
  <c r="E42" i="40"/>
  <c r="G46" i="40"/>
  <c r="H46" i="40" s="1"/>
  <c r="G47" i="40"/>
  <c r="H47" i="40" s="1"/>
  <c r="C81" i="9"/>
  <c r="G51" i="39"/>
  <c r="H51" i="39" s="1"/>
  <c r="G52" i="39"/>
  <c r="H52" i="39" s="1"/>
  <c r="R48" i="39"/>
  <c r="E47" i="39"/>
  <c r="I52" i="39" s="1"/>
  <c r="J52" i="39" s="1"/>
  <c r="I51" i="39"/>
  <c r="J51" i="39" s="1"/>
  <c r="I47" i="40"/>
  <c r="J47" i="40" s="1"/>
  <c r="I46" i="40"/>
  <c r="J46" i="40" s="1"/>
  <c r="C97" i="9"/>
  <c r="D58" i="9" s="1"/>
  <c r="D56" i="9" s="1"/>
  <c r="M54" i="9" s="1"/>
  <c r="N57" i="9" s="1"/>
  <c r="N59" i="9" s="1"/>
  <c r="N61" i="9" s="1"/>
  <c r="M69" i="9"/>
  <c r="N69" i="9" s="1"/>
  <c r="C79" i="85" l="1"/>
  <c r="C80" i="85" s="1"/>
  <c r="E80" i="85" s="1"/>
  <c r="E81" i="85" s="1"/>
  <c r="C97" i="85"/>
  <c r="D58" i="85" s="1"/>
  <c r="D56" i="85" s="1"/>
  <c r="M54" i="85" s="1"/>
  <c r="D59" i="85"/>
  <c r="M55" i="85" s="1"/>
  <c r="C68" i="85"/>
  <c r="D54" i="85" s="1"/>
  <c r="C81" i="85"/>
  <c r="L68" i="85"/>
  <c r="M68" i="85" s="1"/>
  <c r="L63" i="85"/>
  <c r="M63" i="85" s="1"/>
  <c r="L65" i="85"/>
  <c r="M65" i="85" s="1"/>
  <c r="L67" i="85"/>
  <c r="M67" i="85" s="1"/>
  <c r="L66" i="85"/>
  <c r="M66" i="85" s="1"/>
  <c r="L64" i="85"/>
  <c r="M64" i="85" s="1"/>
  <c r="C48" i="39"/>
  <c r="C47" i="39"/>
  <c r="E47" i="40"/>
  <c r="F47" i="40" s="1"/>
  <c r="E46" i="40"/>
  <c r="F46" i="40" s="1"/>
  <c r="E52" i="39"/>
  <c r="F52" i="39" s="1"/>
  <c r="E51" i="39"/>
  <c r="F51" i="39" s="1"/>
  <c r="C43" i="40"/>
  <c r="C42" i="40"/>
  <c r="N60" i="9"/>
  <c r="P57" i="9"/>
  <c r="N58" i="9"/>
  <c r="N57" i="85" l="1"/>
  <c r="P57" i="85" s="1"/>
  <c r="M69" i="85"/>
  <c r="N69" i="85" s="1"/>
  <c r="B59" i="40"/>
  <c r="F59" i="40" s="1"/>
  <c r="B57" i="40"/>
  <c r="F57" i="40" s="1"/>
  <c r="B53" i="40"/>
  <c r="F53" i="40" s="1"/>
  <c r="B51" i="40"/>
  <c r="F51" i="40" s="1"/>
  <c r="B52" i="40"/>
  <c r="F52" i="40" s="1"/>
  <c r="B60" i="40"/>
  <c r="F60" i="40" s="1"/>
  <c r="B58" i="40"/>
  <c r="F58" i="40" s="1"/>
  <c r="B56" i="40"/>
  <c r="F56" i="40" s="1"/>
  <c r="F61" i="40"/>
  <c r="B2" i="40" s="1"/>
  <c r="B3" i="40" s="1"/>
  <c r="B54" i="40"/>
  <c r="F54" i="40" s="1"/>
  <c r="B63" i="39"/>
  <c r="F63" i="39" s="1"/>
  <c r="B61" i="39"/>
  <c r="F61" i="39" s="1"/>
  <c r="B58" i="39"/>
  <c r="F58" i="39" s="1"/>
  <c r="B56" i="39"/>
  <c r="F56" i="39" s="1"/>
  <c r="F65" i="39" s="1"/>
  <c r="B2" i="39" s="1"/>
  <c r="B3" i="39" s="1"/>
  <c r="B57" i="39"/>
  <c r="F57" i="39" s="1"/>
  <c r="B64" i="39"/>
  <c r="F64" i="39" s="1"/>
  <c r="B62" i="39"/>
  <c r="F62" i="39" s="1"/>
  <c r="B60" i="39"/>
  <c r="F60" i="39" s="1"/>
  <c r="B59" i="39"/>
  <c r="F59" i="39" s="1"/>
  <c r="N58" i="85" l="1"/>
  <c r="N59" i="85"/>
  <c r="N60" i="85" s="1"/>
  <c r="N61" i="85"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<sst xmlns="http://schemas.openxmlformats.org/spreadsheetml/2006/main" count="8852" uniqueCount="2816">
  <si>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</si>
  <si>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</si>
  <si>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</si>
  <si>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</si>
  <si>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</si>
  <si>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</si>
  <si>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</si>
  <si>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</si>
  <si>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</si>
  <si>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</si>
  <si>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</si>
  <si>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</si>
  <si>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</si>
  <si>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</si>
  <si>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</si>
  <si>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</si>
  <si>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</si>
  <si>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</si>
  <si>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</si>
  <si>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</si>
  <si>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</si>
  <si>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</si>
  <si>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</si>
  <si>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</si>
  <si>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</si>
  <si>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</si>
  <si>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</si>
  <si>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</si>
  <si>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</si>
  <si>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</si>
  <si>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</si>
  <si>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</si>
  <si>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</si>
  <si>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</si>
  <si>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</si>
  <si>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</si>
  <si>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</si>
  <si>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</si>
  <si>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</si>
  <si>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</si>
  <si>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</si>
  <si>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</si>
  <si>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</si>
  <si>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</si>
  <si>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</si>
  <si>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</si>
  <si>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</si>
  <si>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</si>
  <si>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</si>
  <si>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</si>
  <si>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</si>
  <si>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</si>
  <si>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</si>
  <si>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</si>
  <si>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</si>
  <si>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</si>
  <si>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</si>
  <si>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</si>
  <si>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</si>
  <si>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</si>
  <si>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</si>
  <si>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</si>
  <si>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</si>
  <si>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</si>
  <si>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</si>
  <si>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</si>
  <si>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</si>
  <si>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</si>
  <si>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</si>
  <si>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</si>
  <si>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</si>
  <si>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</si>
  <si>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</si>
  <si>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</si>
  <si>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</si>
  <si>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</si>
  <si>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</si>
  <si>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</si>
  <si>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</si>
  <si>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</si>
  <si>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</si>
  <si>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</si>
  <si>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</si>
  <si>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</si>
  <si>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</si>
  <si>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</si>
  <si>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</si>
  <si>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</si>
  <si>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</si>
  <si>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</si>
  <si>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</si>
  <si>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</si>
  <si>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</si>
  <si>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</si>
  <si>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</si>
  <si>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</si>
  <si>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</si>
  <si>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</si>
  <si>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</si>
  <si>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</si>
  <si>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</si>
  <si>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</si>
  <si>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</si>
  <si>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</si>
  <si>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</si>
  <si>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</si>
  <si>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</si>
  <si>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</si>
  <si>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</si>
  <si>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</si>
  <si>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</si>
  <si>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</si>
  <si>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</si>
  <si>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</si>
  <si>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</si>
  <si>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</si>
  <si>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</si>
  <si>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</si>
  <si>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</si>
  <si>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</si>
  <si>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</si>
  <si>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</si>
  <si>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</si>
  <si>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</si>
  <si>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</si>
  <si>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</si>
  <si>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</si>
  <si>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</si>
  <si>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</si>
  <si>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</si>
  <si>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</si>
  <si>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</si>
  <si>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</si>
  <si>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</si>
  <si>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</si>
  <si>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</si>
  <si>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</si>
  <si>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</si>
  <si>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</si>
  <si>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</si>
  <si>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</si>
  <si>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</si>
  <si>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</si>
  <si>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</si>
  <si>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</si>
  <si>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</si>
  <si>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</si>
  <si>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</si>
  <si>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</si>
  <si>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</si>
  <si>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</si>
  <si>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</si>
  <si>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</si>
  <si>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</si>
  <si>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</si>
  <si>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</si>
  <si>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</si>
  <si>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</si>
  <si>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</si>
  <si>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</si>
  <si>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</si>
  <si>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</si>
  <si>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</si>
  <si>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</si>
  <si>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</si>
  <si>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</si>
  <si>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</si>
  <si>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</si>
  <si>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</si>
  <si>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</si>
  <si>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</si>
  <si>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</si>
  <si>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</si>
  <si>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</si>
  <si>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</si>
  <si>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</si>
  <si>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</si>
  <si>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</si>
  <si>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</si>
  <si>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</si>
  <si>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</si>
  <si>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</si>
  <si>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</si>
  <si>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</si>
  <si>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</si>
  <si>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</si>
  <si>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</si>
  <si>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</si>
  <si>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</si>
  <si>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</si>
  <si>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</si>
  <si>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</si>
  <si>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</si>
  <si>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</si>
  <si>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</si>
  <si>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</si>
  <si>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</si>
  <si>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</si>
  <si>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</si>
  <si>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</si>
  <si>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</si>
  <si>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</si>
  <si>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</si>
  <si>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</si>
  <si>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</si>
  <si>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</si>
  <si>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</si>
  <si>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</si>
  <si>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</si>
  <si>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</si>
  <si>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</si>
  <si>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</si>
  <si>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</si>
  <si>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</si>
  <si>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</si>
  <si>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</si>
  <si>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</si>
  <si>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</si>
  <si>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</si>
  <si>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</si>
  <si>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</si>
  <si>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</si>
  <si>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</si>
  <si>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</si>
  <si>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</si>
  <si>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</si>
  <si>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</si>
  <si>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</si>
  <si>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</si>
  <si>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</si>
  <si>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</si>
  <si>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</si>
  <si>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</si>
  <si>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</si>
  <si>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</si>
  <si>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</si>
  <si>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</si>
  <si>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</si>
  <si>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</si>
  <si>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</si>
  <si>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</si>
  <si>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</si>
  <si>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</si>
  <si>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</si>
  <si>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</si>
  <si>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</si>
  <si>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</si>
  <si>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</si>
  <si>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</si>
  <si>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</si>
  <si>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</si>
  <si>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</si>
  <si>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</si>
  <si>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</si>
  <si>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</si>
  <si>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</si>
  <si>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</si>
  <si>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</si>
  <si>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</si>
  <si>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</si>
  <si>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</si>
  <si>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</si>
  <si>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</si>
  <si>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</si>
  <si>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</si>
  <si>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</si>
  <si>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</si>
  <si>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</si>
  <si>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</si>
  <si>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</si>
  <si>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</si>
  <si>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</si>
  <si>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</si>
  <si>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</si>
  <si>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</si>
  <si>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</si>
  <si>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</si>
  <si>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</si>
  <si>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</si>
  <si>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</si>
  <si>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</si>
  <si>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</si>
  <si>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</si>
  <si>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</si>
  <si>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</si>
  <si>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</si>
  <si>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</si>
  <si>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</si>
  <si>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</si>
  <si>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</si>
  <si>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</si>
  <si>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</si>
  <si>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</si>
  <si>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</si>
  <si>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</si>
  <si>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</si>
  <si>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</si>
  <si>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</si>
  <si>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</si>
  <si>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</si>
  <si>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</si>
  <si>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</si>
  <si>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</si>
  <si>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</si>
  <si>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</si>
  <si>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</si>
  <si>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</si>
  <si>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</si>
  <si>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</si>
  <si>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</si>
  <si>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</si>
  <si>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</si>
  <si>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</si>
  <si>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</si>
  <si>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</si>
  <si>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</si>
  <si>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</si>
  <si>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</si>
  <si>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</si>
  <si>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</si>
  <si>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</si>
  <si>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</si>
  <si>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</si>
  <si>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</si>
  <si>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</si>
  <si>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</si>
  <si>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</si>
  <si>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</si>
  <si>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</si>
  <si>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</si>
  <si>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</si>
  <si>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</si>
  <si>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</si>
  <si>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</si>
  <si>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</si>
  <si>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</si>
  <si>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</si>
  <si>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</si>
  <si>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</si>
  <si>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</si>
  <si>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</si>
  <si>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</si>
  <si>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</si>
  <si>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</si>
  <si>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</si>
  <si>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</si>
  <si>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</si>
  <si>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</si>
  <si>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</si>
  <si>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</si>
  <si>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</si>
  <si>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</si>
  <si>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</si>
  <si>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</si>
  <si>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</si>
  <si>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</si>
  <si>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</si>
  <si>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</si>
  <si>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</si>
  <si>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</si>
  <si>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</si>
  <si>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</si>
  <si>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</si>
  <si>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</si>
  <si>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</si>
  <si>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</si>
  <si>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</si>
  <si>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</si>
  <si>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</si>
  <si>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</si>
  <si>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</si>
  <si>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</si>
  <si>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</si>
  <si>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</si>
  <si>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</si>
  <si>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</si>
  <si>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</si>
  <si>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</si>
  <si>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</si>
  <si>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</si>
  <si>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</si>
  <si>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</si>
  <si>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</si>
  <si>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</si>
  <si>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</si>
  <si>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</si>
  <si>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</si>
  <si>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</si>
  <si>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</si>
  <si>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</si>
  <si>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</si>
  <si>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</si>
  <si>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</si>
  <si>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</si>
  <si>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</si>
  <si>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</si>
  <si>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</si>
  <si>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</si>
  <si>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</si>
  <si>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</si>
  <si>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</si>
  <si>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</si>
  <si>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</si>
  <si>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</si>
  <si>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</si>
  <si>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</si>
  <si>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</si>
  <si>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</si>
  <si>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</si>
  <si>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</si>
  <si>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</si>
  <si>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</si>
  <si>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</si>
  <si>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</si>
  <si>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</si>
  <si>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</si>
  <si>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</si>
  <si>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</si>
  <si>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</si>
  <si>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</si>
  <si>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</si>
  <si>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</si>
  <si>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</si>
  <si>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</si>
  <si>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</si>
  <si>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</si>
  <si>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</si>
  <si>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</si>
  <si>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</si>
  <si>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</si>
  <si>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</si>
  <si>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</si>
  <si>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</si>
  <si>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</si>
  <si>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</si>
  <si>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</si>
  <si>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</si>
  <si>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</si>
  <si>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</si>
  <si>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</si>
  <si>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</si>
  <si>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</si>
  <si>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</si>
  <si>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</si>
  <si>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</si>
  <si>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</si>
  <si>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</si>
  <si>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</si>
  <si>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</si>
  <si>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</si>
  <si>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</si>
  <si>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</si>
  <si>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</si>
  <si>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</si>
  <si>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</si>
  <si>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</si>
  <si>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</si>
  <si>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</si>
  <si>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</si>
  <si>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</si>
  <si>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</si>
  <si>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</si>
  <si>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</si>
  <si>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</si>
  <si>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</si>
  <si>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</si>
  <si>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</si>
  <si>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</si>
  <si>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</si>
  <si>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</si>
  <si>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</si>
  <si>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</si>
  <si>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</si>
  <si>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</si>
  <si>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</si>
  <si>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</si>
  <si>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</si>
  <si>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</si>
  <si>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</si>
  <si>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</si>
  <si>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</si>
  <si>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</si>
  <si>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</si>
  <si>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</si>
  <si>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</si>
  <si>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</si>
  <si>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</si>
  <si>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</si>
  <si>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</si>
  <si>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</si>
  <si>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</si>
  <si>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</si>
  <si>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</si>
  <si>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</si>
  <si>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</si>
  <si>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</si>
  <si>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</si>
  <si>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</si>
  <si>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</si>
  <si>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</si>
  <si>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</si>
  <si>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</si>
  <si>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</si>
  <si>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</si>
  <si>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</si>
  <si>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</si>
  <si>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</si>
  <si>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</si>
  <si>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</si>
  <si>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</si>
  <si>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</si>
  <si>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</si>
  <si>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</si>
  <si>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</si>
  <si>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</si>
  <si>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</si>
  <si>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</si>
  <si>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</si>
  <si>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</si>
  <si>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</si>
  <si>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</si>
  <si>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</si>
  <si>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</si>
  <si>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</si>
  <si>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</si>
  <si>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</si>
  <si>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</si>
  <si>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</si>
  <si>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</si>
  <si>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</si>
  <si>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</si>
  <si>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</si>
  <si>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</si>
  <si>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</si>
  <si>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</si>
  <si>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</si>
  <si>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</si>
  <si>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</si>
  <si>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</si>
  <si>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</si>
  <si>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</si>
  <si>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</si>
  <si>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</si>
  <si>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</si>
  <si>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</si>
  <si>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</si>
  <si>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</si>
  <si>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</si>
  <si>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</si>
  <si>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</si>
  <si>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</si>
  <si>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</si>
  <si>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</si>
  <si>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</si>
  <si>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</si>
  <si>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</si>
  <si>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</si>
  <si>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</si>
  <si>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</si>
  <si>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</si>
  <si>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</si>
  <si>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</si>
  <si>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</si>
  <si>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</si>
  <si>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</si>
  <si>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</si>
  <si>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</si>
  <si>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</si>
  <si>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</si>
  <si>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</si>
  <si>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</si>
  <si>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</si>
  <si>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</si>
  <si>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</si>
  <si>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</si>
  <si>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</si>
  <si>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</si>
  <si>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</si>
  <si>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</si>
  <si>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</si>
  <si>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</si>
  <si>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</si>
  <si>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</si>
  <si>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</si>
  <si>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</si>
  <si>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</si>
  <si>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</si>
  <si>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</si>
  <si>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</si>
  <si>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</si>
  <si>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</si>
  <si>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</si>
  <si>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</si>
  <si>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</si>
  <si>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</si>
  <si>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</si>
  <si>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</si>
  <si>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</si>
  <si>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</si>
  <si>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</si>
  <si>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</si>
  <si>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</si>
  <si>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</si>
  <si>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</si>
  <si>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</si>
  <si>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</si>
  <si>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</si>
  <si>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</si>
  <si>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</si>
  <si>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</si>
  <si>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</si>
  <si>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</si>
  <si>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</si>
  <si>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</si>
  <si>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</si>
  <si>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</si>
  <si>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</si>
  <si>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</si>
  <si>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</si>
  <si>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</si>
  <si>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</si>
  <si>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</si>
  <si>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</si>
  <si>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</si>
  <si>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</si>
  <si>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</si>
  <si>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</si>
  <si>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</si>
  <si>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</si>
  <si>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</si>
  <si>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</si>
  <si>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</si>
  <si>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</si>
  <si>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</si>
  <si>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</si>
  <si>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</si>
  <si>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</si>
  <si>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</si>
  <si>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</si>
  <si>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</si>
  <si>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</si>
  <si>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</si>
  <si>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</si>
  <si>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</si>
  <si>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</si>
  <si>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</si>
  <si>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</si>
  <si>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</si>
  <si>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</si>
  <si>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</si>
  <si>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</si>
  <si>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</si>
  <si>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</si>
  <si>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</si>
  <si>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</si>
  <si>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</si>
  <si>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</si>
  <si>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</si>
  <si>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</si>
  <si>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</si>
  <si>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</si>
  <si>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</si>
  <si>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</si>
  <si>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</si>
  <si>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</si>
  <si>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</si>
  <si>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</si>
  <si>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</si>
  <si>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</si>
  <si>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</si>
  <si>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</si>
  <si>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</si>
  <si>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</si>
  <si>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</si>
  <si>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</si>
  <si>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</si>
  <si>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</si>
  <si>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</si>
  <si>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</si>
  <si>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</si>
  <si>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</si>
  <si>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</si>
  <si>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</si>
  <si>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</si>
  <si>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</si>
  <si>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</si>
  <si>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</si>
  <si>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</si>
  <si>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</si>
  <si>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</si>
  <si>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</si>
  <si>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</si>
  <si>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</si>
  <si>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</si>
  <si>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</si>
  <si>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</si>
  <si>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</si>
  <si>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</si>
  <si>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</si>
  <si>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</si>
  <si>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</si>
  <si>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</si>
  <si>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</si>
  <si>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</si>
  <si>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</si>
  <si>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</si>
  <si>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</si>
  <si>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</si>
  <si>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</si>
  <si>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</si>
  <si>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</si>
  <si>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</si>
  <si>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</si>
  <si>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</si>
  <si>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</si>
  <si>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</si>
  <si>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</si>
  <si>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</si>
  <si>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</si>
  <si>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</si>
  <si>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</si>
  <si>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</si>
  <si>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</si>
  <si>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</si>
  <si>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</si>
  <si>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</si>
  <si>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</si>
  <si>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</si>
  <si>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</si>
  <si>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</si>
  <si>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</si>
  <si>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</si>
  <si>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</si>
  <si>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</si>
  <si>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</si>
  <si>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</si>
  <si>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</si>
  <si>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</si>
  <si>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</si>
  <si>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</si>
  <si>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</si>
  <si>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</si>
  <si>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</si>
  <si>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</si>
  <si>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</si>
  <si>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</si>
  <si>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</si>
  <si>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</si>
  <si>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</si>
  <si>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</si>
  <si>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</si>
  <si>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</si>
  <si>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</si>
  <si>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</si>
  <si>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</si>
  <si>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</si>
  <si>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</si>
  <si>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</si>
  <si>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</si>
  <si>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</si>
  <si>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</si>
  <si>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</si>
  <si>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</si>
  <si>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</si>
  <si>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</si>
  <si>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</si>
  <si>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</si>
  <si>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</si>
  <si>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</si>
  <si>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</si>
  <si>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</si>
  <si>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</si>
  <si>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</si>
  <si>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</si>
  <si>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</si>
  <si>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</si>
  <si>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</si>
  <si>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</si>
  <si>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</si>
  <si>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</si>
  <si>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</si>
  <si>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</si>
  <si>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</si>
  <si>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</si>
  <si>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</si>
  <si>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</si>
  <si>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</si>
  <si>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</si>
  <si>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</si>
  <si>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</si>
  <si>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</si>
  <si>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</si>
  <si>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</si>
  <si>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</si>
  <si>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</si>
  <si>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</si>
  <si>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</si>
  <si>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</si>
  <si>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</si>
  <si>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</si>
  <si>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</si>
  <si>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</si>
  <si>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</si>
  <si>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</si>
  <si>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</si>
  <si>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</si>
  <si>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</si>
  <si>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</si>
  <si>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</si>
  <si>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</si>
  <si>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</si>
  <si>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</si>
  <si>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</si>
  <si>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</si>
  <si>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</si>
  <si>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</si>
  <si>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</si>
  <si>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</si>
  <si>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</si>
  <si>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</si>
  <si>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</si>
  <si>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</si>
  <si>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</si>
  <si>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</si>
  <si>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</si>
  <si>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</si>
  <si>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</si>
  <si>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</si>
  <si>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</si>
  <si>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</si>
  <si>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</si>
  <si>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</si>
  <si>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</si>
  <si>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</si>
  <si>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</si>
  <si>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</si>
  <si>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</si>
  <si>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</si>
  <si>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</si>
  <si>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</si>
  <si>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</si>
  <si>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</si>
  <si>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</si>
  <si>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</si>
  <si>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</si>
  <si>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</si>
  <si>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</si>
  <si>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</si>
  <si>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</si>
  <si>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</si>
  <si>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</si>
  <si>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</si>
  <si>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</si>
  <si>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</si>
  <si>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</si>
  <si>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</si>
  <si>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</si>
  <si>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</si>
  <si>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</si>
  <si>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</si>
  <si>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</si>
  <si>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</si>
  <si>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</si>
  <si>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</si>
  <si>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</si>
  <si>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</si>
  <si>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</si>
  <si>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</si>
  <si>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</si>
  <si>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</si>
  <si>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</si>
  <si>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</si>
  <si>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</si>
  <si>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</si>
  <si>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</si>
  <si>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</si>
  <si>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</si>
  <si>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</si>
  <si>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</si>
  <si>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</si>
  <si>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</si>
  <si>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</si>
  <si>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</si>
  <si>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</si>
  <si>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</si>
  <si>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</si>
  <si>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</si>
  <si>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</si>
  <si>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</si>
  <si>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</si>
  <si>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</si>
  <si>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</si>
  <si>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</si>
  <si>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</si>
  <si>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</si>
  <si>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</si>
  <si>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</si>
  <si>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</si>
  <si>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</si>
  <si>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</si>
  <si>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</si>
  <si>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</si>
  <si>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</si>
  <si>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</si>
  <si>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</si>
  <si>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</si>
  <si>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</si>
  <si>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</si>
  <si>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</si>
  <si>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</si>
  <si>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</si>
  <si>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</si>
  <si>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</si>
  <si>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</si>
  <si>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</si>
  <si>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</si>
  <si>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</si>
  <si>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</si>
  <si>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</si>
  <si>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</si>
  <si>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</si>
  <si>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</si>
  <si>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</si>
  <si>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</si>
  <si>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</si>
  <si>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</si>
  <si>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</si>
  <si>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</si>
  <si>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</si>
  <si>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</si>
  <si>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</si>
  <si>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</si>
  <si>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</si>
  <si>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</si>
  <si>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</si>
  <si>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</si>
  <si>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</si>
  <si>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</si>
  <si>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</si>
  <si>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</si>
  <si>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</si>
  <si>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</si>
  <si>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</si>
  <si>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</si>
  <si>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</si>
  <si>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</si>
  <si>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</si>
  <si>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</si>
  <si>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</si>
  <si>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</si>
  <si>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</si>
  <si>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</si>
  <si>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</si>
  <si>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</si>
  <si>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</si>
  <si>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</si>
  <si>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</si>
  <si>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</si>
  <si>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</si>
  <si>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</si>
  <si>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</si>
  <si>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</si>
  <si>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</si>
  <si>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</si>
  <si>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</si>
  <si>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</si>
  <si>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</si>
  <si>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</si>
  <si>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</si>
  <si>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</si>
  <si>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</si>
  <si>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</si>
  <si>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</si>
  <si>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</si>
  <si>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</si>
  <si>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</si>
  <si>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</si>
  <si>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</si>
  <si>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</si>
  <si>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</si>
  <si>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</si>
  <si>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</si>
  <si>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</si>
  <si>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</si>
  <si>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</si>
  <si>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</si>
  <si>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</si>
  <si>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</si>
  <si>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</si>
  <si>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</si>
  <si>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</si>
  <si>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</si>
  <si>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</si>
  <si>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</si>
  <si>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</si>
  <si>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</si>
  <si>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</si>
  <si>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</si>
  <si>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</si>
  <si>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</si>
  <si>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</si>
  <si>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</si>
  <si>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</si>
  <si>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</si>
  <si>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</si>
  <si>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</si>
  <si>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</si>
  <si>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</si>
  <si>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</si>
  <si>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</si>
  <si>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</si>
  <si>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</si>
  <si>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</si>
  <si>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</si>
  <si>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</si>
  <si>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</si>
  <si>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</si>
  <si>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</si>
  <si>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</si>
  <si>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</si>
  <si>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</si>
  <si>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</si>
  <si>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</si>
  <si>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</si>
  <si>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</si>
  <si>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</si>
  <si>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</si>
  <si>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</si>
  <si>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</si>
  <si>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</si>
  <si>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</si>
  <si>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</si>
  <si>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</si>
  <si>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</si>
  <si>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</si>
  <si>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</si>
  <si>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</si>
  <si>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</si>
  <si>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</si>
  <si>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</si>
  <si>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</si>
  <si>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</si>
  <si>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</si>
  <si>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</si>
  <si>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</si>
  <si>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</si>
  <si>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</si>
  <si>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</si>
  <si>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</si>
  <si>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</si>
  <si>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</si>
  <si>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</si>
  <si>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</si>
  <si>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</si>
  <si>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</si>
  <si>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</si>
  <si>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</si>
  <si>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</si>
  <si>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</si>
  <si>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</si>
  <si>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</si>
  <si>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</si>
  <si>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</si>
  <si>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</si>
  <si>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</si>
  <si>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</si>
  <si>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</si>
  <si>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</si>
  <si>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</si>
  <si>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</si>
  <si>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</si>
  <si>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</si>
  <si>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</si>
  <si>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</si>
  <si>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</si>
  <si>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</si>
  <si>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</si>
  <si>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</si>
  <si>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</si>
  <si>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</si>
  <si>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</si>
  <si>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</si>
  <si>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</si>
  <si>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</si>
  <si>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</si>
  <si>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</si>
  <si>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</si>
  <si>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</si>
  <si>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</si>
  <si>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</si>
  <si>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</si>
  <si>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</si>
  <si>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</si>
  <si>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</si>
  <si>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</si>
  <si>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</si>
  <si>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</si>
  <si>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</si>
  <si>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</si>
  <si>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</si>
  <si>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</si>
  <si>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</si>
  <si>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</si>
  <si>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</si>
  <si>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</si>
  <si>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</si>
  <si>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</si>
  <si>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</si>
  <si>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</si>
  <si>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</si>
  <si>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</si>
  <si>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</si>
  <si>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</si>
  <si>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</si>
  <si>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</si>
  <si>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</si>
  <si>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</si>
  <si>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</si>
  <si>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</si>
  <si>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</si>
  <si>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</si>
  <si>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</si>
  <si>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</si>
  <si>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</si>
  <si>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</si>
  <si>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</si>
  <si>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</si>
  <si>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</si>
  <si>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</si>
  <si>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</si>
  <si>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</si>
  <si>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</si>
  <si>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</si>
  <si>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</si>
  <si>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</si>
  <si>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</si>
  <si>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</si>
  <si>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</si>
  <si>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</si>
  <si>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</si>
  <si>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</si>
  <si>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</si>
  <si>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</si>
  <si>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</si>
  <si>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</si>
  <si>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</si>
  <si>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</si>
  <si>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</si>
  <si>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</si>
  <si>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</si>
  <si>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</si>
  <si>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</si>
  <si>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</si>
  <si>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</si>
  <si>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</si>
  <si>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</si>
  <si>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</si>
  <si>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</si>
  <si>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</si>
  <si>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</si>
  <si>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</si>
  <si>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</si>
  <si>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</si>
  <si>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</si>
  <si>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</si>
  <si>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</si>
  <si>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</si>
  <si>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</si>
  <si>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</si>
  <si>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</si>
  <si>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</si>
  <si>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</si>
  <si>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</si>
  <si>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</si>
  <si>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</si>
  <si>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</si>
  <si>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</si>
  <si>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</si>
  <si>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</si>
  <si>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</si>
  <si>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</si>
  <si>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</si>
  <si>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</si>
  <si>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</si>
  <si>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</si>
  <si>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</si>
  <si>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</si>
  <si>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</si>
  <si>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</si>
  <si>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</si>
  <si>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</si>
  <si>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</si>
  <si>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</si>
  <si>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</si>
  <si>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</si>
  <si>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</si>
  <si>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</si>
  <si>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</si>
  <si>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</si>
  <si>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</si>
  <si>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</si>
  <si>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</si>
  <si>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</si>
  <si>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</si>
  <si>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</si>
  <si>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</si>
  <si>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</si>
  <si>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</si>
  <si>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</si>
  <si>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</si>
  <si>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</si>
  <si>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</si>
  <si>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</si>
  <si>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</si>
  <si>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</si>
  <si>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</si>
  <si>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</si>
  <si>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</si>
  <si>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</si>
  <si>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</si>
  <si>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</si>
  <si>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</si>
  <si>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</si>
  <si>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</si>
  <si>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</si>
  <si>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</si>
  <si>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</si>
  <si>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</si>
  <si>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</si>
  <si>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</si>
  <si>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</si>
  <si>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</si>
  <si>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</si>
  <si>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</si>
  <si>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</si>
  <si>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</si>
  <si>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</si>
  <si>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</si>
  <si>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</si>
  <si>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</si>
  <si>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</si>
  <si>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</si>
  <si>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</si>
  <si>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</si>
  <si>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</si>
  <si>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</si>
  <si>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</si>
  <si>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</si>
  <si>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</si>
  <si>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</si>
  <si>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</si>
  <si>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</si>
  <si>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</si>
  <si>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</si>
  <si>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</si>
  <si>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</si>
  <si>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</si>
  <si>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</si>
  <si>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</si>
  <si>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</si>
  <si>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</si>
  <si>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</si>
  <si>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</si>
  <si>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</si>
  <si>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</si>
  <si>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</si>
  <si>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</si>
  <si>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</si>
  <si>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</si>
  <si>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</si>
  <si>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</si>
  <si>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</si>
  <si>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</si>
  <si>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</si>
  <si>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</si>
  <si>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</si>
  <si>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</si>
  <si>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</si>
  <si>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</si>
  <si>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</si>
  <si>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</si>
  <si>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</si>
  <si>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</si>
  <si>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</si>
  <si>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</si>
  <si>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</si>
  <si>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</si>
  <si>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</si>
  <si>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</si>
  <si>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</si>
  <si>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</si>
  <si>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</si>
  <si>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</si>
  <si>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</si>
  <si>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</si>
  <si>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</si>
  <si>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</si>
  <si>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</si>
  <si>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</si>
  <si>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</si>
  <si>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</si>
  <si>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</si>
  <si>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</si>
  <si>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</si>
  <si>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</si>
  <si>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</si>
  <si>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</si>
  <si>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</si>
  <si>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</si>
  <si>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</si>
  <si>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</si>
  <si>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</si>
  <si>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</si>
  <si>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</si>
  <si>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</si>
  <si>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</si>
  <si>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</si>
  <si>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</si>
  <si>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</si>
  <si>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</si>
  <si>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</si>
  <si>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</si>
  <si>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</si>
  <si>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</si>
  <si>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</si>
  <si>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</si>
  <si>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</si>
  <si>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</si>
  <si>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</si>
  <si>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</si>
  <si>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</si>
  <si>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</si>
  <si>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</si>
  <si>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</si>
  <si>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</si>
  <si>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</si>
  <si>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</si>
  <si>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</si>
  <si>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</si>
  <si>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</si>
  <si>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</si>
  <si>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</si>
  <si>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</si>
  <si>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</si>
  <si>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</si>
  <si>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</si>
  <si>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</si>
  <si>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</si>
  <si>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</si>
  <si>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</si>
  <si>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</si>
  <si>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</si>
  <si>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</si>
  <si>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</si>
  <si>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</si>
  <si>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</si>
  <si>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</si>
  <si>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</si>
  <si>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</si>
  <si>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</si>
  <si>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</si>
  <si>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</si>
  <si>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</si>
  <si>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</si>
  <si>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</si>
  <si>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</si>
  <si>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</si>
  <si>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</si>
  <si>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</si>
  <si>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</si>
  <si>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</si>
  <si>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</si>
  <si>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</si>
  <si>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</si>
  <si>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</si>
  <si>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</si>
  <si>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</si>
  <si>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</si>
  <si>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</si>
  <si>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</si>
  <si>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</si>
  <si>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</si>
  <si>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</si>
  <si>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</si>
  <si>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</si>
  <si>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</si>
  <si>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融科创意产业中心</t>
  </si>
  <si>
    <t>绿地环球金融城</t>
  </si>
  <si>
    <t>华远中心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</si>
  <si>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</si>
  <si>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</si>
  <si>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</si>
  <si>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</si>
  <si>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</si>
  <si>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</si>
  <si>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</si>
  <si>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</si>
  <si>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</si>
  <si>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</si>
  <si>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</si>
  <si>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</si>
  <si>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</si>
  <si>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</si>
  <si>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</si>
  <si>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</si>
  <si>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</si>
  <si>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</si>
  <si>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</si>
  <si>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</si>
  <si>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</si>
  <si>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</si>
  <si>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</si>
  <si>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</si>
  <si>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</si>
  <si>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</si>
  <si>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</si>
  <si>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</si>
  <si>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</si>
  <si>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</si>
  <si>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</si>
  <si>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</si>
  <si>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</si>
  <si>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</si>
  <si>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</si>
  <si>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</si>
  <si>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</si>
  <si>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</si>
  <si>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</si>
  <si>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</si>
  <si>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</si>
  <si>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</si>
  <si>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</si>
  <si>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</si>
  <si>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</si>
  <si>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</si>
  <si>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</si>
  <si>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</si>
  <si>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</si>
  <si>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</si>
  <si>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</si>
  <si>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</si>
  <si>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</si>
  <si>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</si>
  <si>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</si>
  <si>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</si>
  <si>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</si>
  <si>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</si>
  <si>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</si>
  <si>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</si>
  <si>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</si>
  <si>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</si>
  <si>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</si>
  <si>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</si>
  <si>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</si>
  <si>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</si>
  <si>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</si>
  <si>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</si>
  <si>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</si>
  <si>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</si>
  <si>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</si>
  <si>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</si>
  <si>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t>标准层高</t>
  </si>
  <si>
    <t>超高层高</t>
  </si>
  <si>
    <r>
      <rPr>
        <sz val="11"/>
        <color indexed="8"/>
        <rFont val="宋体"/>
        <family val="3"/>
        <charset val="134"/>
      </rPr>
      <t>单套建筑面积</t>
    </r>
  </si>
  <si>
    <t>普装</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</si>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</sst>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2"/>
      <color indexed="8"/>
      <name val="宋体"/>
      <family val="3"/>
      <charset val="134"/>
    </font>
    <font>
      <sz val="10"/>
      <color indexed="53"/>
      <name val="宋体"/>
      <family val="3"/>
      <charset val="134"/>
    </font>
    <font>
      <sz val="11"/>
      <color theme="1"/>
      <name val="宋体"/>
      <family val="3"/>
      <charset val="134"/>
    </font>
    <font>
      <b/>
      <sz val="11"/>
      <color indexed="8"/>
      <name val="宋体"/>
      <family val="3"/>
      <charset val="134"/>
    </font>
    <font>
      <b/>
      <sz val="12"/>
      <color indexed="8"/>
      <name val="宋体"/>
      <family val="3"/>
      <charset val="134"/>
    </font>
    <font>
      <sz val="14"/>
      <color theme="1"/>
      <name val="宋体"/>
      <family val="3"/>
      <charset val="134"/>
    </font>
    <font>
      <b/>
      <i/>
      <sz val="14"/>
      <color theme="3" tint="0.39982299264503923"/>
      <name val="宋体"/>
      <family val="3"/>
      <charset val="134"/>
    </font>
    <font>
      <sz val="10"/>
      <color theme="9" tint="-0.249977111117893"/>
      <name val="宋体"/>
      <family val="3"/>
      <charset val="134"/>
    </font>
    <font>
      <vertAlign val="subscript"/>
      <sz val="10"/>
      <color theme="1"/>
      <name val="Arial"/>
      <family val="2"/>
    </font>
    <font>
      <i/>
      <sz val="10"/>
      <color indexed="8"/>
      <name val="宋体"/>
      <family val="3"/>
      <charset val="134"/>
    </font>
    <font>
      <sz val="10"/>
      <color rgb="FF000000"/>
      <name val="宋体"/>
      <family val="3"/>
      <charset val="134"/>
    </font>
    <font>
      <b/>
      <sz val="10"/>
      <color indexed="53"/>
      <name val="宋体"/>
      <family val="3"/>
      <charset val="134"/>
    </font>
    <font>
      <b/>
      <sz val="16"/>
      <color indexed="10"/>
      <name val="宋体"/>
      <family val="3"/>
      <charset val="134"/>
    </font>
    <font>
      <b/>
      <sz val="10"/>
      <color indexed="8"/>
      <name val="宋体"/>
      <family val="3"/>
      <charset val="134"/>
    </font>
    <font>
      <b/>
      <sz val="11"/>
      <name val="宋体"/>
      <family val="3"/>
      <charset val="134"/>
    </font>
    <font>
      <b/>
      <vertAlign val="subscript"/>
      <sz val="10"/>
      <name val="宋体"/>
      <family val="3"/>
      <charset val="134"/>
    </font>
    <font>
      <b/>
      <vertAlign val="subscript"/>
      <sz val="10"/>
      <name val="Arial"/>
      <family val="2"/>
    </font>
    <font>
      <sz val="10"/>
      <color rgb="FFFF0000"/>
      <name val="楷体_GB2312"/>
      <family val="3"/>
      <charset val="134"/>
    </font>
    <font>
      <b/>
      <sz val="14"/>
      <color rgb="FFFF0000"/>
      <name val="宋体"/>
      <family val="3"/>
      <charset val="134"/>
    </font>
    <font>
      <sz val="14"/>
      <color rgb="FF000000"/>
      <name val="宋体"/>
      <family val="3"/>
      <charset val="134"/>
    </font>
    <font>
      <b/>
      <sz val="11"/>
      <color indexed="10"/>
      <name val="宋体"/>
      <family val="3"/>
      <charset val="134"/>
    </font>
    <font>
      <sz val="12"/>
      <color rgb="FF000000"/>
      <name val="宋体"/>
      <family val="3"/>
      <charset val="134"/>
    </font>
    <font>
      <sz val="8"/>
      <color indexed="8"/>
      <name val="仿宋_GB2312"/>
      <charset val="134"/>
    </font>
    <font>
      <vertAlign val="superscript"/>
      <sz val="10"/>
      <color indexed="8"/>
      <name val="Arial"/>
      <family val="2"/>
    </font>
    <font>
      <sz val="11"/>
      <color indexed="53"/>
      <name val="宋体"/>
      <family val="3"/>
      <charset val="134"/>
    </font>
    <font>
      <i/>
      <sz val="11"/>
      <color theme="3" tint="0.39982299264503923"/>
      <name val="宋体"/>
      <family val="3"/>
      <charset val="134"/>
    </font>
    <font>
      <b/>
      <sz val="14"/>
      <color rgb="FF000000"/>
      <name val="宋体"/>
      <family val="3"/>
      <charset val="134"/>
    </font>
    <font>
      <b/>
      <sz val="11"/>
      <color rgb="FFFF0000"/>
      <name val="宋体"/>
      <family val="3"/>
      <charset val="134"/>
    </font>
    <font>
      <b/>
      <sz val="10"/>
      <color indexed="10"/>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b/>
      <sz val="14"/>
      <color indexed="10"/>
      <name val="宋体"/>
      <family val="3"/>
      <charset val="134"/>
      <scheme val="minor"/>
    </font>
    <font>
      <sz val="12"/>
      <color theme="9" tint="-0.249977111117893"/>
      <name val="宋体"/>
      <family val="3"/>
      <charset val="134"/>
    </font>
    <font>
      <sz val="10"/>
      <color indexed="10"/>
      <name val="宋体"/>
      <family val="3"/>
      <charset val="134"/>
    </font>
    <font>
      <b/>
      <i/>
      <sz val="10"/>
      <color rgb="FFFF0000"/>
      <name val="宋体"/>
      <family val="3"/>
      <charset val="134"/>
    </font>
    <font>
      <sz val="9"/>
      <color indexed="8"/>
      <name val="仿宋_GB2312"/>
      <charset val="134"/>
    </font>
    <font>
      <sz val="12"/>
      <color theme="1"/>
      <name val="宋体"/>
      <family val="3"/>
      <charset val="134"/>
    </font>
    <font>
      <sz val="10"/>
      <color indexed="8"/>
      <name val="楷体_GB2312"/>
      <family val="3"/>
      <charset val="134"/>
    </font>
    <font>
      <sz val="10"/>
      <color rgb="FF707070"/>
      <name val="宋体"/>
      <family val="3"/>
      <charset val="134"/>
    </font>
    <font>
      <b/>
      <sz val="18"/>
      <color indexed="10"/>
      <name val="΢ȭхڬˎ̥"/>
      <charset val="134"/>
    </font>
    <font>
      <sz val="11"/>
      <color indexed="10"/>
      <name val="宋体"/>
      <family val="3"/>
      <charset val="134"/>
    </font>
    <font>
      <i/>
      <sz val="14"/>
      <color theme="3" tint="0.39982299264503923"/>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b/>
      <sz val="10"/>
      <color indexed="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sz val="16"/>
      <color indexed="10"/>
      <name val="楷体_GB2312"/>
      <family val="3"/>
      <charset val="134"/>
    </font>
    <font>
      <b/>
      <i/>
      <sz val="11"/>
      <color theme="3" tint="0.39982299264503923"/>
      <name val="宋体"/>
      <family val="3"/>
      <charset val="134"/>
    </font>
    <font>
      <sz val="14"/>
      <color theme="9" tint="-0.249977111117893"/>
      <name val="宋体"/>
      <family val="3"/>
      <charset val="134"/>
    </font>
    <font>
      <vertAlign val="superscript"/>
      <sz val="10"/>
      <color theme="1"/>
      <name val="宋体"/>
      <family val="3"/>
      <charset val="134"/>
    </font>
    <font>
      <sz val="9"/>
      <color indexed="8"/>
      <name val="宋体"/>
      <family val="3"/>
      <charset val="134"/>
    </font>
    <font>
      <b/>
      <sz val="12"/>
      <color rgb="FF000000"/>
      <name val="宋体"/>
      <family val="3"/>
      <charset val="134"/>
    </font>
    <font>
      <i/>
      <sz val="10"/>
      <name val="楷体_GB2312"/>
      <family val="3"/>
      <charset val="134"/>
    </font>
    <font>
      <i/>
      <sz val="10"/>
      <name val="宋体"/>
      <family val="3"/>
      <charset val="134"/>
    </font>
    <font>
      <sz val="8"/>
      <color indexed="8"/>
      <name val="宋体"/>
      <family val="3"/>
      <charset val="134"/>
    </font>
    <font>
      <vertAlign val="superscript"/>
      <sz val="10"/>
      <color theme="1"/>
      <name val="Arial"/>
      <family val="2"/>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0" fontId="150" fillId="0" borderId="0"/>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1" fillId="0" borderId="0">
      <alignment vertical="center"/>
    </xf>
    <xf numFmtId="0" fontId="151" fillId="0" borderId="0">
      <alignment vertical="center"/>
    </xf>
    <xf numFmtId="0" fontId="151" fillId="0" borderId="0">
      <alignment vertical="center"/>
    </xf>
    <xf numFmtId="0" fontId="115" fillId="0" borderId="0">
      <alignment vertical="center"/>
    </xf>
    <xf numFmtId="0" fontId="151" fillId="0" borderId="0">
      <alignment vertical="center"/>
    </xf>
    <xf numFmtId="0" fontId="115" fillId="0" borderId="0"/>
  </cellStyleXfs>
  <cellXfs count="3516">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7"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78"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79"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7"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0" fontId="21" fillId="6" borderId="39" xfId="14" applyNumberFormat="1" applyFont="1" applyFill="1" applyBorder="1" applyAlignment="1">
      <alignment horizontal="left" vertical="center" wrapText="1"/>
    </xf>
    <xf numFmtId="180"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7"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0" fontId="21" fillId="6" borderId="47" xfId="14" applyNumberFormat="1" applyFont="1" applyFill="1" applyBorder="1" applyAlignment="1">
      <alignment horizontal="left" vertical="center" wrapText="1"/>
    </xf>
    <xf numFmtId="180" fontId="21" fillId="6" borderId="52"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7"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2"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2"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3" fontId="23" fillId="0" borderId="0" xfId="14" applyNumberFormat="1" applyFont="1" applyAlignment="1">
      <alignment horizontal="left" vertical="center"/>
    </xf>
    <xf numFmtId="183" fontId="23" fillId="0" borderId="33" xfId="14" applyNumberFormat="1" applyFont="1" applyBorder="1" applyAlignment="1">
      <alignment horizontal="left" vertical="center"/>
    </xf>
    <xf numFmtId="177"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3"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7"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7"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7"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7"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7"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7"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7"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7"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0" fontId="56" fillId="0" borderId="45" xfId="10" applyFont="1" applyBorder="1">
      <alignmen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20" xfId="10" applyNumberFormat="1" applyFont="1" applyFill="1" applyBorder="1" applyAlignment="1">
      <alignment horizontal="left" vertical="center"/>
    </xf>
    <xf numFmtId="186" fontId="57" fillId="2" borderId="21"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0" fontId="6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79"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0"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6"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13"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0"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177" fontId="23" fillId="0" borderId="7" xfId="6" applyNumberFormat="1" applyFont="1" applyBorder="1" applyAlignment="1" applyProtection="1">
      <alignment horizontal="left" vertical="center"/>
      <protection locked="0" hidden="1"/>
    </xf>
    <xf numFmtId="177" fontId="23" fillId="0" borderId="8" xfId="6" applyNumberFormat="1" applyFont="1" applyBorder="1" applyAlignment="1" applyProtection="1">
      <alignment horizontal="left" vertical="center"/>
      <protection locked="0" hidden="1"/>
    </xf>
    <xf numFmtId="177"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3"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0" fontId="34" fillId="2" borderId="111"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7"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7" fontId="34" fillId="2" borderId="7" xfId="11" applyNumberFormat="1" applyFont="1" applyFill="1" applyBorder="1" applyAlignment="1" applyProtection="1">
      <alignment horizontal="left" vertical="center"/>
      <protection locked="0"/>
    </xf>
    <xf numFmtId="177" fontId="29" fillId="0" borderId="8"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45" xfId="11" applyNumberFormat="1" applyFont="1" applyFill="1" applyBorder="1" applyAlignment="1">
      <alignment horizontal="left" vertical="center"/>
    </xf>
    <xf numFmtId="181"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177"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11"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5"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5"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5"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6"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181" fontId="29" fillId="2" borderId="155"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left" vertical="center"/>
    </xf>
    <xf numFmtId="177" fontId="29" fillId="2" borderId="7" xfId="11" applyNumberFormat="1" applyFont="1" applyFill="1" applyBorder="1" applyAlignment="1" applyProtection="1">
      <alignment horizontal="left" vertical="center"/>
      <protection locked="0"/>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5"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6" xfId="11" applyNumberFormat="1" applyFont="1" applyBorder="1" applyAlignment="1" applyProtection="1">
      <alignment horizontal="left" vertical="center"/>
      <protection locked="0"/>
    </xf>
    <xf numFmtId="186" fontId="29" fillId="0" borderId="156" xfId="11" applyNumberFormat="1" applyFont="1" applyBorder="1" applyAlignment="1" applyProtection="1">
      <alignment horizontal="left" vertical="center"/>
      <protection locked="0"/>
    </xf>
    <xf numFmtId="186" fontId="29" fillId="0" borderId="99"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94" fillId="0" borderId="0" xfId="11" applyFont="1" applyAlignment="1">
      <alignment horizontal="left"/>
    </xf>
    <xf numFmtId="0" fontId="6" fillId="2" borderId="27" xfId="11"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6" applyFont="1" applyFill="1" applyBorder="1">
      <alignment vertical="center"/>
    </xf>
    <xf numFmtId="49" fontId="48" fillId="2" borderId="0" xfId="6" applyNumberFormat="1" applyFont="1" applyFill="1" applyAlignment="1">
      <alignment horizontal="right" vertical="center"/>
    </xf>
    <xf numFmtId="187"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pplyAlignment="1">
      <alignment horizontal="center" vertical="center"/>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7"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7" fontId="54" fillId="2" borderId="7" xfId="6" applyNumberFormat="1" applyFont="1" applyFill="1" applyBorder="1" applyAlignment="1">
      <alignment horizontal="center" vertical="center"/>
    </xf>
    <xf numFmtId="177" fontId="54" fillId="2" borderId="7" xfId="6" applyNumberFormat="1" applyFont="1" applyFill="1" applyBorder="1">
      <alignment vertical="center"/>
    </xf>
    <xf numFmtId="0" fontId="54" fillId="2" borderId="50"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6" applyFont="1" applyFill="1" applyBorder="1">
      <alignment vertical="center"/>
    </xf>
    <xf numFmtId="177" fontId="84" fillId="2" borderId="7" xfId="6" applyNumberFormat="1" applyFont="1" applyFill="1" applyBorder="1" applyAlignment="1">
      <alignment horizontal="center" vertical="center"/>
    </xf>
    <xf numFmtId="0" fontId="84" fillId="2" borderId="7" xfId="6" applyFont="1" applyFill="1" applyBorder="1">
      <alignment vertical="center"/>
    </xf>
    <xf numFmtId="177"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6"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115"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115" fillId="2" borderId="7" xfId="19" applyFill="1" applyBorder="1" applyAlignment="1">
      <alignment horizontal="left"/>
    </xf>
    <xf numFmtId="9" fontId="115" fillId="7" borderId="7" xfId="19" applyNumberFormat="1" applyFill="1" applyBorder="1" applyAlignment="1" applyProtection="1">
      <alignment horizontal="left"/>
      <protection locked="0"/>
    </xf>
    <xf numFmtId="0" fontId="115"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15" fillId="0" borderId="7" xfId="19"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5" xfId="6" applyFont="1" applyFill="1" applyBorder="1" applyAlignment="1">
      <alignment vertical="center" wrapText="1"/>
    </xf>
    <xf numFmtId="183" fontId="63" fillId="2" borderId="3" xfId="6"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79"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5" xfId="6" applyFont="1" applyFill="1" applyBorder="1" applyAlignment="1">
      <alignment horizontal="center" vertical="center" wrapText="1"/>
    </xf>
    <xf numFmtId="0" fontId="71" fillId="2" borderId="3" xfId="6" applyFont="1" applyFill="1" applyBorder="1" applyAlignment="1">
      <alignment horizontal="center" vertical="center" wrapText="1"/>
    </xf>
    <xf numFmtId="0" fontId="71" fillId="2" borderId="24"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177" fontId="54" fillId="2" borderId="6" xfId="6" applyNumberFormat="1" applyFont="1" applyFill="1" applyBorder="1" applyAlignment="1">
      <alignment horizontal="left" vertical="center"/>
    </xf>
    <xf numFmtId="177" fontId="71" fillId="2" borderId="7" xfId="6" applyNumberFormat="1" applyFont="1" applyFill="1" applyBorder="1">
      <alignment vertical="center"/>
    </xf>
    <xf numFmtId="177" fontId="71" fillId="15" borderId="13" xfId="6" applyNumberFormat="1" applyFont="1" applyFill="1" applyBorder="1" applyProtection="1">
      <alignment vertical="center"/>
      <protection locked="0"/>
    </xf>
    <xf numFmtId="177" fontId="54" fillId="2" borderId="6" xfId="6"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6" applyNumberFormat="1" applyFont="1" applyFill="1" applyBorder="1" applyAlignment="1">
      <alignment horizontal="center" vertical="center"/>
    </xf>
    <xf numFmtId="183" fontId="6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6" applyNumberFormat="1" applyFont="1" applyFill="1" applyBorder="1" applyAlignment="1">
      <alignment horizontal="center" vertical="center"/>
    </xf>
    <xf numFmtId="177"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6"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6"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6" applyNumberFormat="1" applyFont="1" applyFill="1" applyBorder="1" applyAlignment="1" applyProtection="1">
      <alignment horizontal="left" vertical="center" wrapText="1"/>
      <protection locked="0"/>
    </xf>
    <xf numFmtId="177" fontId="71" fillId="2" borderId="13" xfId="6"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1" fontId="84" fillId="2" borderId="10" xfId="6" applyNumberFormat="1" applyFont="1" applyFill="1" applyBorder="1">
      <alignment vertical="center"/>
    </xf>
    <xf numFmtId="0" fontId="84" fillId="2" borderId="11" xfId="6" applyFont="1" applyFill="1" applyBorder="1">
      <alignment vertical="center"/>
    </xf>
    <xf numFmtId="186"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6" applyNumberFormat="1" applyFont="1" applyFill="1" applyBorder="1" applyAlignment="1">
      <alignment horizontal="center" vertical="center"/>
    </xf>
    <xf numFmtId="179"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6" applyNumberFormat="1" applyFont="1" applyFill="1" applyBorder="1" applyAlignment="1">
      <alignment vertical="center" wrapText="1"/>
    </xf>
    <xf numFmtId="186" fontId="63" fillId="0" borderId="5" xfId="6"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6" applyNumberFormat="1" applyFont="1" applyFill="1" applyBorder="1" applyAlignment="1">
      <alignment vertical="center" wrapText="1"/>
    </xf>
    <xf numFmtId="186" fontId="71" fillId="0" borderId="8" xfId="6"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6" applyNumberFormat="1" applyFont="1" applyFill="1" applyBorder="1" applyAlignment="1">
      <alignment vertical="center" wrapText="1"/>
    </xf>
    <xf numFmtId="186" fontId="63" fillId="2" borderId="8" xfId="6" applyNumberFormat="1" applyFont="1" applyFill="1" applyBorder="1" applyAlignment="1">
      <alignment horizontal="center" vertical="center"/>
    </xf>
    <xf numFmtId="186" fontId="63" fillId="2" borderId="9" xfId="6" applyNumberFormat="1" applyFont="1" applyFill="1" applyBorder="1" applyAlignment="1">
      <alignment vertical="center" wrapText="1"/>
    </xf>
    <xf numFmtId="186"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6"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6" applyNumberFormat="1" applyFont="1" applyFill="1" applyBorder="1" applyAlignment="1">
      <alignment horizontal="center" vertical="center"/>
    </xf>
    <xf numFmtId="186" fontId="64" fillId="2" borderId="83" xfId="6" applyNumberFormat="1" applyFont="1" applyFill="1" applyBorder="1" applyAlignment="1">
      <alignment horizontal="center" vertical="center"/>
    </xf>
    <xf numFmtId="186"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6"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6"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6"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73" xfId="12" applyFont="1" applyFill="1" applyBorder="1" applyAlignment="1">
      <alignment horizontal="left" vertical="center"/>
    </xf>
    <xf numFmtId="194" fontId="128" fillId="0" borderId="7" xfId="12" applyNumberFormat="1" applyFont="1" applyBorder="1" applyAlignment="1">
      <alignment horizontal="left" vertical="center"/>
    </xf>
    <xf numFmtId="194" fontId="129" fillId="0" borderId="13" xfId="12" applyNumberFormat="1" applyFont="1" applyBorder="1" applyAlignment="1">
      <alignment horizontal="left" vertical="center"/>
    </xf>
    <xf numFmtId="0" fontId="128" fillId="0" borderId="174" xfId="12" applyFont="1" applyBorder="1" applyAlignment="1">
      <alignment horizontal="left" vertical="center"/>
    </xf>
    <xf numFmtId="189" fontId="128" fillId="0" borderId="7" xfId="12" applyNumberFormat="1" applyFont="1" applyBorder="1" applyAlignment="1">
      <alignment horizontal="left" vertical="center"/>
    </xf>
    <xf numFmtId="0" fontId="129" fillId="0" borderId="7" xfId="12" applyFont="1" applyBorder="1" applyAlignment="1">
      <alignment horizontal="left" vertical="center"/>
    </xf>
    <xf numFmtId="194" fontId="128" fillId="0" borderId="13" xfId="12" applyNumberFormat="1" applyFont="1" applyBorder="1" applyAlignment="1">
      <alignment horizontal="left" vertical="center"/>
    </xf>
    <xf numFmtId="0" fontId="129" fillId="0" borderId="0" xfId="12" applyFont="1" applyAlignment="1">
      <alignment horizontal="left" vertical="center"/>
    </xf>
    <xf numFmtId="0" fontId="127" fillId="0" borderId="7" xfId="12" applyFont="1" applyBorder="1" applyAlignment="1">
      <alignment horizontal="left" vertical="center"/>
    </xf>
    <xf numFmtId="0" fontId="125" fillId="0" borderId="7" xfId="12" applyFont="1" applyBorder="1" applyAlignment="1">
      <alignment horizontal="left" vertical="center"/>
    </xf>
    <xf numFmtId="189" fontId="128" fillId="0" borderId="13" xfId="12" applyNumberFormat="1" applyFont="1" applyBorder="1" applyAlignment="1">
      <alignment horizontal="left" vertical="center"/>
    </xf>
    <xf numFmtId="0" fontId="125" fillId="0" borderId="174" xfId="12" applyFont="1" applyBorder="1" applyAlignment="1">
      <alignment horizontal="left" vertical="center"/>
    </xf>
    <xf numFmtId="0" fontId="130" fillId="0" borderId="7" xfId="12"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31" fillId="0" borderId="0" xfId="1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6" fillId="0" borderId="13" xfId="17" applyFont="1" applyBorder="1" applyAlignment="1">
      <alignment vertical="center" wrapText="1"/>
    </xf>
    <xf numFmtId="0" fontId="110"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2" applyFont="1">
      <alignment vertical="center"/>
    </xf>
    <xf numFmtId="0" fontId="115" fillId="0" borderId="0" xfId="12">
      <alignment vertical="center"/>
    </xf>
    <xf numFmtId="0" fontId="148" fillId="0" borderId="0" xfId="12" applyFont="1" applyAlignment="1">
      <alignment vertical="top" wrapText="1"/>
    </xf>
    <xf numFmtId="0" fontId="149" fillId="0" borderId="0" xfId="12"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8"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8" applyFont="1" applyBorder="1" applyAlignment="1">
      <alignment horizontal="left" vertical="center" wrapText="1"/>
    </xf>
    <xf numFmtId="0" fontId="73" fillId="0" borderId="2" xfId="0" applyFont="1" applyBorder="1" applyAlignment="1">
      <alignment horizontal="left" vertical="center"/>
    </xf>
    <xf numFmtId="0" fontId="123" fillId="0" borderId="137" xfId="18" applyFont="1" applyBorder="1" applyAlignment="1">
      <alignment vertical="center" wrapText="1"/>
    </xf>
    <xf numFmtId="0" fontId="123" fillId="0" borderId="137" xfId="0" applyFont="1" applyBorder="1" applyAlignment="1">
      <alignment horizontal="left" vertical="center"/>
    </xf>
    <xf numFmtId="0" fontId="123" fillId="0" borderId="7" xfId="18" applyFont="1" applyBorder="1" applyAlignment="1">
      <alignment vertical="center" wrapText="1"/>
    </xf>
    <xf numFmtId="0" fontId="123" fillId="0" borderId="7" xfId="0" applyFont="1" applyBorder="1" applyAlignment="1">
      <alignment horizontal="left" vertical="center"/>
    </xf>
    <xf numFmtId="0" fontId="123" fillId="0" borderId="2" xfId="18"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8"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2" applyFont="1" applyAlignment="1">
      <alignment horizontal="left" vertical="top" wrapText="1"/>
    </xf>
    <xf numFmtId="0" fontId="75" fillId="0" borderId="12" xfId="17" applyFont="1" applyBorder="1" applyAlignment="1">
      <alignment horizontal="left" vertical="center" wrapText="1"/>
    </xf>
    <xf numFmtId="0" fontId="75" fillId="0" borderId="29"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29"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30" fillId="6" borderId="46"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9" fontId="54" fillId="17" borderId="7" xfId="0" applyNumberFormat="1" applyFont="1" applyFill="1" applyBorder="1" applyAlignment="1" applyProtection="1">
      <alignment horizontal="center" vertical="center" shrinkToFit="1"/>
      <protection locked="0"/>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估价对象为北京市房地产，为所有。根据《国有土地使用证》[]，估价对象（分摊）出让国有建设用地使用权面积为0平方米，建筑面积为296平方米。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估价对象为北京市房地产,属开发建设的办公项目，该项目尚在开发建设中。根据《国有土地使用证》[]，估价对象（分摊）出让国有建设用地使用权面积为0平方米，规划建筑面积为296平方米。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2025年11月20日（评估专业人员实地查勘之日）</v>
      </c>
    </row>
    <row r="13" spans="1:2">
      <c r="A13" s="3169" t="s">
        <v>13</v>
      </c>
      <c r="B13" s="317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762</v>
      </c>
    </row>
    <row r="21" spans="1:2">
      <c r="A21" s="3169" t="s">
        <v>21</v>
      </c>
      <c r="B21" s="3170">
        <f ca="1">'预评函-2'!D7</f>
        <v>25738</v>
      </c>
    </row>
    <row r="22" spans="1:2">
      <c r="A22" s="3169" t="s">
        <v>22</v>
      </c>
      <c r="B22" s="3170" t="str">
        <f ca="1">'预评函-2'!D6</f>
        <v>柒佰陆拾贰万元整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762</v>
      </c>
    </row>
    <row r="31" spans="1:2">
      <c r="A31" s="3169" t="s">
        <v>31</v>
      </c>
      <c r="B31" s="3170">
        <f ca="1">'预评函-2'!D15</f>
        <v>25738</v>
      </c>
    </row>
    <row r="32" spans="1:2">
      <c r="A32" s="3169" t="s">
        <v>32</v>
      </c>
      <c r="B32" s="3170" t="str">
        <f ca="1">'预评函-2'!D14</f>
        <v>柒佰陆拾贰万元整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296</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t="str">
        <f>'预评函-4'!A4</f>
        <v>.</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65" t="s">
        <v>353</v>
      </c>
      <c r="C19" s="3062"/>
    </row>
    <row r="20" spans="1:3">
      <c r="A20" s="3018" t="s">
        <v>354</v>
      </c>
      <c r="B20" s="3065" t="s">
        <v>355</v>
      </c>
      <c r="C20" s="3062"/>
    </row>
    <row r="21" spans="1:3">
      <c r="A21" s="3018" t="s">
        <v>276</v>
      </c>
      <c r="B21" s="3018" t="s">
        <v>356</v>
      </c>
      <c r="C21" s="3062"/>
    </row>
    <row r="22" spans="1:3">
      <c r="A22" s="3018" t="s">
        <v>357</v>
      </c>
      <c r="B22" s="3018" t="s">
        <v>356</v>
      </c>
      <c r="C22" s="3062"/>
    </row>
    <row r="23" spans="1:3">
      <c r="A23" s="3018" t="s">
        <v>358</v>
      </c>
      <c r="B23" s="3018" t="s">
        <v>356</v>
      </c>
      <c r="C23" s="3062"/>
    </row>
    <row r="24" spans="1:3">
      <c r="A24" s="3018" t="s">
        <v>359</v>
      </c>
      <c r="B24" s="3018" t="s">
        <v>356</v>
      </c>
      <c r="C24" s="3062"/>
    </row>
    <row r="25" spans="1:3">
      <c r="A25" s="3018" t="s">
        <v>360</v>
      </c>
      <c r="B25" s="3018" t="s">
        <v>356</v>
      </c>
      <c r="C25" s="3062"/>
    </row>
    <row r="26" spans="1:3">
      <c r="A26" s="3018" t="s">
        <v>361</v>
      </c>
      <c r="B26" s="3018" t="s">
        <v>356</v>
      </c>
      <c r="C26" s="3062"/>
    </row>
    <row r="27" spans="1:3">
      <c r="A27" s="3018" t="s">
        <v>356</v>
      </c>
      <c r="B27" s="3018" t="s">
        <v>356</v>
      </c>
      <c r="C27" s="3062"/>
    </row>
    <row r="28" spans="1:3">
      <c r="A28" s="3018" t="s">
        <v>356</v>
      </c>
      <c r="B28" s="3018" t="s">
        <v>356</v>
      </c>
      <c r="C28" s="3062"/>
    </row>
    <row r="29" spans="1:3">
      <c r="A29" s="3018" t="s">
        <v>356</v>
      </c>
      <c r="B29" s="3018" t="s">
        <v>356</v>
      </c>
      <c r="C29" s="3062"/>
    </row>
    <row r="30" spans="1:3">
      <c r="A30" s="3018" t="s">
        <v>356</v>
      </c>
      <c r="B30" s="3018" t="s">
        <v>356</v>
      </c>
      <c r="C30" s="3062"/>
    </row>
    <row r="31" spans="1:3">
      <c r="A31" s="3018" t="s">
        <v>356</v>
      </c>
      <c r="B31" s="3018" t="s">
        <v>356</v>
      </c>
      <c r="C31" s="3062"/>
    </row>
    <row r="32" spans="1:3">
      <c r="A32" s="3018" t="s">
        <v>356</v>
      </c>
      <c r="B32" s="3018" t="s">
        <v>356</v>
      </c>
      <c r="C32" s="3062"/>
    </row>
    <row r="33" spans="1:3">
      <c r="A33" s="3018" t="s">
        <v>356</v>
      </c>
      <c r="B33" s="3018" t="s">
        <v>356</v>
      </c>
      <c r="C33" s="3062"/>
    </row>
    <row r="34" spans="1:3">
      <c r="A34" s="3018" t="s">
        <v>356</v>
      </c>
      <c r="B34" s="3018" t="s">
        <v>356</v>
      </c>
      <c r="C34" s="3062"/>
    </row>
    <row r="35" spans="1:3">
      <c r="A35" s="3018" t="s">
        <v>356</v>
      </c>
      <c r="B35" s="3018" t="s">
        <v>356</v>
      </c>
      <c r="C35" s="3062"/>
    </row>
    <row r="36" spans="1:3">
      <c r="A36" s="3018" t="s">
        <v>356</v>
      </c>
      <c r="B36" s="3018" t="s">
        <v>356</v>
      </c>
      <c r="C36" s="3062"/>
    </row>
    <row r="37" spans="1:3">
      <c r="A37" s="3018" t="s">
        <v>356</v>
      </c>
      <c r="B37" s="3018" t="s">
        <v>356</v>
      </c>
      <c r="C37" s="3062"/>
    </row>
    <row r="38" spans="1:3">
      <c r="A38" s="3018" t="s">
        <v>356</v>
      </c>
      <c r="B38" s="3018" t="s">
        <v>356</v>
      </c>
      <c r="C38" s="3062"/>
    </row>
    <row r="39" spans="1:3">
      <c r="A39" s="3018" t="s">
        <v>356</v>
      </c>
      <c r="B39" s="3018" t="s">
        <v>356</v>
      </c>
      <c r="C39" s="3062"/>
    </row>
    <row r="40" spans="1:3">
      <c r="A40" s="3018" t="s">
        <v>356</v>
      </c>
      <c r="B40" s="3018" t="s">
        <v>356</v>
      </c>
      <c r="C40" s="3062"/>
    </row>
    <row r="41" spans="1:3">
      <c r="A41" s="3018" t="s">
        <v>356</v>
      </c>
      <c r="B41" s="3018" t="s">
        <v>356</v>
      </c>
      <c r="C41" s="3062"/>
    </row>
    <row r="42" spans="1:3">
      <c r="A42" s="3018" t="s">
        <v>356</v>
      </c>
      <c r="B42" s="3018" t="s">
        <v>356</v>
      </c>
      <c r="C42" s="3062"/>
    </row>
    <row r="43" spans="1:3">
      <c r="A43" s="3018" t="s">
        <v>356</v>
      </c>
      <c r="B43" s="3018" t="s">
        <v>356</v>
      </c>
      <c r="C43" s="3062"/>
    </row>
    <row r="44" spans="1:3">
      <c r="A44" s="3018" t="s">
        <v>356</v>
      </c>
      <c r="B44" s="3018" t="s">
        <v>356</v>
      </c>
      <c r="C44" s="3062"/>
    </row>
    <row r="45" spans="1:3">
      <c r="A45" s="3018" t="s">
        <v>356</v>
      </c>
      <c r="B45" s="3018" t="s">
        <v>356</v>
      </c>
      <c r="C45" s="3062"/>
    </row>
    <row r="46" spans="1:3">
      <c r="A46" s="3018" t="s">
        <v>356</v>
      </c>
      <c r="B46" s="3018" t="s">
        <v>356</v>
      </c>
      <c r="C46" s="3062"/>
    </row>
    <row r="47" spans="1:3">
      <c r="A47" s="3018" t="s">
        <v>356</v>
      </c>
      <c r="B47" s="3018" t="s">
        <v>356</v>
      </c>
      <c r="C47" s="3062"/>
    </row>
    <row r="48" spans="1:3">
      <c r="A48" s="3018" t="s">
        <v>356</v>
      </c>
      <c r="B48" s="3018" t="s">
        <v>356</v>
      </c>
      <c r="C48" s="3062"/>
    </row>
    <row r="49" spans="1:4">
      <c r="A49" s="3018" t="s">
        <v>356</v>
      </c>
      <c r="B49" s="3018" t="s">
        <v>356</v>
      </c>
      <c r="C49" s="3062"/>
    </row>
    <row r="50" spans="1:4">
      <c r="A50" s="3018" t="s">
        <v>356</v>
      </c>
      <c r="B50" s="3018" t="s">
        <v>356</v>
      </c>
      <c r="C50" s="3062"/>
    </row>
    <row r="51" spans="1:4">
      <c r="A51" s="297" t="s">
        <v>362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363</v>
      </c>
    </row>
    <row r="52" spans="1:4">
      <c r="A52" s="297" t="s">
        <v>364</v>
      </c>
      <c r="B52" s="297" t="s">
        <v>365</v>
      </c>
      <c r="C52" s="3056" t="s">
        <v>366</v>
      </c>
      <c r="D52" s="3056" t="s">
        <v>367</v>
      </c>
    </row>
    <row r="53" spans="1:4">
      <c r="A53" s="3217" t="s">
        <v>368</v>
      </c>
      <c r="B53" s="297" t="s">
        <v>369</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370</v>
      </c>
      <c r="C54" s="3056" t="s">
        <v>371</v>
      </c>
    </row>
    <row r="55" spans="1:4">
      <c r="A55" s="3217"/>
      <c r="B55" s="297" t="s">
        <v>372</v>
      </c>
      <c r="C55" s="3056" t="s">
        <v>373</v>
      </c>
    </row>
    <row r="56" spans="1:4">
      <c r="A56" s="3217"/>
      <c r="B56" s="297" t="s">
        <v>374</v>
      </c>
      <c r="C56" s="3056" t="s">
        <v>375</v>
      </c>
    </row>
    <row r="57" spans="1:4">
      <c r="A57" s="3217"/>
      <c r="B57" s="297" t="s">
        <v>376</v>
      </c>
      <c r="C57" s="3056" t="s">
        <v>377</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378</v>
      </c>
      <c r="B1" s="3007"/>
      <c r="C1" s="3007"/>
      <c r="D1" s="3007"/>
      <c r="E1" s="3007"/>
      <c r="F1" s="3008"/>
      <c r="I1" s="3009" t="s">
        <v>379</v>
      </c>
      <c r="J1" s="74"/>
      <c r="K1" s="74"/>
      <c r="L1" s="74"/>
      <c r="M1" s="74"/>
      <c r="N1" s="297"/>
      <c r="O1" s="297"/>
      <c r="P1" s="297"/>
      <c r="Q1" s="297"/>
      <c r="R1" s="297"/>
    </row>
    <row r="2" spans="1:18">
      <c r="A2" s="3010"/>
      <c r="B2" s="3011"/>
      <c r="C2" s="3011"/>
      <c r="D2" s="3011"/>
      <c r="E2" s="3011"/>
      <c r="F2" s="3012"/>
      <c r="I2" s="3218" t="s">
        <v>380</v>
      </c>
      <c r="J2" s="3218"/>
      <c r="K2" s="3218"/>
      <c r="L2" s="3218"/>
      <c r="M2" s="3218"/>
      <c r="N2" s="3218"/>
      <c r="O2" s="3218"/>
      <c r="P2" s="3218"/>
      <c r="Q2" s="3218"/>
      <c r="R2" s="3218"/>
    </row>
    <row r="3" spans="1:18">
      <c r="A3" s="447" t="s">
        <v>381</v>
      </c>
      <c r="B3" s="3013">
        <f>项目基本情况!D3</f>
        <v>45981</v>
      </c>
      <c r="C3" s="448"/>
      <c r="D3" s="448"/>
      <c r="E3" s="448"/>
      <c r="F3" s="3012"/>
      <c r="I3" s="3014"/>
      <c r="J3" s="3014" t="s">
        <v>382</v>
      </c>
      <c r="K3" s="3014" t="s">
        <v>383</v>
      </c>
      <c r="L3" s="3014" t="s">
        <v>384</v>
      </c>
      <c r="M3" s="3014" t="s">
        <v>385</v>
      </c>
      <c r="N3" s="448" t="s">
        <v>386</v>
      </c>
      <c r="O3" s="448" t="s">
        <v>387</v>
      </c>
      <c r="P3" s="448" t="s">
        <v>388</v>
      </c>
      <c r="Q3" s="448" t="s">
        <v>389</v>
      </c>
      <c r="R3" s="448" t="s">
        <v>390</v>
      </c>
    </row>
    <row r="4" spans="1:18">
      <c r="A4" s="447" t="s">
        <v>391</v>
      </c>
      <c r="B4" s="448" t="s">
        <v>392</v>
      </c>
      <c r="C4" s="448" t="s">
        <v>393</v>
      </c>
      <c r="D4" s="448" t="s">
        <v>394</v>
      </c>
      <c r="E4" s="448" t="s">
        <v>395</v>
      </c>
      <c r="F4" s="3012"/>
      <c r="I4" s="3014" t="s">
        <v>396</v>
      </c>
      <c r="J4" s="3014">
        <v>80</v>
      </c>
      <c r="K4" s="3014">
        <v>70</v>
      </c>
      <c r="L4" s="3014">
        <v>20</v>
      </c>
      <c r="M4" s="3014">
        <v>30</v>
      </c>
      <c r="N4" s="448">
        <v>45</v>
      </c>
      <c r="O4" s="448">
        <v>60</v>
      </c>
      <c r="P4" s="448">
        <v>50</v>
      </c>
      <c r="Q4" s="448">
        <v>20</v>
      </c>
      <c r="R4" s="448">
        <v>375</v>
      </c>
    </row>
    <row r="5" spans="1:18">
      <c r="A5" s="3015">
        <v>40</v>
      </c>
      <c r="B5" s="3013">
        <v>46375</v>
      </c>
      <c r="C5" s="448">
        <f>ROUNDDOWN(MIN((B5-B3)/365,A5),2)</f>
        <v>1.07</v>
      </c>
      <c r="D5" s="3016">
        <f>IF(ISERROR(ROUND(POWER(1+E5,A5-C5)*(POWER(1+E5,C5)-1)/(POWER(1+E5,A5)-1),3)),0,ROUND(POWER(1+E5,A5-C5)*(POWER(1+E5,C5)-1)/(POWER(1+E5,A5)-1),4))</f>
        <v>5.1900000000000002E-2</v>
      </c>
      <c r="E5" s="3017">
        <v>0.04</v>
      </c>
      <c r="F5" s="3012"/>
      <c r="I5" s="3014" t="s">
        <v>397</v>
      </c>
      <c r="J5" s="3014">
        <v>70</v>
      </c>
      <c r="K5" s="3014">
        <v>60</v>
      </c>
      <c r="L5" s="3014">
        <v>15</v>
      </c>
      <c r="M5" s="3014">
        <v>25</v>
      </c>
      <c r="N5" s="448">
        <v>40</v>
      </c>
      <c r="O5" s="448">
        <v>50</v>
      </c>
      <c r="P5" s="448">
        <v>40</v>
      </c>
      <c r="Q5" s="448">
        <v>15</v>
      </c>
      <c r="R5" s="448">
        <v>315</v>
      </c>
    </row>
    <row r="6" spans="1:18">
      <c r="A6" s="3015">
        <v>50</v>
      </c>
      <c r="B6" s="3013">
        <v>50028</v>
      </c>
      <c r="C6" s="448">
        <f>ROUNDDOWN(MIN((B6-B3)/365,A6),2)</f>
        <v>11.08</v>
      </c>
      <c r="D6" s="3016">
        <f>IF(ISERROR(ROUND(POWER(1+E6,A6-C6)*(POWER(1+E6,C6)-1)/(POWER(1+E6,A6)-1),3)),0,ROUND(POWER(1+E6,A6-C6)*(POWER(1+E6,C6)-1)/(POWER(1+E6,A6)-1),4))</f>
        <v>0.41020000000000001</v>
      </c>
      <c r="E6" s="3017">
        <v>0.04</v>
      </c>
      <c r="F6" s="3012"/>
      <c r="I6" s="3014" t="s">
        <v>398</v>
      </c>
      <c r="J6" s="3014">
        <v>60</v>
      </c>
      <c r="K6" s="3014">
        <v>50</v>
      </c>
      <c r="L6" s="3014">
        <v>10</v>
      </c>
      <c r="M6" s="3014">
        <v>20</v>
      </c>
      <c r="N6" s="448">
        <v>35</v>
      </c>
      <c r="O6" s="448">
        <v>40</v>
      </c>
      <c r="P6" s="448">
        <v>30</v>
      </c>
      <c r="Q6" s="448">
        <v>10</v>
      </c>
      <c r="R6" s="448">
        <v>255</v>
      </c>
    </row>
    <row r="7" spans="1:18">
      <c r="A7" s="3015">
        <v>70</v>
      </c>
      <c r="B7" s="3013">
        <v>57333</v>
      </c>
      <c r="C7" s="448">
        <f>ROUNDDOWN(MIN((B7-B3)/365,A7),2)</f>
        <v>31.1</v>
      </c>
      <c r="D7" s="3016">
        <f>IF(ISERROR(ROUND(POWER(1+E7,A7-C7)*(POWER(1+E7,C7)-1)/(POWER(1+E7,A7)-1),3)),0,ROUND(POWER(1+E7,A7-C7)*(POWER(1+E7,C7)-1)/(POWER(1+E7,A7)-1),4))</f>
        <v>0.75309999999999999</v>
      </c>
      <c r="E7" s="3017">
        <v>0.04</v>
      </c>
      <c r="F7" s="3012"/>
    </row>
    <row r="8" spans="1:18">
      <c r="A8" s="3010"/>
      <c r="B8" s="3011"/>
      <c r="C8" s="3011"/>
      <c r="D8" s="3011"/>
      <c r="E8" s="3011"/>
      <c r="F8" s="3012"/>
    </row>
    <row r="9" spans="1:18">
      <c r="A9" s="447" t="s">
        <v>399</v>
      </c>
      <c r="B9" s="448"/>
      <c r="C9" s="448"/>
      <c r="D9" s="448"/>
      <c r="E9" s="448"/>
      <c r="F9" s="450"/>
    </row>
    <row r="10" spans="1:18">
      <c r="A10" s="447" t="s">
        <v>400</v>
      </c>
      <c r="B10" s="448"/>
      <c r="C10" s="448"/>
      <c r="D10" s="448" t="s">
        <v>395</v>
      </c>
      <c r="E10" s="448"/>
      <c r="F10" s="450" t="s">
        <v>394</v>
      </c>
    </row>
    <row r="11" spans="1:18">
      <c r="A11" s="447" t="s">
        <v>401</v>
      </c>
      <c r="B11" s="3018">
        <v>70</v>
      </c>
      <c r="C11" s="448" t="s">
        <v>402</v>
      </c>
      <c r="D11" s="3018">
        <v>4.4999999999999998E-2</v>
      </c>
      <c r="E11" s="448" t="s">
        <v>403</v>
      </c>
      <c r="F11" s="3019">
        <f>ROUND(1-(1/(POWER(1+D11,B11))),4)</f>
        <v>0.95409999999999995</v>
      </c>
    </row>
    <row r="12" spans="1:18">
      <c r="A12" s="447" t="s">
        <v>404</v>
      </c>
      <c r="B12" s="3018">
        <v>40</v>
      </c>
      <c r="C12" s="448" t="s">
        <v>405</v>
      </c>
      <c r="D12" s="3018">
        <v>4.4999999999999998E-2</v>
      </c>
      <c r="E12" s="448" t="s">
        <v>406</v>
      </c>
      <c r="F12" s="3019">
        <f>ROUND(1-(1/(POWER(1+D12,B12))),4)</f>
        <v>0.82809999999999995</v>
      </c>
    </row>
    <row r="13" spans="1:18">
      <c r="A13" s="447" t="s">
        <v>407</v>
      </c>
      <c r="B13" s="448"/>
      <c r="C13" s="448"/>
      <c r="D13" s="3011"/>
      <c r="E13" s="3011"/>
      <c r="F13" s="3012"/>
    </row>
    <row r="14" spans="1:18">
      <c r="A14" s="447" t="s">
        <v>408</v>
      </c>
      <c r="B14" s="3018">
        <v>5000</v>
      </c>
      <c r="C14" s="3020"/>
      <c r="D14" s="3011"/>
      <c r="E14" s="3011"/>
      <c r="F14" s="3012"/>
    </row>
    <row r="15" spans="1:18">
      <c r="A15" s="447" t="s">
        <v>409</v>
      </c>
      <c r="B15" s="448">
        <f>ROUND(B14*F12/F11,2)</f>
        <v>4339.6899999999996</v>
      </c>
      <c r="C15" s="448">
        <f>ROUND(F12/F11,4)</f>
        <v>0.8679</v>
      </c>
      <c r="D15" s="3011"/>
      <c r="E15" s="3011"/>
      <c r="F15" s="3012"/>
    </row>
    <row r="16" spans="1:18">
      <c r="A16" s="447" t="s">
        <v>410</v>
      </c>
      <c r="B16" s="448"/>
      <c r="C16" s="448"/>
      <c r="D16" s="3011"/>
      <c r="E16" s="3011"/>
      <c r="F16" s="3012"/>
    </row>
    <row r="17" spans="1:14">
      <c r="A17" s="447" t="s">
        <v>409</v>
      </c>
      <c r="B17" s="3018">
        <v>4810</v>
      </c>
      <c r="C17" s="3020"/>
      <c r="D17" s="3011"/>
      <c r="E17" s="3011"/>
      <c r="F17" s="3012"/>
    </row>
    <row r="18" spans="1:14">
      <c r="A18" s="455" t="s">
        <v>408</v>
      </c>
      <c r="B18" s="457">
        <f>ROUND(B17*F11/F12,2)</f>
        <v>5541.87</v>
      </c>
      <c r="C18" s="457">
        <f>ROUND(F11/F12,4)</f>
        <v>1.1521999999999999</v>
      </c>
      <c r="D18" s="3021"/>
      <c r="E18" s="3021"/>
      <c r="F18" s="3022"/>
    </row>
    <row r="20" spans="1:14" s="3003" customFormat="1">
      <c r="A20" s="3023" t="s">
        <v>411</v>
      </c>
      <c r="B20" s="3024"/>
      <c r="C20" s="3024"/>
      <c r="D20" s="3024"/>
      <c r="E20" s="3024"/>
      <c r="F20" s="3024"/>
      <c r="G20" s="3025"/>
      <c r="I20" s="3026" t="s">
        <v>412</v>
      </c>
      <c r="J20" s="3026" t="s">
        <v>413</v>
      </c>
      <c r="K20" s="3026"/>
      <c r="L20" s="3026"/>
      <c r="M20" s="3026"/>
    </row>
    <row r="21" spans="1:14">
      <c r="A21" s="3027"/>
      <c r="B21" s="3014" t="s">
        <v>414</v>
      </c>
      <c r="C21" s="3014" t="s">
        <v>393</v>
      </c>
      <c r="D21" s="3014" t="s">
        <v>415</v>
      </c>
      <c r="E21" s="3014" t="s">
        <v>394</v>
      </c>
      <c r="F21" s="3014" t="s">
        <v>416</v>
      </c>
      <c r="G21" s="3028" t="s">
        <v>417</v>
      </c>
      <c r="I21" s="3005">
        <v>5</v>
      </c>
      <c r="J21" s="3005">
        <v>54.2</v>
      </c>
    </row>
    <row r="22" spans="1:14">
      <c r="A22" s="3027" t="s">
        <v>418</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419</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420</v>
      </c>
      <c r="N23" s="3031" t="s">
        <v>421</v>
      </c>
    </row>
    <row r="24" spans="1:14">
      <c r="A24" s="3027" t="s">
        <v>422</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423</v>
      </c>
      <c r="N24" s="3031">
        <v>10</v>
      </c>
    </row>
    <row r="25" spans="1:14">
      <c r="A25" s="3027" t="s">
        <v>424</v>
      </c>
      <c r="B25" s="3029">
        <v>70</v>
      </c>
      <c r="C25" s="3029">
        <v>60</v>
      </c>
      <c r="D25" s="3030">
        <v>0.04</v>
      </c>
      <c r="E25" s="3014">
        <f t="shared" si="0"/>
        <v>0.96699999999999997</v>
      </c>
      <c r="F25" s="3030">
        <f>F24</f>
        <v>0.7</v>
      </c>
      <c r="G25" s="3028">
        <f t="shared" si="1"/>
        <v>97.7</v>
      </c>
      <c r="I25" s="3005">
        <v>25</v>
      </c>
      <c r="J25" s="3005">
        <v>86.3</v>
      </c>
      <c r="K25" s="3005">
        <f t="shared" si="2"/>
        <v>5.3</v>
      </c>
      <c r="L25" s="3005" t="s">
        <v>425</v>
      </c>
      <c r="N25" s="3031">
        <v>8</v>
      </c>
    </row>
    <row r="26" spans="1:14">
      <c r="A26" s="73"/>
      <c r="B26" s="74"/>
      <c r="C26" s="74"/>
      <c r="D26" s="74"/>
      <c r="E26" s="74"/>
      <c r="F26" s="74"/>
      <c r="G26" s="3032"/>
      <c r="I26" s="3005">
        <v>30</v>
      </c>
      <c r="J26" s="3005">
        <v>90.5</v>
      </c>
      <c r="K26" s="3005">
        <f t="shared" si="2"/>
        <v>4.2</v>
      </c>
      <c r="L26" s="3005" t="s">
        <v>426</v>
      </c>
      <c r="N26" s="3031">
        <v>5</v>
      </c>
    </row>
    <row r="27" spans="1:14">
      <c r="A27" s="73" t="s">
        <v>427</v>
      </c>
      <c r="B27" s="74"/>
      <c r="C27" s="74"/>
      <c r="D27" s="74"/>
      <c r="E27" s="74"/>
      <c r="F27" s="74"/>
      <c r="G27" s="3032"/>
      <c r="I27" s="3005">
        <v>35</v>
      </c>
      <c r="J27" s="3005">
        <v>93.8</v>
      </c>
      <c r="K27" s="3005">
        <f t="shared" si="2"/>
        <v>3.3</v>
      </c>
      <c r="L27" s="3005" t="s">
        <v>428</v>
      </c>
      <c r="N27" s="3031">
        <v>3</v>
      </c>
    </row>
    <row r="28" spans="1:14">
      <c r="A28" s="73" t="s">
        <v>429</v>
      </c>
      <c r="B28" s="74"/>
      <c r="C28" s="74"/>
      <c r="D28" s="74"/>
      <c r="E28" s="74"/>
      <c r="F28" s="74"/>
      <c r="G28" s="3032"/>
      <c r="I28" s="3005">
        <v>40</v>
      </c>
      <c r="J28" s="3005">
        <v>96.4</v>
      </c>
      <c r="K28" s="3005">
        <f t="shared" si="2"/>
        <v>2.6000000000000099</v>
      </c>
      <c r="L28" s="3005" t="s">
        <v>430</v>
      </c>
      <c r="N28" s="3031">
        <v>2</v>
      </c>
    </row>
    <row r="29" spans="1:14">
      <c r="A29" s="73" t="s">
        <v>431</v>
      </c>
      <c r="B29" s="74"/>
      <c r="C29" s="74"/>
      <c r="D29" s="74"/>
      <c r="E29" s="74"/>
      <c r="F29" s="74"/>
      <c r="G29" s="3032"/>
      <c r="I29" s="3005">
        <v>45</v>
      </c>
      <c r="J29" s="3005">
        <v>98.4</v>
      </c>
      <c r="K29" s="3005">
        <f t="shared" si="2"/>
        <v>2</v>
      </c>
    </row>
    <row r="30" spans="1:14">
      <c r="A30" s="73" t="s">
        <v>432</v>
      </c>
      <c r="B30" s="74"/>
      <c r="C30" s="74"/>
      <c r="D30" s="74"/>
      <c r="E30" s="74"/>
      <c r="F30" s="74"/>
      <c r="G30" s="3032"/>
      <c r="I30" s="3005">
        <v>50</v>
      </c>
      <c r="J30" s="3005">
        <v>100</v>
      </c>
      <c r="K30" s="3005">
        <f t="shared" si="2"/>
        <v>1.5999999999999901</v>
      </c>
    </row>
    <row r="31" spans="1:14">
      <c r="A31" s="73" t="s">
        <v>433</v>
      </c>
      <c r="B31" s="74"/>
      <c r="C31" s="74"/>
      <c r="D31" s="74"/>
      <c r="E31" s="74"/>
      <c r="F31" s="74"/>
      <c r="G31" s="3032"/>
      <c r="I31" s="3005" t="s">
        <v>434</v>
      </c>
    </row>
    <row r="32" spans="1:14">
      <c r="A32" s="73" t="s">
        <v>435</v>
      </c>
      <c r="B32" s="74"/>
      <c r="C32" s="74"/>
      <c r="D32" s="74"/>
      <c r="E32" s="74"/>
      <c r="F32" s="74"/>
      <c r="G32" s="3032"/>
    </row>
    <row r="33" spans="1:14">
      <c r="A33" s="73" t="s">
        <v>436</v>
      </c>
      <c r="B33" s="74"/>
      <c r="C33" s="74"/>
      <c r="D33" s="74"/>
      <c r="E33" s="74"/>
      <c r="F33" s="74"/>
      <c r="G33" s="3032"/>
      <c r="I33" s="3005" t="s">
        <v>412</v>
      </c>
      <c r="J33" s="3005" t="s">
        <v>437</v>
      </c>
    </row>
    <row r="34" spans="1:14">
      <c r="A34" s="73" t="s">
        <v>438</v>
      </c>
      <c r="B34" s="74"/>
      <c r="C34" s="74"/>
      <c r="D34" s="74"/>
      <c r="E34" s="74"/>
      <c r="F34" s="74"/>
      <c r="G34" s="3032"/>
      <c r="I34" s="3005">
        <v>5</v>
      </c>
      <c r="J34" s="3005">
        <v>55.1</v>
      </c>
    </row>
    <row r="35" spans="1:14">
      <c r="A35" s="73" t="s">
        <v>439</v>
      </c>
      <c r="B35" s="74"/>
      <c r="C35" s="74"/>
      <c r="D35" s="74"/>
      <c r="E35" s="74"/>
      <c r="F35" s="74"/>
      <c r="G35" s="3032"/>
      <c r="I35" s="3005">
        <v>10</v>
      </c>
      <c r="J35" s="3005">
        <v>67</v>
      </c>
      <c r="K35" s="3005">
        <f>J35-J34</f>
        <v>11.9</v>
      </c>
    </row>
    <row r="36" spans="1:14">
      <c r="A36" s="73" t="s">
        <v>440</v>
      </c>
      <c r="B36" s="74"/>
      <c r="C36" s="74"/>
      <c r="D36" s="74"/>
      <c r="E36" s="74"/>
      <c r="F36" s="74"/>
      <c r="G36" s="3032"/>
      <c r="I36" s="3005">
        <v>15</v>
      </c>
      <c r="J36" s="3005">
        <v>76.3</v>
      </c>
      <c r="K36" s="3005">
        <f t="shared" ref="K36:K41" si="3">J36-J35</f>
        <v>9.3000000000000007</v>
      </c>
      <c r="L36" s="3005" t="s">
        <v>420</v>
      </c>
      <c r="N36" s="3031" t="s">
        <v>421</v>
      </c>
    </row>
    <row r="37" spans="1:14">
      <c r="A37" s="73" t="s">
        <v>441</v>
      </c>
      <c r="B37" s="74"/>
      <c r="C37" s="74"/>
      <c r="D37" s="74"/>
      <c r="E37" s="74"/>
      <c r="F37" s="74"/>
      <c r="G37" s="3032"/>
      <c r="I37" s="3005">
        <v>20</v>
      </c>
      <c r="J37" s="3005">
        <v>83.6</v>
      </c>
      <c r="K37" s="3005">
        <f t="shared" si="3"/>
        <v>7.3</v>
      </c>
      <c r="L37" s="3005" t="s">
        <v>423</v>
      </c>
      <c r="N37" s="3031">
        <v>10</v>
      </c>
    </row>
    <row r="38" spans="1:14">
      <c r="A38" s="73" t="s">
        <v>442</v>
      </c>
      <c r="B38" s="74"/>
      <c r="C38" s="74"/>
      <c r="D38" s="74"/>
      <c r="E38" s="74"/>
      <c r="F38" s="74"/>
      <c r="G38" s="3032"/>
      <c r="I38" s="3005">
        <v>25</v>
      </c>
      <c r="J38" s="3005">
        <v>89.3</v>
      </c>
      <c r="K38" s="3005">
        <f t="shared" si="3"/>
        <v>5.7</v>
      </c>
      <c r="L38" s="3005" t="s">
        <v>425</v>
      </c>
      <c r="N38" s="3031">
        <v>8</v>
      </c>
    </row>
    <row r="39" spans="1:14">
      <c r="A39" s="73"/>
      <c r="B39" s="74"/>
      <c r="C39" s="74"/>
      <c r="D39" s="74"/>
      <c r="E39" s="74"/>
      <c r="F39" s="74"/>
      <c r="G39" s="3032"/>
      <c r="I39" s="3005">
        <v>30</v>
      </c>
      <c r="J39" s="3005">
        <v>93.8</v>
      </c>
      <c r="K39" s="3005">
        <f t="shared" si="3"/>
        <v>4.5</v>
      </c>
      <c r="L39" s="3005" t="s">
        <v>426</v>
      </c>
      <c r="N39" s="3031">
        <v>6</v>
      </c>
    </row>
    <row r="40" spans="1:14">
      <c r="A40" s="3033" t="s">
        <v>443</v>
      </c>
      <c r="B40" s="3034"/>
      <c r="C40" s="3034"/>
      <c r="D40" s="3034"/>
      <c r="E40" s="3034"/>
      <c r="F40" s="3034"/>
      <c r="G40" s="3035"/>
      <c r="I40" s="3005">
        <v>35</v>
      </c>
      <c r="J40" s="3005">
        <v>97.2</v>
      </c>
      <c r="K40" s="3005">
        <f t="shared" si="3"/>
        <v>3.4000000000000101</v>
      </c>
      <c r="L40" s="3005" t="s">
        <v>428</v>
      </c>
      <c r="N40" s="3031">
        <v>3</v>
      </c>
    </row>
    <row r="41" spans="1:14">
      <c r="A41" s="3036" t="s">
        <v>444</v>
      </c>
      <c r="B41" s="3037" t="s">
        <v>445</v>
      </c>
      <c r="C41" s="3038" t="s">
        <v>446</v>
      </c>
      <c r="D41" s="3038" t="s">
        <v>447</v>
      </c>
      <c r="E41" s="3039"/>
      <c r="F41" s="3040"/>
      <c r="G41" s="3041"/>
      <c r="I41" s="3005">
        <v>40</v>
      </c>
      <c r="J41" s="3005">
        <v>100</v>
      </c>
      <c r="K41" s="3005">
        <f t="shared" si="3"/>
        <v>2.8</v>
      </c>
    </row>
    <row r="42" spans="1:14">
      <c r="A42" s="3036" t="s">
        <v>233</v>
      </c>
      <c r="B42" s="3037" t="s">
        <v>448</v>
      </c>
      <c r="C42" s="3038" t="s">
        <v>448</v>
      </c>
      <c r="D42" s="3042" t="s">
        <v>449</v>
      </c>
      <c r="E42" s="3034" t="s">
        <v>450</v>
      </c>
      <c r="F42" s="3034"/>
      <c r="G42" s="3035"/>
    </row>
    <row r="43" spans="1:14">
      <c r="A43" s="3036" t="s">
        <v>232</v>
      </c>
      <c r="B43" s="3037" t="s">
        <v>451</v>
      </c>
      <c r="C43" s="3038" t="s">
        <v>452</v>
      </c>
      <c r="D43" s="3038" t="s">
        <v>453</v>
      </c>
      <c r="E43" s="3039" t="s">
        <v>454</v>
      </c>
      <c r="F43" s="3040"/>
      <c r="G43" s="3041"/>
      <c r="I43" s="3005" t="s">
        <v>412</v>
      </c>
      <c r="J43" s="3005" t="s">
        <v>455</v>
      </c>
    </row>
    <row r="44" spans="1:14">
      <c r="A44" s="3036" t="s">
        <v>456</v>
      </c>
      <c r="B44" s="3037" t="s">
        <v>457</v>
      </c>
      <c r="C44" s="3038" t="s">
        <v>458</v>
      </c>
      <c r="D44" s="3042">
        <v>0.5</v>
      </c>
      <c r="E44" s="3039" t="s">
        <v>459</v>
      </c>
      <c r="F44" s="3040"/>
      <c r="G44" s="3041"/>
      <c r="I44" s="3005">
        <v>30</v>
      </c>
      <c r="J44" s="3005">
        <v>81.7</v>
      </c>
    </row>
    <row r="45" spans="1:14">
      <c r="A45" s="3043" t="s">
        <v>460</v>
      </c>
      <c r="B45" s="3044" t="s">
        <v>448</v>
      </c>
      <c r="C45" s="3045" t="s">
        <v>448</v>
      </c>
      <c r="D45" s="3045" t="s">
        <v>461</v>
      </c>
      <c r="E45" s="3046" t="s">
        <v>462</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463</v>
      </c>
    </row>
    <row r="50" spans="1:4">
      <c r="A50" s="3020" t="s">
        <v>464</v>
      </c>
      <c r="B50" s="3020" t="s">
        <v>465</v>
      </c>
      <c r="C50" s="3020" t="s">
        <v>466</v>
      </c>
      <c r="D50" s="3020" t="s">
        <v>467</v>
      </c>
    </row>
    <row r="51" spans="1:4">
      <c r="A51" s="3020" t="s">
        <v>468</v>
      </c>
      <c r="B51" s="3020">
        <f>B52+B53</f>
        <v>15000</v>
      </c>
      <c r="C51" s="3048">
        <f>D51/B51</f>
        <v>2666.6666666666702</v>
      </c>
      <c r="D51" s="3020">
        <f>D52+D53</f>
        <v>40000000</v>
      </c>
    </row>
    <row r="52" spans="1:4">
      <c r="A52" s="3049" t="s">
        <v>469</v>
      </c>
      <c r="B52" s="3050">
        <v>10000</v>
      </c>
      <c r="C52" s="3050">
        <v>1500</v>
      </c>
      <c r="D52" s="3049">
        <f>C52*B52</f>
        <v>15000000</v>
      </c>
    </row>
    <row r="53" spans="1:4">
      <c r="A53" s="3049" t="s">
        <v>470</v>
      </c>
      <c r="B53" s="3050">
        <v>5000</v>
      </c>
      <c r="C53" s="3050">
        <v>5000</v>
      </c>
      <c r="D53" s="3049">
        <f>C53*B53</f>
        <v>25000000</v>
      </c>
    </row>
    <row r="54" spans="1:4">
      <c r="A54" s="3020" t="s">
        <v>471</v>
      </c>
      <c r="B54" s="3020">
        <f>B51</f>
        <v>15000</v>
      </c>
      <c r="C54" s="3018">
        <v>700</v>
      </c>
      <c r="D54" s="3020">
        <f t="shared" ref="D54:D55" si="5">C54*B54</f>
        <v>10500000</v>
      </c>
    </row>
    <row r="55" spans="1:4">
      <c r="A55" s="3020" t="s">
        <v>472</v>
      </c>
      <c r="B55" s="3020">
        <f>B51</f>
        <v>15000</v>
      </c>
      <c r="C55" s="3018">
        <v>1500</v>
      </c>
      <c r="D55" s="3020">
        <f t="shared" si="5"/>
        <v>22500000</v>
      </c>
    </row>
    <row r="56" spans="1:4">
      <c r="A56" s="3020" t="s">
        <v>473</v>
      </c>
      <c r="B56" s="3020">
        <f>B51</f>
        <v>15000</v>
      </c>
      <c r="C56" s="3051">
        <f>C51+C54+C55</f>
        <v>4866.6666666666697</v>
      </c>
      <c r="D56" s="3020">
        <f>D51+D54+D55</f>
        <v>73000000</v>
      </c>
    </row>
    <row r="58" spans="1:4">
      <c r="A58" s="3020" t="s">
        <v>474</v>
      </c>
      <c r="B58" s="3052">
        <v>0.05</v>
      </c>
      <c r="C58" s="3020">
        <f>C56*(1+B58)</f>
        <v>5110</v>
      </c>
      <c r="D58" s="3020">
        <f>D56*B58</f>
        <v>3650000</v>
      </c>
    </row>
    <row r="60" spans="1:4">
      <c r="A60" s="3020" t="s">
        <v>475</v>
      </c>
      <c r="B60" s="3018">
        <v>3500</v>
      </c>
      <c r="C60" s="3018">
        <f>C53</f>
        <v>5000</v>
      </c>
      <c r="D60" s="3020">
        <f>C60*B60</f>
        <v>17500000</v>
      </c>
    </row>
    <row r="62" spans="1:4">
      <c r="A62" s="3020" t="s">
        <v>390</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24" sqref="L24"/>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6" customWidth="1"/>
    <col min="16" max="17" width="10" style="2743"/>
    <col min="18" max="18" width="10" style="2743" customWidth="1"/>
    <col min="19" max="30" width="10" style="2743"/>
    <col min="31" max="16384" width="10" style="2565"/>
  </cols>
  <sheetData>
    <row r="1" spans="1:30">
      <c r="A1" s="2890" t="s">
        <v>476</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28"/>
      <c r="K1" s="2891"/>
      <c r="L1" s="2892"/>
      <c r="M1" s="2892"/>
      <c r="N1" s="2893"/>
      <c r="O1" s="2236"/>
      <c r="P1" s="2893"/>
      <c r="Q1" s="2893"/>
      <c r="R1" s="2893"/>
      <c r="S1" s="2082"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477</v>
      </c>
      <c r="B2" s="898"/>
      <c r="D2" s="2894"/>
      <c r="E2" s="2895"/>
      <c r="F2" s="2895"/>
      <c r="G2" s="2741"/>
      <c r="H2" s="2741"/>
      <c r="I2" s="2741"/>
      <c r="J2" s="2528"/>
      <c r="K2" s="2891"/>
      <c r="L2" s="2892"/>
      <c r="M2" s="2892"/>
      <c r="N2" s="2893"/>
      <c r="O2" s="2236"/>
      <c r="P2" s="2893"/>
      <c r="Q2" s="2893"/>
      <c r="R2" s="2893"/>
      <c r="S2" s="2082"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478</v>
      </c>
      <c r="B3" s="2896">
        <v>45981</v>
      </c>
      <c r="C3" s="2897" t="s">
        <v>479</v>
      </c>
      <c r="D3" s="2896">
        <f>B3</f>
        <v>45981</v>
      </c>
      <c r="E3" s="2741"/>
      <c r="F3" s="2741"/>
      <c r="G3" s="2741"/>
      <c r="H3" s="2741"/>
      <c r="I3" s="2741"/>
      <c r="J3" s="2528"/>
      <c r="K3" s="2891"/>
      <c r="L3" s="2892"/>
      <c r="M3" s="2892"/>
      <c r="N3" s="2893"/>
      <c r="O3" s="2236"/>
      <c r="P3" s="2893"/>
      <c r="Q3" s="2893"/>
      <c r="R3" s="2893"/>
      <c r="S3" s="2082"/>
      <c r="T3" s="2565"/>
      <c r="U3" s="2565"/>
      <c r="V3" s="2565"/>
      <c r="W3" s="2565"/>
      <c r="X3" s="2565"/>
      <c r="Y3" s="2565"/>
      <c r="Z3" s="2565"/>
      <c r="AA3" s="2565"/>
      <c r="AB3" s="2565"/>
    </row>
    <row r="4" spans="1:30">
      <c r="A4" s="1864" t="s">
        <v>480</v>
      </c>
      <c r="B4" s="2898" t="s">
        <v>2815</v>
      </c>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199" t="str">
        <f>CONCATENATE(B4,"（注册号：",C4,")、",D4,"（注册号：",E4,")")</f>
        <v>.（注册号：0)、（注册号：0)</v>
      </c>
      <c r="L4" s="2892"/>
      <c r="M4" s="2892"/>
      <c r="N4" s="2893"/>
      <c r="O4" s="2236"/>
      <c r="P4" s="2893"/>
      <c r="Q4" s="2893"/>
      <c r="R4" s="2893"/>
      <c r="S4" s="2082"/>
      <c r="T4" s="2565"/>
      <c r="U4" s="2565"/>
      <c r="V4" s="2565"/>
      <c r="W4" s="2565"/>
      <c r="X4" s="2565"/>
      <c r="Y4" s="2565"/>
      <c r="Z4" s="2565"/>
      <c r="AA4" s="2565"/>
      <c r="AB4" s="2565"/>
    </row>
    <row r="5" spans="1:30">
      <c r="A5" s="2900" t="s">
        <v>481</v>
      </c>
      <c r="B5" s="2901"/>
      <c r="C5" s="2902"/>
      <c r="D5" s="2903"/>
      <c r="E5" s="2741"/>
      <c r="F5" s="2741"/>
      <c r="G5" s="2741"/>
      <c r="H5" s="2741"/>
      <c r="I5" s="2741"/>
      <c r="J5" s="2528"/>
      <c r="K5" s="2199" t="str">
        <f>IF(F4="——","",IF(H4="——",F4&amp;"（注册号："&amp;G4&amp;")",CONCATENATE(F4,"（注册号：",G4,")、",H4,"（注册号：",I4,")")))</f>
        <v>（注册号：0)、（注册号：0)</v>
      </c>
      <c r="L5" s="2892"/>
      <c r="M5" s="2892"/>
      <c r="N5" s="2893"/>
      <c r="O5" s="2236"/>
      <c r="P5" s="2893"/>
      <c r="Q5" s="2893"/>
      <c r="R5" s="2893"/>
      <c r="S5" s="2565"/>
      <c r="T5" s="2565"/>
      <c r="U5" s="2565"/>
      <c r="V5" s="2565"/>
      <c r="W5" s="2565"/>
      <c r="X5" s="2565"/>
      <c r="Y5" s="2565"/>
      <c r="Z5" s="2565"/>
      <c r="AA5" s="2565"/>
      <c r="AB5" s="2565"/>
    </row>
    <row r="6" spans="1:30">
      <c r="A6" s="2904" t="s">
        <v>482</v>
      </c>
      <c r="B6" s="2905"/>
      <c r="C6" s="2906"/>
      <c r="D6" s="2907"/>
      <c r="E6" s="2895"/>
      <c r="F6" s="2741"/>
      <c r="G6" s="2741"/>
      <c r="H6" s="2741"/>
      <c r="I6" s="2741"/>
      <c r="J6" s="2528"/>
      <c r="K6" s="2908" t="str">
        <f>IF(COUNTIF(B6,"*上海银行*"),"上海银行","")</f>
        <v/>
      </c>
      <c r="L6" s="2909"/>
      <c r="M6" s="2909"/>
      <c r="N6" s="2528"/>
      <c r="O6" s="2215"/>
      <c r="P6" s="2528"/>
      <c r="Q6" s="2528"/>
      <c r="R6" s="2528"/>
    </row>
    <row r="7" spans="1:30">
      <c r="A7" s="2904" t="s">
        <v>483</v>
      </c>
      <c r="B7" s="2910"/>
      <c r="C7" s="2906"/>
      <c r="D7" s="2907"/>
      <c r="E7" s="2895"/>
      <c r="F7" s="2741"/>
      <c r="G7" s="2741"/>
      <c r="H7" s="2741"/>
      <c r="I7" s="2741"/>
      <c r="J7" s="2528"/>
      <c r="K7" s="2911"/>
      <c r="L7" s="2909"/>
      <c r="M7" s="2909"/>
      <c r="N7" s="2528"/>
      <c r="O7" s="2215"/>
      <c r="P7" s="2528"/>
      <c r="Q7" s="2528"/>
      <c r="R7" s="2528"/>
    </row>
    <row r="8" spans="1:30">
      <c r="A8" s="2912" t="s">
        <v>484</v>
      </c>
      <c r="B8" s="2913" t="s">
        <v>365</v>
      </c>
      <c r="C8" s="2914"/>
      <c r="D8" s="3238" t="s">
        <v>485</v>
      </c>
      <c r="E8" s="2915" t="s">
        <v>370</v>
      </c>
      <c r="F8" s="2916"/>
      <c r="G8" s="2741"/>
      <c r="H8" s="2741"/>
      <c r="I8" s="2741"/>
      <c r="J8" s="2528"/>
      <c r="K8" s="2917"/>
      <c r="L8" s="2909"/>
      <c r="M8" s="2909"/>
      <c r="N8" s="2528"/>
      <c r="O8" s="2215"/>
      <c r="P8" s="2528"/>
      <c r="Q8" s="2528"/>
      <c r="R8" s="2528"/>
    </row>
    <row r="9" spans="1:30">
      <c r="A9" s="2918" t="s">
        <v>486</v>
      </c>
      <c r="B9" s="2919" t="s">
        <v>370</v>
      </c>
      <c r="C9" s="2920"/>
      <c r="D9" s="3239"/>
      <c r="E9" s="2919"/>
      <c r="F9" s="2921"/>
      <c r="G9" s="2922"/>
      <c r="H9" s="2922"/>
      <c r="I9" s="2922"/>
      <c r="J9" s="2528"/>
      <c r="K9" s="2911"/>
      <c r="L9" s="2909"/>
      <c r="M9" s="2909"/>
      <c r="N9" s="2528"/>
      <c r="O9" s="2215"/>
      <c r="P9" s="2528"/>
      <c r="Q9" s="2528"/>
      <c r="R9" s="2528"/>
    </row>
    <row r="10" spans="1:30">
      <c r="A10" s="2923" t="s">
        <v>487</v>
      </c>
      <c r="B10" s="2924" t="s">
        <v>488</v>
      </c>
      <c r="C10" s="2925"/>
      <c r="D10" s="2903"/>
      <c r="E10" s="2926" t="s">
        <v>489</v>
      </c>
      <c r="F10" s="2927"/>
      <c r="G10" s="2928"/>
      <c r="H10" s="2929"/>
      <c r="I10" s="2930"/>
      <c r="J10" s="2528"/>
      <c r="K10" s="2911"/>
      <c r="L10" s="2909"/>
      <c r="M10" s="2909"/>
      <c r="N10" s="2528"/>
      <c r="O10" s="2215"/>
      <c r="P10" s="2528"/>
      <c r="Q10" s="2528"/>
      <c r="R10" s="2528"/>
    </row>
    <row r="11" spans="1:30">
      <c r="A11" s="2931" t="s">
        <v>490</v>
      </c>
      <c r="B11" s="2932" t="s">
        <v>491</v>
      </c>
      <c r="C11" s="2933"/>
      <c r="D11" s="2934"/>
      <c r="E11" s="2893"/>
      <c r="F11" s="2893"/>
      <c r="G11" s="2893"/>
      <c r="H11" s="2893"/>
      <c r="I11" s="2893"/>
      <c r="J11" s="2935"/>
      <c r="K11" s="2909"/>
      <c r="L11" s="2909"/>
      <c r="M11" s="2909"/>
      <c r="N11" s="2528"/>
      <c r="O11" s="2215"/>
      <c r="P11" s="2528"/>
      <c r="Q11" s="2528"/>
      <c r="R11" s="2528"/>
    </row>
    <row r="12" spans="1:30">
      <c r="A12" s="2936" t="s">
        <v>492</v>
      </c>
      <c r="B12" s="1900" t="s">
        <v>493</v>
      </c>
      <c r="C12" s="2937" t="s">
        <v>494</v>
      </c>
      <c r="D12" s="2937" t="s">
        <v>495</v>
      </c>
      <c r="E12" s="2937" t="s">
        <v>496</v>
      </c>
      <c r="F12" s="2937" t="s">
        <v>497</v>
      </c>
      <c r="G12" s="2937" t="s">
        <v>498</v>
      </c>
      <c r="H12" s="2937" t="s">
        <v>499</v>
      </c>
      <c r="I12" s="2938" t="s">
        <v>231</v>
      </c>
      <c r="J12" s="2939"/>
      <c r="K12" s="2909"/>
      <c r="L12" s="2909"/>
      <c r="M12" s="2528"/>
      <c r="N12" s="2215"/>
      <c r="O12" s="2528"/>
      <c r="P12" s="2528"/>
      <c r="Q12" s="2528"/>
      <c r="AD12" s="2565"/>
    </row>
    <row r="13" spans="1:30">
      <c r="A13" s="2940" t="s">
        <v>500</v>
      </c>
      <c r="B13" s="2941" t="s">
        <v>501</v>
      </c>
      <c r="C13" s="2942"/>
      <c r="D13" s="3515">
        <v>54377</v>
      </c>
      <c r="E13" s="2942"/>
      <c r="F13" s="2942"/>
      <c r="G13" s="2942"/>
      <c r="H13" s="2942"/>
      <c r="I13" s="2942"/>
      <c r="J13" s="2939"/>
      <c r="K13" s="2909"/>
      <c r="L13" s="2909"/>
      <c r="M13" s="2528"/>
      <c r="N13" s="2215"/>
      <c r="O13" s="2528"/>
      <c r="P13" s="2528"/>
      <c r="Q13" s="2528"/>
      <c r="AD13" s="2565"/>
    </row>
    <row r="14" spans="1:30">
      <c r="A14" s="1871"/>
      <c r="B14" s="2941" t="s">
        <v>502</v>
      </c>
      <c r="C14" s="2943"/>
      <c r="D14" s="2943">
        <v>40</v>
      </c>
      <c r="E14" s="2943">
        <v>50</v>
      </c>
      <c r="F14" s="2943"/>
      <c r="G14" s="2943"/>
      <c r="H14" s="2943"/>
      <c r="I14" s="2943"/>
      <c r="J14" s="2944"/>
      <c r="K14" s="2909"/>
      <c r="L14" s="2909"/>
      <c r="M14" s="2528"/>
      <c r="N14" s="2215"/>
      <c r="O14" s="2528"/>
      <c r="P14" s="2528"/>
      <c r="Q14" s="2528"/>
      <c r="AD14" s="2565"/>
    </row>
    <row r="15" spans="1:30">
      <c r="A15" s="1885"/>
      <c r="B15" s="2945" t="s">
        <v>503</v>
      </c>
      <c r="C15" s="2946" t="str">
        <f>IF(A13="出让",IF(C13="","",ROUNDDOWN(MIN((C13-$D$3)/365,C14),2)),C14)</f>
        <v/>
      </c>
      <c r="D15" s="2946">
        <f>IF(A13="出让",IF(D13="","",ROUNDDOWN(MIN((D13-$D$3)/365,D14),2)),D14)</f>
        <v>23</v>
      </c>
      <c r="E15" s="2946" t="str">
        <f>IF(A13="出让",IF(E13="","",ROUNDDOWN(MIN((E13-$D$3)/365,E14),2)),E14)</f>
        <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215"/>
      <c r="L15" s="2215"/>
      <c r="M15" s="2528"/>
      <c r="N15" s="2215"/>
      <c r="O15" s="2528"/>
      <c r="P15" s="2528"/>
      <c r="Q15" s="2528"/>
      <c r="AD15" s="2565"/>
    </row>
    <row r="16" spans="1:30">
      <c r="A16" s="2926" t="s">
        <v>504</v>
      </c>
      <c r="B16" s="3226"/>
      <c r="C16" s="3227"/>
      <c r="D16" s="3228"/>
      <c r="E16" s="2948" t="s">
        <v>505</v>
      </c>
      <c r="F16" s="3229"/>
      <c r="G16" s="3230"/>
      <c r="H16" s="3230"/>
      <c r="I16" s="3231"/>
      <c r="J16" s="2528"/>
      <c r="K16" s="2949"/>
      <c r="L16" s="2215"/>
      <c r="M16" s="2215"/>
      <c r="N16" s="2528"/>
      <c r="O16" s="2215"/>
      <c r="P16" s="2528"/>
      <c r="Q16" s="2528"/>
      <c r="R16" s="2528"/>
    </row>
    <row r="17" spans="1:28">
      <c r="A17" s="1848" t="s">
        <v>506</v>
      </c>
      <c r="B17" s="1837" t="s">
        <v>507</v>
      </c>
      <c r="C17" s="998">
        <f>'数据-汇总表'!E3</f>
        <v>296</v>
      </c>
      <c r="D17" s="1896" t="s">
        <v>508</v>
      </c>
      <c r="E17" s="3232" t="s">
        <v>509</v>
      </c>
      <c r="F17" s="3233"/>
      <c r="G17" s="3233"/>
      <c r="H17" s="3233"/>
      <c r="I17" s="3234"/>
      <c r="J17" s="2528"/>
      <c r="K17" s="2950"/>
      <c r="L17" s="2215"/>
      <c r="M17" s="2215"/>
      <c r="N17" s="2528"/>
      <c r="O17" s="2215"/>
      <c r="P17" s="2528"/>
      <c r="Q17" s="2528"/>
      <c r="R17" s="2528"/>
      <c r="S17" s="2528"/>
      <c r="T17" s="2528"/>
      <c r="U17" s="2528"/>
      <c r="V17" s="2528"/>
    </row>
    <row r="18" spans="1:28" ht="24">
      <c r="A18" s="2951" t="s">
        <v>510</v>
      </c>
      <c r="B18" s="1864" t="s">
        <v>511</v>
      </c>
      <c r="C18" s="2952">
        <f>'数据-汇总表'!D3</f>
        <v>0</v>
      </c>
      <c r="D18" s="1912" t="s">
        <v>508</v>
      </c>
      <c r="E18" s="3235" t="s">
        <v>512</v>
      </c>
      <c r="F18" s="3236"/>
      <c r="G18" s="3236"/>
      <c r="H18" s="3236"/>
      <c r="I18" s="3237"/>
      <c r="J18" s="2528"/>
      <c r="K18" s="2950"/>
      <c r="L18" s="2215"/>
      <c r="M18" s="2215"/>
      <c r="N18" s="2528"/>
      <c r="O18" s="2215"/>
      <c r="P18" s="2528"/>
      <c r="Q18" s="2528"/>
      <c r="R18" s="2528"/>
      <c r="S18" s="2528"/>
      <c r="T18" s="2528"/>
      <c r="U18" s="2528"/>
      <c r="V18" s="2528"/>
    </row>
    <row r="19" spans="1:28" ht="36">
      <c r="A19" s="1907" t="s">
        <v>513</v>
      </c>
      <c r="B19" s="1843" t="s">
        <v>514</v>
      </c>
      <c r="C19" s="2953"/>
      <c r="D19" s="2954" t="s">
        <v>515</v>
      </c>
      <c r="E19" s="2955"/>
      <c r="F19" s="2956" t="str">
        <f>IF(AND(C19="是",E19="否"),"是否提供他项权证或相关说明","")</f>
        <v/>
      </c>
      <c r="G19" s="2957"/>
      <c r="H19" s="2741"/>
      <c r="I19" s="2741"/>
      <c r="J19" s="2528"/>
      <c r="K19" s="2911"/>
      <c r="L19" s="2909"/>
      <c r="M19" s="2909"/>
      <c r="N19" s="2528"/>
      <c r="O19" s="2215"/>
      <c r="P19" s="2528"/>
      <c r="Q19" s="2528"/>
      <c r="R19" s="2528"/>
      <c r="S19" s="2528"/>
      <c r="T19" s="2528"/>
      <c r="U19" s="2528"/>
      <c r="V19" s="2528"/>
    </row>
    <row r="20" spans="1:28">
      <c r="A20" s="2958" t="s">
        <v>516</v>
      </c>
      <c r="B20" s="3242" t="s">
        <v>517</v>
      </c>
      <c r="C20" s="3243"/>
      <c r="D20" s="3244" t="s">
        <v>518</v>
      </c>
      <c r="E20" s="3245"/>
      <c r="F20" s="2959" t="s">
        <v>519</v>
      </c>
      <c r="G20" s="2741"/>
      <c r="H20" s="2741"/>
      <c r="I20" s="2741"/>
      <c r="J20" s="2528"/>
      <c r="K20" s="3240" t="s">
        <v>520</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236"/>
      <c r="P20" s="2893"/>
      <c r="Q20" s="2893"/>
      <c r="R20" s="2893"/>
      <c r="S20" s="2893"/>
      <c r="T20" s="2893"/>
      <c r="U20" s="2893"/>
      <c r="V20" s="2893"/>
      <c r="W20" s="2565"/>
      <c r="X20" s="2565"/>
      <c r="Y20" s="2565"/>
      <c r="Z20" s="2565"/>
      <c r="AA20" s="2565"/>
      <c r="AB20" s="2565"/>
    </row>
    <row r="21" spans="1:28" ht="24">
      <c r="A21" s="2958"/>
      <c r="B21" s="2960" t="s">
        <v>521</v>
      </c>
      <c r="C21" s="2557" t="s">
        <v>522</v>
      </c>
      <c r="D21" s="2961" t="s">
        <v>523</v>
      </c>
      <c r="E21" s="2962" t="s">
        <v>522</v>
      </c>
      <c r="F21" s="2963"/>
      <c r="G21" s="2741"/>
      <c r="H21" s="2741"/>
      <c r="I21" s="2741"/>
      <c r="J21" s="2528"/>
      <c r="K21" s="3240"/>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236"/>
      <c r="P21" s="2893"/>
      <c r="Q21" s="2893"/>
      <c r="R21" s="2893"/>
      <c r="S21" s="2893"/>
      <c r="T21" s="2893"/>
      <c r="U21" s="2893"/>
      <c r="V21" s="2893"/>
      <c r="W21" s="2565"/>
      <c r="X21" s="2565"/>
      <c r="Y21" s="2565"/>
      <c r="Z21" s="2565"/>
      <c r="AA21" s="2565"/>
      <c r="AB21" s="2565"/>
    </row>
    <row r="22" spans="1:28" ht="24">
      <c r="A22" s="2958"/>
      <c r="B22" s="2964" t="s">
        <v>524</v>
      </c>
      <c r="C22" s="2557" t="s">
        <v>525</v>
      </c>
      <c r="D22" s="2741"/>
      <c r="E22" s="2741"/>
      <c r="F22" s="2741"/>
      <c r="G22" s="2741">
        <v>2010</v>
      </c>
      <c r="H22" s="2741"/>
      <c r="I22" s="2741"/>
      <c r="J22" s="2528"/>
      <c r="K22" s="3240"/>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236"/>
      <c r="P22" s="2893"/>
      <c r="Q22" s="2893"/>
      <c r="R22" s="2893"/>
      <c r="S22" s="2893"/>
      <c r="T22" s="2893"/>
      <c r="U22" s="2893"/>
      <c r="V22" s="2893"/>
      <c r="W22" s="2565"/>
      <c r="X22" s="2565"/>
      <c r="Y22" s="2565"/>
      <c r="Z22" s="2565"/>
      <c r="AA22" s="2565"/>
      <c r="AB22" s="2565"/>
    </row>
    <row r="23" spans="1:28">
      <c r="A23" s="2965" t="s">
        <v>526</v>
      </c>
      <c r="B23" s="2554" t="s">
        <v>527</v>
      </c>
      <c r="C23" s="2966"/>
      <c r="D23" s="2967" t="s">
        <v>527</v>
      </c>
      <c r="E23" s="2968"/>
      <c r="F23" s="2741"/>
      <c r="G23" s="2741">
        <f>2025-G22</f>
        <v>15</v>
      </c>
      <c r="H23" s="2741"/>
      <c r="I23" s="2741"/>
      <c r="J23" s="2528"/>
      <c r="K23" s="2908"/>
      <c r="L23" s="983"/>
      <c r="M23" s="2909"/>
      <c r="N23" s="2528"/>
      <c r="O23" s="2215"/>
      <c r="P23" s="2528"/>
      <c r="Q23" s="2528"/>
      <c r="R23" s="2528"/>
      <c r="S23" s="2528"/>
      <c r="T23" s="2528"/>
      <c r="U23" s="2528"/>
      <c r="V23" s="2528"/>
    </row>
    <row r="24" spans="1:28">
      <c r="A24" s="2965"/>
      <c r="B24" s="2554" t="s">
        <v>528</v>
      </c>
      <c r="C24" s="2527"/>
      <c r="D24" s="2965" t="s">
        <v>528</v>
      </c>
      <c r="E24" s="2969"/>
      <c r="F24" s="2741"/>
      <c r="G24" s="2741">
        <f>40-(G23+2)</f>
        <v>23</v>
      </c>
      <c r="H24" s="2741"/>
      <c r="I24" s="2741"/>
      <c r="J24" s="2528"/>
      <c r="K24" s="2908"/>
      <c r="L24" s="983"/>
      <c r="M24" s="2909"/>
      <c r="N24" s="2528"/>
      <c r="O24" s="2215"/>
      <c r="P24" s="2528"/>
      <c r="Q24" s="2528"/>
      <c r="R24" s="2528"/>
      <c r="S24" s="2528"/>
      <c r="T24" s="2528"/>
      <c r="U24" s="2528"/>
      <c r="V24" s="2528"/>
    </row>
    <row r="25" spans="1:28">
      <c r="A25" s="2965"/>
      <c r="B25" s="2554" t="s">
        <v>529</v>
      </c>
      <c r="C25" s="2527"/>
      <c r="D25" s="2965" t="s">
        <v>529</v>
      </c>
      <c r="E25" s="2969"/>
      <c r="F25" s="2741"/>
      <c r="G25" s="2741"/>
      <c r="H25" s="2741"/>
      <c r="I25" s="2741"/>
      <c r="J25" s="2528"/>
      <c r="K25" s="2911"/>
      <c r="L25" s="2909"/>
      <c r="M25" s="2909"/>
      <c r="N25" s="2528"/>
      <c r="O25" s="2215"/>
      <c r="P25" s="2528"/>
      <c r="Q25" s="2528"/>
      <c r="R25" s="2528"/>
      <c r="S25" s="2528"/>
      <c r="T25" s="2528"/>
      <c r="U25" s="2528"/>
      <c r="V25" s="2528"/>
    </row>
    <row r="26" spans="1:28">
      <c r="A26" s="2970"/>
      <c r="B26" s="2971" t="s">
        <v>530</v>
      </c>
      <c r="C26" s="2972"/>
      <c r="D26" s="2970" t="s">
        <v>530</v>
      </c>
      <c r="E26" s="2973"/>
      <c r="F26" s="2922"/>
      <c r="G26" s="2922"/>
      <c r="H26" s="2922"/>
      <c r="I26" s="2922"/>
      <c r="J26" s="2528"/>
      <c r="K26" s="2911"/>
      <c r="L26" s="2909"/>
      <c r="M26" s="2909"/>
      <c r="N26" s="2528"/>
      <c r="O26" s="2215"/>
      <c r="P26" s="2528"/>
      <c r="Q26" s="2528"/>
      <c r="R26" s="2528"/>
      <c r="S26" s="2528"/>
      <c r="T26" s="2528"/>
      <c r="U26" s="2528"/>
      <c r="V26" s="2528"/>
    </row>
    <row r="27" spans="1:28">
      <c r="A27" s="3219" t="s">
        <v>531</v>
      </c>
      <c r="B27" s="1885" t="s">
        <v>532</v>
      </c>
      <c r="C27" s="2974" t="s">
        <v>533</v>
      </c>
      <c r="D27" s="2975"/>
      <c r="E27" s="2741"/>
      <c r="F27" s="2741"/>
      <c r="G27" s="2741"/>
      <c r="H27" s="2741"/>
      <c r="I27" s="2741"/>
      <c r="J27" s="2528"/>
      <c r="K27" s="2949"/>
      <c r="L27" s="2215"/>
      <c r="M27" s="2215"/>
      <c r="N27" s="2528"/>
      <c r="O27" s="2215"/>
      <c r="P27" s="2528"/>
      <c r="Q27" s="2528"/>
      <c r="R27" s="2528"/>
      <c r="S27" s="2528"/>
      <c r="T27" s="2528"/>
      <c r="U27" s="2528"/>
      <c r="V27" s="2528"/>
    </row>
    <row r="28" spans="1:28">
      <c r="A28" s="3219"/>
      <c r="B28" s="1837" t="s">
        <v>534</v>
      </c>
      <c r="C28" s="2976" t="s">
        <v>535</v>
      </c>
      <c r="D28" s="2977"/>
      <c r="E28" s="2741"/>
      <c r="F28" s="2741"/>
      <c r="G28" s="2741"/>
      <c r="H28" s="2741"/>
      <c r="I28" s="2741"/>
      <c r="J28" s="2528"/>
      <c r="K28" s="2911"/>
      <c r="L28" s="2909"/>
      <c r="M28" s="2909"/>
      <c r="N28" s="2528"/>
      <c r="O28" s="2215"/>
      <c r="P28" s="2528"/>
      <c r="Q28" s="2528"/>
      <c r="R28" s="2528"/>
      <c r="S28" s="2528"/>
      <c r="T28" s="2528"/>
      <c r="U28" s="2528"/>
      <c r="V28" s="2528"/>
    </row>
    <row r="29" spans="1:28">
      <c r="A29" s="3219"/>
      <c r="B29" s="1837" t="s">
        <v>536</v>
      </c>
      <c r="C29" s="2978" t="s">
        <v>537</v>
      </c>
      <c r="D29" s="2979"/>
      <c r="E29" s="2741"/>
      <c r="F29" s="2741"/>
      <c r="G29" s="2741"/>
      <c r="H29" s="2741"/>
      <c r="I29" s="2741"/>
      <c r="J29" s="2528"/>
      <c r="K29" s="2911"/>
      <c r="L29" s="2909"/>
      <c r="M29" s="2909"/>
      <c r="N29" s="2528"/>
      <c r="O29" s="2215"/>
      <c r="P29" s="2528"/>
      <c r="Q29" s="2528"/>
      <c r="R29" s="2528"/>
      <c r="S29" s="2528"/>
      <c r="T29" s="2528"/>
      <c r="U29" s="2528"/>
      <c r="V29" s="2528"/>
    </row>
    <row r="30" spans="1:28">
      <c r="A30" s="3220"/>
      <c r="B30" s="1837" t="s">
        <v>538</v>
      </c>
      <c r="C30" s="3246"/>
      <c r="D30" s="3247"/>
      <c r="E30" s="2741"/>
      <c r="F30" s="2741"/>
      <c r="G30" s="2741"/>
      <c r="H30" s="2741"/>
      <c r="I30" s="2741"/>
      <c r="J30" s="2528"/>
      <c r="K30" s="2911"/>
      <c r="L30" s="2909"/>
      <c r="M30" s="2909"/>
      <c r="N30" s="2528"/>
      <c r="O30" s="2215"/>
      <c r="P30" s="2528"/>
      <c r="Q30" s="2528"/>
      <c r="R30" s="2528"/>
      <c r="S30" s="2528"/>
      <c r="T30" s="2528"/>
      <c r="U30" s="2528"/>
      <c r="V30" s="2528"/>
    </row>
    <row r="31" spans="1:28">
      <c r="A31" s="3221" t="s">
        <v>539</v>
      </c>
      <c r="B31" s="2980" t="s">
        <v>540</v>
      </c>
      <c r="C31" s="1882" t="str">
        <f>IF(B31="现房","成新及维护状况正常否",IF(B31="在建","工程状态是否正常",IF(B31="土地","是否闲置","-")))</f>
        <v>成新及维护状况正常否</v>
      </c>
      <c r="D31" s="2096"/>
      <c r="E31" s="2981"/>
      <c r="F31" s="2741"/>
      <c r="G31" s="2741"/>
      <c r="H31" s="2741"/>
      <c r="I31" s="2741"/>
      <c r="J31" s="2528"/>
      <c r="K31" s="2908"/>
      <c r="L31" s="2909"/>
      <c r="M31" s="2909"/>
      <c r="N31" s="2528"/>
      <c r="O31" s="2215"/>
      <c r="P31" s="2528"/>
      <c r="Q31" s="2528"/>
      <c r="R31" s="2528"/>
      <c r="S31" s="2528"/>
      <c r="T31" s="2528"/>
      <c r="U31" s="2528"/>
      <c r="V31" s="2528"/>
    </row>
    <row r="32" spans="1:28">
      <c r="A32" s="3222"/>
      <c r="B32" s="2980"/>
      <c r="C32" s="1882" t="str">
        <f>IF(B32="现房","成新及维护状况是否正常",IF(B32="在建","工程状态是否正常",IF(B32="土地","是否闲置","-")))</f>
        <v>-</v>
      </c>
      <c r="D32" s="2096"/>
      <c r="E32" s="2981"/>
      <c r="F32" s="2741"/>
      <c r="G32" s="2741"/>
      <c r="H32" s="2741"/>
      <c r="I32" s="2741"/>
      <c r="J32" s="2528"/>
      <c r="K32" s="2911"/>
      <c r="L32" s="2909"/>
      <c r="M32" s="2909"/>
      <c r="N32" s="2528"/>
      <c r="O32" s="2215"/>
      <c r="P32" s="2528"/>
      <c r="Q32" s="2528"/>
      <c r="R32" s="2528"/>
      <c r="S32" s="2528"/>
      <c r="T32" s="2528"/>
      <c r="U32" s="2528"/>
      <c r="V32" s="2528"/>
    </row>
    <row r="33" spans="1:30">
      <c r="A33" s="3222"/>
      <c r="B33" s="2982"/>
      <c r="C33" s="2194" t="str">
        <f>IF(B33="现房","成新及维护状况是否正常",IF(B33="在建","工程状态是否正常",IF(B33="土地","是否闲置","-")))</f>
        <v>-</v>
      </c>
      <c r="D33" s="1850"/>
      <c r="E33" s="2983"/>
      <c r="F33" s="2741"/>
      <c r="G33" s="2741"/>
      <c r="H33" s="2741"/>
      <c r="I33" s="2741"/>
      <c r="J33" s="2528"/>
      <c r="K33" s="2911"/>
      <c r="L33" s="2909"/>
      <c r="M33" s="2909"/>
      <c r="N33" s="2528"/>
      <c r="O33" s="2215"/>
      <c r="P33" s="2528"/>
      <c r="Q33" s="2528"/>
      <c r="R33" s="2528"/>
      <c r="S33" s="2528"/>
      <c r="T33" s="2528"/>
      <c r="U33" s="2528"/>
      <c r="V33" s="2528"/>
    </row>
    <row r="34" spans="1:30">
      <c r="A34" s="1837" t="s">
        <v>541</v>
      </c>
      <c r="B34" s="565"/>
      <c r="C34" s="565"/>
      <c r="D34" s="565"/>
      <c r="E34" s="565"/>
      <c r="F34" s="565"/>
      <c r="G34" s="565"/>
      <c r="H34" s="565"/>
      <c r="I34" s="2741"/>
      <c r="J34" s="2528"/>
      <c r="K34" s="998">
        <f>COUNTIF(B34:H34,"——")</f>
        <v>0</v>
      </c>
      <c r="L34" s="1900" t="s">
        <v>542</v>
      </c>
      <c r="M34" s="1900" t="s">
        <v>543</v>
      </c>
      <c r="N34" s="1900" t="s">
        <v>544</v>
      </c>
      <c r="O34" s="1900" t="s">
        <v>545</v>
      </c>
      <c r="P34" s="1900" t="s">
        <v>546</v>
      </c>
      <c r="Q34" s="1900" t="s">
        <v>547</v>
      </c>
      <c r="R34" s="1900" t="s">
        <v>548</v>
      </c>
      <c r="S34" s="3241" t="s">
        <v>549</v>
      </c>
      <c r="T34" s="1900" t="str">
        <f>NUMBERSTRING(7-K34,1)&amp;"通"</f>
        <v>七通</v>
      </c>
      <c r="U34" s="2528"/>
      <c r="V34" s="2528"/>
    </row>
    <row r="35" spans="1:30">
      <c r="A35" s="2984"/>
      <c r="B35" s="3241" t="s">
        <v>550</v>
      </c>
      <c r="C35" s="3241"/>
      <c r="D35" s="3241"/>
      <c r="E35" s="3241"/>
      <c r="F35" s="998">
        <f>C10</f>
        <v>0</v>
      </c>
      <c r="G35" s="2741"/>
      <c r="H35" s="2741"/>
      <c r="I35" s="2741"/>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1"/>
      <c r="T35" s="900" t="str">
        <f>IF(T34="一通",L35,IF(T34="二通",M35,IF(T34="三通",N35,IF(T34="四通",O35,IF(T34="五通",P35,IF(T34="六通",Q35,R35))))))</f>
        <v>、、、、、、</v>
      </c>
      <c r="U35" s="2528"/>
      <c r="V35" s="2528"/>
    </row>
    <row r="36" spans="1:30">
      <c r="A36" s="2891"/>
      <c r="B36" s="998" t="s">
        <v>495</v>
      </c>
      <c r="C36" s="998" t="s">
        <v>496</v>
      </c>
      <c r="D36" s="998" t="s">
        <v>494</v>
      </c>
      <c r="E36" s="998" t="s">
        <v>499</v>
      </c>
      <c r="F36" s="2938" t="s">
        <v>231</v>
      </c>
      <c r="G36" s="2741"/>
      <c r="H36" s="2741"/>
      <c r="I36" s="2741"/>
      <c r="J36" s="2528"/>
      <c r="K36" s="2911"/>
      <c r="L36" s="2909"/>
      <c r="M36" s="2909"/>
      <c r="N36" s="2528"/>
      <c r="O36" s="2215"/>
      <c r="P36" s="2528"/>
      <c r="Q36" s="2528"/>
      <c r="R36" s="2528"/>
      <c r="S36" s="2528"/>
      <c r="T36" s="2528"/>
      <c r="U36" s="2528"/>
      <c r="V36" s="2528"/>
    </row>
    <row r="37" spans="1:30">
      <c r="A37" s="2985" t="s">
        <v>551</v>
      </c>
      <c r="B37" s="2986" t="s">
        <v>295</v>
      </c>
      <c r="C37" s="2986"/>
      <c r="D37" s="2986"/>
      <c r="E37" s="2986"/>
      <c r="F37" s="2986"/>
      <c r="G37" s="2741"/>
      <c r="H37" s="2741"/>
      <c r="I37" s="2741"/>
      <c r="J37" s="2528"/>
      <c r="K37" s="2911"/>
      <c r="L37" s="2909"/>
      <c r="M37" s="2909"/>
      <c r="N37" s="2528"/>
      <c r="O37" s="2215"/>
      <c r="P37" s="2528"/>
      <c r="Q37" s="2528"/>
      <c r="R37" s="2528"/>
      <c r="S37" s="2528"/>
      <c r="T37" s="2528"/>
      <c r="U37" s="2528"/>
      <c r="V37" s="2528"/>
    </row>
    <row r="38" spans="1:30">
      <c r="A38" s="2987" t="s">
        <v>552</v>
      </c>
      <c r="B38" s="2988" t="s">
        <v>553</v>
      </c>
      <c r="C38" s="2988"/>
      <c r="D38" s="2988"/>
      <c r="E38" s="2988"/>
      <c r="F38" s="2988"/>
      <c r="G38" s="2922"/>
      <c r="H38" s="2922"/>
      <c r="I38" s="2922"/>
      <c r="J38" s="2528"/>
      <c r="K38" s="2911"/>
      <c r="L38" s="2909"/>
      <c r="M38" s="2909"/>
      <c r="N38" s="2528"/>
      <c r="O38" s="2215"/>
      <c r="P38" s="2528"/>
      <c r="Q38" s="2528"/>
      <c r="R38" s="2528"/>
      <c r="S38" s="2528"/>
      <c r="T38" s="2528"/>
      <c r="U38" s="2528"/>
      <c r="V38" s="2528"/>
    </row>
    <row r="39" spans="1:30" s="2887" customFormat="1">
      <c r="A39" s="2989" t="s">
        <v>554</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236"/>
      <c r="J40" s="2528"/>
      <c r="K40" s="2908"/>
      <c r="L40" s="2215"/>
      <c r="M40" s="2215"/>
      <c r="N40" s="2528"/>
      <c r="O40" s="2215"/>
      <c r="P40" s="2528"/>
      <c r="Q40" s="2528"/>
      <c r="R40" s="2528"/>
      <c r="S40" s="2528"/>
      <c r="T40" s="2528"/>
      <c r="U40" s="2528"/>
      <c r="V40" s="2528"/>
    </row>
    <row r="41" spans="1:30">
      <c r="A41" s="2995" t="s">
        <v>555</v>
      </c>
      <c r="B41" s="2095"/>
      <c r="C41" s="2096"/>
      <c r="D41" s="2893"/>
      <c r="E41" s="2893"/>
      <c r="F41" s="2893"/>
      <c r="G41" s="2893"/>
      <c r="H41" s="2893"/>
      <c r="I41" s="2236"/>
      <c r="J41" s="2528"/>
      <c r="K41" s="2911"/>
      <c r="L41" s="2909"/>
      <c r="M41" s="2909"/>
      <c r="N41" s="2528"/>
      <c r="O41" s="2215"/>
      <c r="P41" s="2528"/>
      <c r="Q41" s="2528"/>
      <c r="R41" s="2528"/>
      <c r="S41" s="2528"/>
      <c r="T41" s="2528"/>
      <c r="U41" s="2528"/>
      <c r="V41" s="2528"/>
    </row>
    <row r="42" spans="1:30" ht="25.5">
      <c r="A42" s="1900" t="s">
        <v>556</v>
      </c>
      <c r="B42" s="998" t="s">
        <v>557</v>
      </c>
      <c r="C42" s="998" t="s">
        <v>558</v>
      </c>
      <c r="D42" s="998" t="s">
        <v>559</v>
      </c>
      <c r="E42" s="998" t="s">
        <v>560</v>
      </c>
      <c r="F42" s="998" t="s">
        <v>561</v>
      </c>
      <c r="G42" s="998" t="s">
        <v>562</v>
      </c>
      <c r="H42" s="998" t="s">
        <v>563</v>
      </c>
      <c r="I42" s="998" t="s">
        <v>564</v>
      </c>
      <c r="J42" s="2996" t="s">
        <v>565</v>
      </c>
      <c r="K42" s="2997" t="s">
        <v>566</v>
      </c>
      <c r="L42" s="2997" t="s">
        <v>567</v>
      </c>
      <c r="M42" s="2997" t="s">
        <v>568</v>
      </c>
      <c r="N42" s="2998" t="s">
        <v>569</v>
      </c>
      <c r="O42" s="2998" t="s">
        <v>570</v>
      </c>
      <c r="P42" s="2998" t="s">
        <v>571</v>
      </c>
      <c r="Q42" s="2999" t="s">
        <v>572</v>
      </c>
      <c r="R42" s="2999" t="s">
        <v>573</v>
      </c>
      <c r="S42" s="2528"/>
      <c r="T42" s="2528"/>
      <c r="U42" s="2528"/>
      <c r="V42" s="2528"/>
    </row>
    <row r="43" spans="1:30" s="2743"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3"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3"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3"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3"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3"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3"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3"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3" customFormat="1">
      <c r="A51" s="2874"/>
      <c r="B51" s="2874"/>
      <c r="C51" s="912"/>
      <c r="D51" s="912"/>
      <c r="E51" s="912"/>
      <c r="F51" s="912"/>
      <c r="G51" s="912"/>
      <c r="H51" s="912"/>
      <c r="I51" s="912"/>
      <c r="J51" s="3000"/>
      <c r="K51" s="3001"/>
      <c r="L51" s="3001"/>
      <c r="M51" s="912"/>
      <c r="N51" s="912"/>
      <c r="O51" s="912"/>
      <c r="P51" s="912"/>
      <c r="Q51" s="912"/>
      <c r="R51" s="912"/>
    </row>
    <row r="52" spans="1:22" s="2743" customFormat="1">
      <c r="A52" s="2874"/>
      <c r="B52" s="2874"/>
      <c r="C52" s="2874"/>
      <c r="D52" s="2874"/>
      <c r="E52" s="2874"/>
      <c r="F52" s="912"/>
      <c r="G52" s="2874"/>
      <c r="H52" s="2874"/>
      <c r="I52" s="2874"/>
      <c r="J52" s="3002"/>
      <c r="K52" s="3001"/>
      <c r="L52" s="3001"/>
      <c r="M52" s="3001"/>
      <c r="N52" s="2874"/>
      <c r="O52" s="2874"/>
      <c r="P52" s="2874"/>
      <c r="Q52" s="2874"/>
      <c r="R52" s="2874"/>
    </row>
    <row r="53" spans="1:22" s="2743" customFormat="1">
      <c r="A53" s="2874"/>
      <c r="B53" s="2874"/>
      <c r="C53" s="2874"/>
      <c r="D53" s="2874"/>
      <c r="E53" s="2874"/>
      <c r="F53" s="912"/>
      <c r="G53" s="2874"/>
      <c r="H53" s="2874"/>
      <c r="I53" s="2874"/>
      <c r="J53" s="3002"/>
      <c r="K53" s="3001"/>
      <c r="L53" s="3001"/>
      <c r="M53" s="3001"/>
      <c r="N53" s="2874"/>
      <c r="O53" s="2874"/>
      <c r="P53" s="2874"/>
      <c r="Q53" s="2874"/>
      <c r="R53" s="2874"/>
    </row>
    <row r="54" spans="1:22" s="2743" customFormat="1">
      <c r="A54" s="2874"/>
      <c r="B54" s="2874"/>
      <c r="C54" s="2874"/>
      <c r="D54" s="2874"/>
      <c r="E54" s="2874"/>
      <c r="F54" s="912"/>
      <c r="G54" s="2874"/>
      <c r="H54" s="2874"/>
      <c r="I54" s="2874"/>
      <c r="J54" s="3002"/>
      <c r="K54" s="3001"/>
      <c r="L54" s="3001"/>
      <c r="M54" s="3001"/>
      <c r="N54" s="2874"/>
      <c r="O54" s="2874"/>
      <c r="P54" s="2874"/>
      <c r="Q54" s="2874"/>
      <c r="R54" s="2874"/>
    </row>
    <row r="55" spans="1:22" s="2743" customFormat="1">
      <c r="A55" s="2874"/>
      <c r="B55" s="2874"/>
      <c r="C55" s="2874"/>
      <c r="D55" s="2874"/>
      <c r="E55" s="2874"/>
      <c r="F55" s="912"/>
      <c r="G55" s="2874"/>
      <c r="H55" s="2874"/>
      <c r="I55" s="2874"/>
      <c r="J55" s="3002"/>
      <c r="K55" s="3001"/>
      <c r="L55" s="3001"/>
      <c r="M55" s="3001"/>
      <c r="N55" s="2874"/>
      <c r="O55" s="2874"/>
      <c r="P55" s="2874"/>
      <c r="Q55" s="2874"/>
      <c r="R55" s="2874"/>
    </row>
    <row r="56" spans="1:22" s="2743"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176" t="s">
        <v>574</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575</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511</v>
      </c>
      <c r="B2" s="998" t="s">
        <v>507</v>
      </c>
      <c r="C2" s="998" t="s">
        <v>576</v>
      </c>
      <c r="D2" s="2236"/>
      <c r="E2" s="2173"/>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813" t="s">
        <v>577</v>
      </c>
      <c r="AZ2" s="2814" t="s">
        <v>578</v>
      </c>
      <c r="BA2" s="998" t="s">
        <v>579</v>
      </c>
      <c r="BB2" s="2236"/>
      <c r="BC2" s="2236"/>
      <c r="BD2" s="2236"/>
      <c r="BE2" s="2236"/>
      <c r="BF2" s="2236"/>
      <c r="BG2" s="2236"/>
      <c r="BH2" s="2236"/>
      <c r="BI2" s="2236"/>
      <c r="BJ2" s="2236"/>
      <c r="BK2" s="2236"/>
      <c r="BL2" s="2236"/>
      <c r="BM2" s="2236"/>
      <c r="BN2" s="2236"/>
      <c r="BO2" s="2236"/>
      <c r="BP2" s="2236"/>
      <c r="BQ2" s="2236"/>
      <c r="BR2" s="2236"/>
      <c r="BS2" s="2236"/>
      <c r="BT2" s="2236"/>
    </row>
    <row r="3" spans="1:72" s="2807" customFormat="1" ht="12.75">
      <c r="A3" s="2815"/>
      <c r="B3" s="2816">
        <f>IF(C3="否",G5-AT5,G5)</f>
        <v>296</v>
      </c>
      <c r="C3" s="2817" t="s">
        <v>580</v>
      </c>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818"/>
      <c r="AZ3" s="912"/>
      <c r="BA3" s="2819"/>
      <c r="BB3" s="2236"/>
      <c r="BC3" s="2236"/>
      <c r="BD3" s="2236"/>
      <c r="BE3" s="2236"/>
      <c r="BF3" s="2236"/>
      <c r="BG3" s="2236"/>
      <c r="BH3" s="2236"/>
      <c r="BI3" s="2236"/>
      <c r="BJ3" s="2236"/>
      <c r="BK3" s="2236"/>
      <c r="BL3" s="2236"/>
      <c r="BM3" s="2236"/>
      <c r="BN3" s="2236"/>
      <c r="BO3" s="2236"/>
      <c r="BP3" s="2236"/>
      <c r="BQ3" s="2236"/>
      <c r="BR3" s="2236"/>
      <c r="BS3" s="2236"/>
      <c r="BT3" s="2236"/>
    </row>
    <row r="4" spans="1:72" s="2807" customFormat="1" ht="12.75">
      <c r="A4" s="612"/>
      <c r="B4" s="2820"/>
      <c r="C4" s="2821"/>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822"/>
      <c r="BB4" s="2236"/>
      <c r="BC4" s="2236"/>
      <c r="BD4" s="2236"/>
      <c r="BE4" s="2236"/>
      <c r="BF4" s="2236"/>
      <c r="BG4" s="2236"/>
      <c r="BH4" s="2236"/>
      <c r="BI4" s="2236"/>
      <c r="BJ4" s="2236"/>
      <c r="BK4" s="2236"/>
      <c r="BL4" s="2236"/>
      <c r="BM4" s="2236"/>
      <c r="BN4" s="2236"/>
      <c r="BO4" s="2236"/>
      <c r="BP4" s="2236"/>
      <c r="BQ4" s="2236"/>
      <c r="BR4" s="2236"/>
      <c r="BS4" s="2236"/>
      <c r="BT4" s="2236"/>
    </row>
    <row r="5" spans="1:72" s="2807" customFormat="1" ht="12.75">
      <c r="A5" s="1882" t="s">
        <v>581</v>
      </c>
      <c r="B5" s="2092"/>
      <c r="C5" s="2092"/>
      <c r="D5" s="2093"/>
      <c r="E5" s="2823" t="s">
        <v>124</v>
      </c>
      <c r="F5" s="2823">
        <f>SUM(F13:F587)</f>
        <v>0</v>
      </c>
      <c r="G5" s="2823">
        <f>SUM(G13:G587)</f>
        <v>296</v>
      </c>
      <c r="H5" s="2823">
        <f t="shared" ref="H5:AT5" si="0">SUM(H13:H656)</f>
        <v>296</v>
      </c>
      <c r="I5" s="2823">
        <f t="shared" si="0"/>
        <v>296</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91"/>
      <c r="AV5" s="1882" t="s">
        <v>581</v>
      </c>
      <c r="AW5" s="2092"/>
      <c r="AX5" s="2092"/>
      <c r="AY5" s="904" t="s">
        <v>124</v>
      </c>
      <c r="AZ5" s="2824">
        <f t="shared" ref="AZ5:BT5" si="1">SUM(AZ13:AZ656)</f>
        <v>296</v>
      </c>
      <c r="BA5" s="2824">
        <f t="shared" si="1"/>
        <v>296</v>
      </c>
      <c r="BB5" s="2824">
        <f t="shared" si="1"/>
        <v>296</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582</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582</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583</v>
      </c>
      <c r="B7" s="2832" t="s">
        <v>584</v>
      </c>
      <c r="C7" s="2832" t="s">
        <v>557</v>
      </c>
      <c r="D7" s="2832" t="s">
        <v>585</v>
      </c>
      <c r="E7" s="2832" t="s">
        <v>582</v>
      </c>
      <c r="F7" s="2832" t="s">
        <v>586</v>
      </c>
      <c r="G7" s="2194" t="s">
        <v>587</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093"/>
      <c r="AU7" s="2833" t="s">
        <v>588</v>
      </c>
      <c r="AV7" s="2834" t="s">
        <v>583</v>
      </c>
      <c r="AW7" s="2236" t="s">
        <v>584</v>
      </c>
      <c r="AX7" s="2834" t="s">
        <v>557</v>
      </c>
      <c r="AY7" s="2092" t="s">
        <v>589</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7" customFormat="1" ht="24">
      <c r="A8" s="2837"/>
      <c r="B8" s="2837"/>
      <c r="C8" s="2837"/>
      <c r="D8" s="2837"/>
      <c r="E8" s="2837"/>
      <c r="F8" s="2837"/>
      <c r="G8" s="2838" t="s">
        <v>590</v>
      </c>
      <c r="H8" s="2839" t="s">
        <v>591</v>
      </c>
      <c r="I8" s="2840"/>
      <c r="J8" s="996"/>
      <c r="K8" s="996"/>
      <c r="L8" s="996"/>
      <c r="M8" s="996"/>
      <c r="N8" s="996"/>
      <c r="O8" s="996"/>
      <c r="P8" s="996"/>
      <c r="Q8" s="996"/>
      <c r="R8" s="996"/>
      <c r="S8" s="996"/>
      <c r="T8" s="996"/>
      <c r="U8" s="996"/>
      <c r="V8" s="2841"/>
      <c r="W8" s="996"/>
      <c r="X8" s="996"/>
      <c r="Y8" s="996"/>
      <c r="Z8" s="996"/>
      <c r="AA8" s="2841"/>
      <c r="AB8" s="2842"/>
      <c r="AC8" s="2216" t="s">
        <v>592</v>
      </c>
      <c r="AD8" s="2843"/>
      <c r="AE8" s="2835"/>
      <c r="AF8" s="996"/>
      <c r="AG8" s="996"/>
      <c r="AH8" s="996"/>
      <c r="AI8" s="996"/>
      <c r="AJ8" s="996"/>
      <c r="AK8" s="996"/>
      <c r="AL8" s="996"/>
      <c r="AM8" s="996"/>
      <c r="AN8" s="996"/>
      <c r="AO8" s="996"/>
      <c r="AP8" s="996"/>
      <c r="AQ8" s="996"/>
      <c r="AR8" s="996"/>
      <c r="AS8" s="996"/>
      <c r="AT8" s="1830" t="s">
        <v>593</v>
      </c>
      <c r="AU8" s="2837" t="s">
        <v>594</v>
      </c>
      <c r="AV8" s="1830"/>
      <c r="AW8" s="2173"/>
      <c r="AX8" s="1830"/>
      <c r="AY8" s="2236" t="s">
        <v>582</v>
      </c>
      <c r="AZ8" s="995" t="s">
        <v>507</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7"/>
      <c r="B9" s="2837"/>
      <c r="C9" s="2837"/>
      <c r="D9" s="2837"/>
      <c r="E9" s="2837"/>
      <c r="F9" s="2837"/>
      <c r="G9" s="1830"/>
      <c r="H9" s="2844" t="s">
        <v>595</v>
      </c>
      <c r="I9" s="2845" t="s">
        <v>469</v>
      </c>
      <c r="J9" s="2216"/>
      <c r="K9" s="2845"/>
      <c r="L9" s="2216"/>
      <c r="M9" s="2845"/>
      <c r="N9" s="2216"/>
      <c r="O9" s="2845"/>
      <c r="P9" s="2216"/>
      <c r="Q9" s="2845"/>
      <c r="R9" s="2216"/>
      <c r="S9" s="2845"/>
      <c r="T9" s="2216"/>
      <c r="U9" s="2845"/>
      <c r="V9" s="2216"/>
      <c r="W9" s="2845"/>
      <c r="X9" s="2846"/>
      <c r="Y9" s="2845"/>
      <c r="Z9" s="2216"/>
      <c r="AA9" s="2845"/>
      <c r="AB9" s="2216"/>
      <c r="AC9" s="2838" t="s">
        <v>595</v>
      </c>
      <c r="AD9" s="1882" t="s">
        <v>596</v>
      </c>
      <c r="AE9" s="1844"/>
      <c r="AF9" s="1882" t="s">
        <v>597</v>
      </c>
      <c r="AG9" s="1844"/>
      <c r="AH9" s="1882" t="s">
        <v>596</v>
      </c>
      <c r="AI9" s="1844"/>
      <c r="AJ9" s="1882" t="s">
        <v>597</v>
      </c>
      <c r="AK9" s="1844"/>
      <c r="AL9" s="1882" t="s">
        <v>596</v>
      </c>
      <c r="AM9" s="1844"/>
      <c r="AN9" s="1882" t="s">
        <v>597</v>
      </c>
      <c r="AO9" s="1844"/>
      <c r="AP9" s="1882" t="s">
        <v>596</v>
      </c>
      <c r="AQ9" s="1844"/>
      <c r="AR9" s="1882" t="s">
        <v>597</v>
      </c>
      <c r="AS9" s="2847"/>
      <c r="AT9" s="2837"/>
      <c r="AU9" s="2837" t="s">
        <v>598</v>
      </c>
      <c r="AV9" s="1830"/>
      <c r="AW9" s="2173"/>
      <c r="AX9" s="1830"/>
      <c r="AY9" s="2848"/>
      <c r="AZ9" s="2848" t="s">
        <v>590</v>
      </c>
      <c r="BA9" s="2849" t="s">
        <v>599</v>
      </c>
      <c r="BB9" s="2850"/>
      <c r="BC9" s="1893"/>
      <c r="BD9" s="1893"/>
      <c r="BE9" s="1893"/>
      <c r="BF9" s="1893"/>
      <c r="BG9" s="1893"/>
      <c r="BH9" s="1893"/>
      <c r="BI9" s="1893"/>
      <c r="BJ9" s="1893"/>
      <c r="BK9" s="2851"/>
      <c r="BL9" s="1882" t="s">
        <v>600</v>
      </c>
      <c r="BM9" s="996"/>
      <c r="BN9" s="2840"/>
      <c r="BO9" s="996"/>
      <c r="BP9" s="996"/>
      <c r="BQ9" s="996"/>
      <c r="BR9" s="996"/>
      <c r="BS9" s="996"/>
      <c r="BT9" s="1894"/>
    </row>
    <row r="10" spans="1:72" s="2567" customFormat="1" ht="12.75">
      <c r="A10" s="2837"/>
      <c r="B10" s="2837"/>
      <c r="C10" s="2837"/>
      <c r="D10" s="2837"/>
      <c r="E10" s="2837"/>
      <c r="F10" s="2837"/>
      <c r="G10" s="1830"/>
      <c r="H10" s="2848"/>
      <c r="I10" s="2845" t="s">
        <v>229</v>
      </c>
      <c r="J10" s="2216"/>
      <c r="K10" s="2852"/>
      <c r="L10" s="2216"/>
      <c r="M10" s="2852"/>
      <c r="N10" s="2216"/>
      <c r="O10" s="2852"/>
      <c r="P10" s="2216"/>
      <c r="Q10" s="2852"/>
      <c r="R10" s="2216"/>
      <c r="S10" s="2852"/>
      <c r="T10" s="2216"/>
      <c r="U10" s="2852"/>
      <c r="V10" s="2216"/>
      <c r="W10" s="2852"/>
      <c r="X10" s="2216"/>
      <c r="Y10" s="2852"/>
      <c r="Z10" s="2216"/>
      <c r="AA10" s="2852"/>
      <c r="AB10" s="2216"/>
      <c r="AC10" s="1830"/>
      <c r="AD10" s="1882" t="s">
        <v>601</v>
      </c>
      <c r="AE10" s="2853"/>
      <c r="AF10" s="1882" t="s">
        <v>601</v>
      </c>
      <c r="AG10" s="2853"/>
      <c r="AH10" s="1882" t="s">
        <v>602</v>
      </c>
      <c r="AI10" s="2853"/>
      <c r="AJ10" s="1882" t="s">
        <v>602</v>
      </c>
      <c r="AK10" s="2853"/>
      <c r="AL10" s="1882" t="s">
        <v>603</v>
      </c>
      <c r="AM10" s="1844"/>
      <c r="AN10" s="1882" t="s">
        <v>603</v>
      </c>
      <c r="AO10" s="1844"/>
      <c r="AP10" s="1882" t="s">
        <v>604</v>
      </c>
      <c r="AQ10" s="1844"/>
      <c r="AR10" s="1882" t="s">
        <v>604</v>
      </c>
      <c r="AS10" s="1844"/>
      <c r="AT10" s="2837"/>
      <c r="AU10" s="2837"/>
      <c r="AV10" s="1830"/>
      <c r="AW10" s="2173"/>
      <c r="AX10" s="1830"/>
      <c r="AY10" s="2848"/>
      <c r="AZ10" s="2848"/>
      <c r="BA10" s="2854" t="s">
        <v>595</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595</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7"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605</v>
      </c>
      <c r="AE11" s="997"/>
      <c r="AF11" s="2859" t="s">
        <v>605</v>
      </c>
      <c r="AG11" s="997"/>
      <c r="AH11" s="2859" t="s">
        <v>606</v>
      </c>
      <c r="AI11" s="2860"/>
      <c r="AJ11" s="2859" t="s">
        <v>606</v>
      </c>
      <c r="AK11" s="997"/>
      <c r="AL11" s="995"/>
      <c r="AM11" s="997"/>
      <c r="AN11" s="995"/>
      <c r="AO11" s="997"/>
      <c r="AP11" s="995"/>
      <c r="AQ11" s="997"/>
      <c r="AR11" s="995"/>
      <c r="AS11" s="997"/>
      <c r="AT11" s="2173"/>
      <c r="AU11" s="2837"/>
      <c r="AV11" s="1830"/>
      <c r="AW11" s="2173"/>
      <c r="AX11" s="1830"/>
      <c r="AY11" s="2848"/>
      <c r="AZ11" s="2848"/>
      <c r="BA11" s="2848"/>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093" t="s">
        <v>607</v>
      </c>
      <c r="J12" s="998" t="s">
        <v>608</v>
      </c>
      <c r="K12" s="998" t="s">
        <v>607</v>
      </c>
      <c r="L12" s="998" t="s">
        <v>608</v>
      </c>
      <c r="M12" s="998" t="s">
        <v>607</v>
      </c>
      <c r="N12" s="998" t="s">
        <v>608</v>
      </c>
      <c r="O12" s="998" t="s">
        <v>607</v>
      </c>
      <c r="P12" s="998" t="s">
        <v>608</v>
      </c>
      <c r="Q12" s="998" t="s">
        <v>607</v>
      </c>
      <c r="R12" s="998" t="s">
        <v>608</v>
      </c>
      <c r="S12" s="998" t="s">
        <v>607</v>
      </c>
      <c r="T12" s="998" t="s">
        <v>608</v>
      </c>
      <c r="U12" s="998" t="s">
        <v>607</v>
      </c>
      <c r="V12" s="2091" t="s">
        <v>608</v>
      </c>
      <c r="W12" s="998" t="s">
        <v>607</v>
      </c>
      <c r="X12" s="998" t="s">
        <v>608</v>
      </c>
      <c r="Y12" s="998" t="s">
        <v>607</v>
      </c>
      <c r="Z12" s="998" t="s">
        <v>608</v>
      </c>
      <c r="AA12" s="998" t="s">
        <v>607</v>
      </c>
      <c r="AB12" s="998" t="s">
        <v>608</v>
      </c>
      <c r="AC12" s="2864"/>
      <c r="AD12" s="2093" t="s">
        <v>607</v>
      </c>
      <c r="AE12" s="998" t="s">
        <v>608</v>
      </c>
      <c r="AF12" s="998" t="s">
        <v>607</v>
      </c>
      <c r="AG12" s="998" t="s">
        <v>608</v>
      </c>
      <c r="AH12" s="998" t="s">
        <v>607</v>
      </c>
      <c r="AI12" s="998" t="s">
        <v>608</v>
      </c>
      <c r="AJ12" s="998" t="s">
        <v>607</v>
      </c>
      <c r="AK12" s="998" t="s">
        <v>608</v>
      </c>
      <c r="AL12" s="998" t="s">
        <v>607</v>
      </c>
      <c r="AM12" s="998" t="s">
        <v>608</v>
      </c>
      <c r="AN12" s="998" t="s">
        <v>607</v>
      </c>
      <c r="AO12" s="998" t="s">
        <v>608</v>
      </c>
      <c r="AP12" s="998" t="s">
        <v>607</v>
      </c>
      <c r="AQ12" s="998" t="s">
        <v>608</v>
      </c>
      <c r="AR12" s="606" t="s">
        <v>607</v>
      </c>
      <c r="AS12" s="2862" t="s">
        <v>608</v>
      </c>
      <c r="AT12" s="2865"/>
      <c r="AU12" s="2862"/>
      <c r="AV12" s="2866"/>
      <c r="AW12" s="2236"/>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912">
        <v>1101</v>
      </c>
      <c r="D13" s="2869" t="s">
        <v>609</v>
      </c>
      <c r="E13" s="2823">
        <f>IF($C$3="是",ROUND($A$3*G13/$B$3,2),ROUND($A$3*(G13-AT13)/$B$3,2))</f>
        <v>0</v>
      </c>
      <c r="F13" s="2870"/>
      <c r="G13" s="2871">
        <f>H13+AC13+AT13</f>
        <v>296</v>
      </c>
      <c r="H13" s="2828">
        <f>SUMIF(I$12:AB$12,"总值",I13:AB13)</f>
        <v>296</v>
      </c>
      <c r="I13" s="2872">
        <v>296</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998">
        <f t="shared" ref="AV13:AX17" si="6">A13</f>
        <v>0</v>
      </c>
      <c r="AW13" s="998">
        <f t="shared" si="6"/>
        <v>0</v>
      </c>
      <c r="AX13" s="998">
        <f t="shared" si="6"/>
        <v>1101</v>
      </c>
      <c r="AY13" s="2093">
        <f>ROUND($AY$6*AZ13/$AZ$5,2)</f>
        <v>0</v>
      </c>
      <c r="AZ13" s="2823">
        <f>BA13+BL13</f>
        <v>296</v>
      </c>
      <c r="BA13" s="2823">
        <f>SUM(BB13:BK13)</f>
        <v>296</v>
      </c>
      <c r="BB13" s="2823">
        <f>IF($D13="是",I13-J13,0)</f>
        <v>296</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998">
        <f t="shared" si="6"/>
        <v>0</v>
      </c>
      <c r="AW14" s="998">
        <f t="shared" si="6"/>
        <v>0</v>
      </c>
      <c r="AX14" s="998">
        <f t="shared" si="6"/>
        <v>0</v>
      </c>
      <c r="AY14" s="2093">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998">
        <f t="shared" si="6"/>
        <v>0</v>
      </c>
      <c r="AW15" s="998">
        <f t="shared" si="6"/>
        <v>0</v>
      </c>
      <c r="AX15" s="998">
        <f t="shared" si="6"/>
        <v>0</v>
      </c>
      <c r="AY15" s="2093">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998">
        <f t="shared" si="6"/>
        <v>0</v>
      </c>
      <c r="AW16" s="998">
        <f t="shared" si="6"/>
        <v>0</v>
      </c>
      <c r="AX16" s="998">
        <f t="shared" si="6"/>
        <v>0</v>
      </c>
      <c r="AY16" s="2093">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998">
        <f t="shared" si="6"/>
        <v>0</v>
      </c>
      <c r="AW17" s="998">
        <f t="shared" si="6"/>
        <v>0</v>
      </c>
      <c r="AX17" s="998">
        <f t="shared" si="6"/>
        <v>0</v>
      </c>
      <c r="AY17" s="2093">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6" sqref="H46"/>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083" t="s">
        <v>610</v>
      </c>
      <c r="B1" s="2160"/>
      <c r="C1" s="2160"/>
      <c r="D1" s="2160"/>
      <c r="E1" s="2160"/>
      <c r="F1" s="2160"/>
      <c r="G1" s="2160"/>
      <c r="H1" s="2160"/>
      <c r="I1" s="2160"/>
      <c r="J1" s="2160"/>
      <c r="K1" s="2160"/>
      <c r="L1" s="2160"/>
      <c r="M1" s="2160"/>
      <c r="N1" s="2160"/>
      <c r="O1" s="2160"/>
      <c r="P1" s="2160"/>
    </row>
    <row r="2" spans="1:16" ht="15">
      <c r="A2" s="3257" t="s">
        <v>611</v>
      </c>
      <c r="B2" s="3257"/>
      <c r="C2" s="3257"/>
      <c r="D2" s="2435" t="s">
        <v>612</v>
      </c>
      <c r="E2" s="2745" t="s">
        <v>613</v>
      </c>
      <c r="F2" s="2573"/>
      <c r="G2" s="2746"/>
      <c r="H2" s="2747"/>
      <c r="I2" s="2306" t="s">
        <v>614</v>
      </c>
      <c r="J2" s="2573"/>
      <c r="K2" s="2573"/>
      <c r="L2" s="2573"/>
      <c r="M2" s="2573"/>
      <c r="N2" s="1063"/>
      <c r="O2" s="2573"/>
      <c r="P2" s="2573"/>
    </row>
    <row r="3" spans="1:16" ht="15">
      <c r="A3" s="3258" t="s">
        <v>615</v>
      </c>
      <c r="B3" s="3258"/>
      <c r="C3" s="3258"/>
      <c r="D3" s="2748">
        <f>'数据-基础表'!AY6</f>
        <v>0</v>
      </c>
      <c r="E3" s="2748">
        <f>'数据-基础表'!AZ5</f>
        <v>296</v>
      </c>
      <c r="F3" s="2573"/>
      <c r="G3" s="2749"/>
      <c r="H3" s="2108" t="s">
        <v>616</v>
      </c>
      <c r="I3" s="2383" t="e">
        <f>ROUND('数据-基础表'!B3/'数据-基础表'!A3,2)</f>
        <v>#DIV/0!</v>
      </c>
      <c r="J3" s="2573"/>
      <c r="K3" s="2573"/>
      <c r="L3" s="2573"/>
      <c r="M3" s="2573"/>
      <c r="N3" s="1063"/>
      <c r="O3" s="2573"/>
      <c r="P3" s="2573"/>
    </row>
    <row r="4" spans="1:16" ht="15">
      <c r="A4" s="3259"/>
      <c r="B4" s="3260"/>
      <c r="C4" s="3261"/>
      <c r="D4" s="2750" t="s">
        <v>612</v>
      </c>
      <c r="E4" s="2751" t="s">
        <v>613</v>
      </c>
      <c r="F4" s="2573"/>
      <c r="G4" s="2752" t="s">
        <v>617</v>
      </c>
      <c r="H4" s="2108" t="s">
        <v>618</v>
      </c>
      <c r="I4" s="2383" t="e">
        <f>ROUND(SUMIF('数据-基础表'!I9:AS9,"地上",'数据-基础表'!I5:AS5)/'数据-基础表'!A3,2)</f>
        <v>#DIV/0!</v>
      </c>
      <c r="J4" s="2573"/>
      <c r="K4" s="2573"/>
      <c r="L4" s="2573"/>
      <c r="M4" s="2573"/>
      <c r="N4" s="1063"/>
      <c r="O4" s="2573"/>
      <c r="P4" s="2573"/>
    </row>
    <row r="5" spans="1:16">
      <c r="A5" s="2749" t="s">
        <v>619</v>
      </c>
      <c r="B5" s="3262" t="s">
        <v>620</v>
      </c>
      <c r="C5" s="3262"/>
      <c r="D5" s="2108">
        <f>ROUND($D$3*E5/$E$3,2)</f>
        <v>0</v>
      </c>
      <c r="E5" s="2753">
        <f>SUMIF('数据-基础表'!$11:$11,"住宅",'数据-基础表'!$5:$5)</f>
        <v>0</v>
      </c>
      <c r="F5" s="2573"/>
      <c r="G5" s="2749"/>
      <c r="H5" s="2108" t="s">
        <v>616</v>
      </c>
      <c r="I5" s="2383" t="e">
        <f>ROUND(E31/D31,2)</f>
        <v>#DIV/0!</v>
      </c>
      <c r="J5" s="2573"/>
      <c r="K5" s="2573"/>
      <c r="L5" s="2573"/>
      <c r="M5" s="2573"/>
      <c r="N5" s="2573"/>
      <c r="O5" s="2573"/>
      <c r="P5" s="2573"/>
    </row>
    <row r="6" spans="1:16">
      <c r="A6" s="2754"/>
      <c r="B6" s="3262" t="s">
        <v>621</v>
      </c>
      <c r="C6" s="3262"/>
      <c r="D6" s="2108">
        <f>ROUND($D$3*E6/$E$3,2)</f>
        <v>0</v>
      </c>
      <c r="E6" s="2753">
        <f>E3-E5</f>
        <v>296</v>
      </c>
      <c r="F6" s="2573"/>
      <c r="G6" s="2755" t="s">
        <v>622</v>
      </c>
      <c r="H6" s="2756" t="s">
        <v>618</v>
      </c>
      <c r="I6" s="2757" t="e">
        <f>ROUND(F31/D31,2)</f>
        <v>#DIV/0!</v>
      </c>
      <c r="J6" s="2573"/>
      <c r="K6" s="2573"/>
      <c r="L6" s="2573"/>
      <c r="M6" s="2573"/>
      <c r="N6" s="2573"/>
      <c r="O6" s="2573"/>
      <c r="P6" s="2573"/>
    </row>
    <row r="7" spans="1:16" ht="15">
      <c r="A7" s="3248"/>
      <c r="B7" s="3249"/>
      <c r="C7" s="3250"/>
      <c r="D7" s="2750" t="s">
        <v>612</v>
      </c>
      <c r="E7" s="2758" t="s">
        <v>623</v>
      </c>
      <c r="F7" s="2573"/>
      <c r="G7" s="2759" t="s">
        <v>624</v>
      </c>
      <c r="H7" s="2674"/>
      <c r="I7" s="2760">
        <v>2.5</v>
      </c>
      <c r="J7" s="2573"/>
      <c r="K7" s="2573"/>
      <c r="L7" s="2573"/>
      <c r="M7" s="2573"/>
      <c r="N7" s="2573"/>
      <c r="O7" s="2573"/>
      <c r="P7" s="2573"/>
    </row>
    <row r="8" spans="1:16">
      <c r="A8" s="2749" t="s">
        <v>625</v>
      </c>
      <c r="B8" s="2756" t="s">
        <v>626</v>
      </c>
      <c r="C8" s="2108" t="s">
        <v>627</v>
      </c>
      <c r="D8" s="2108">
        <f t="shared" ref="D8:D15" si="0">ROUND($D$3*E8/$E$3,2)</f>
        <v>0</v>
      </c>
      <c r="E8" s="2761">
        <f>SUMIF('数据-基础表'!BB10:BK10,"地上",'数据-基础表'!BB5:BK5)</f>
        <v>296</v>
      </c>
      <c r="F8" s="2573"/>
      <c r="G8" s="2573"/>
      <c r="H8" s="2573"/>
      <c r="I8" s="2573"/>
      <c r="J8" s="2573"/>
      <c r="K8" s="2573"/>
      <c r="L8" s="2573"/>
      <c r="M8" s="2573"/>
      <c r="N8" s="2573"/>
      <c r="O8" s="2573"/>
      <c r="P8" s="2573"/>
    </row>
    <row r="9" spans="1:16">
      <c r="A9" s="2755"/>
      <c r="B9" s="2762"/>
      <c r="C9" s="2108" t="s">
        <v>628</v>
      </c>
      <c r="D9" s="2108">
        <f t="shared" si="0"/>
        <v>0</v>
      </c>
      <c r="E9" s="2763">
        <v>0</v>
      </c>
      <c r="F9" s="2573"/>
      <c r="G9" s="2573"/>
      <c r="H9" s="2573"/>
      <c r="I9" s="2573"/>
      <c r="J9" s="2573"/>
      <c r="K9" s="2573"/>
      <c r="L9" s="2573"/>
      <c r="M9" s="2573"/>
      <c r="N9" s="2573"/>
      <c r="O9" s="2573"/>
      <c r="P9" s="2573"/>
    </row>
    <row r="10" spans="1:16">
      <c r="A10" s="2755"/>
      <c r="B10" s="2762"/>
      <c r="C10" s="2108" t="s">
        <v>629</v>
      </c>
      <c r="D10" s="2108">
        <f t="shared" si="0"/>
        <v>0</v>
      </c>
      <c r="E10" s="2761">
        <f>SUMPRODUCT(('数据-基础表'!BB10:BK10="地下")*('数据-基础表'!BB11:BK11="商业")*('数据-基础表'!BB5:BK5))</f>
        <v>0</v>
      </c>
      <c r="F10" s="2573"/>
      <c r="G10" s="2573"/>
      <c r="H10" s="2573"/>
      <c r="I10" s="2573"/>
      <c r="J10" s="2573"/>
      <c r="K10" s="2573"/>
      <c r="L10" s="2573"/>
      <c r="M10" s="2573"/>
      <c r="N10" s="2573"/>
      <c r="O10" s="2573"/>
      <c r="P10" s="2573"/>
    </row>
    <row r="11" spans="1:16">
      <c r="A11" s="2755"/>
      <c r="B11" s="2762"/>
      <c r="C11" s="2108" t="s">
        <v>630</v>
      </c>
      <c r="D11" s="2108">
        <f t="shared" si="0"/>
        <v>0</v>
      </c>
      <c r="E11" s="2761">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5"/>
      <c r="B12" s="2762"/>
      <c r="C12" s="2108" t="s">
        <v>631</v>
      </c>
      <c r="D12" s="2108">
        <f t="shared" si="0"/>
        <v>0</v>
      </c>
      <c r="E12" s="2761">
        <f>SUMPRODUCT(('数据-基础表'!BB10:BK10="地下")*('数据-基础表'!BB11:BK11="仓储")*('数据-基础表'!BB5:BK5))</f>
        <v>0</v>
      </c>
      <c r="F12" s="2573"/>
      <c r="G12" s="2573"/>
      <c r="H12" s="2573"/>
      <c r="I12" s="2573"/>
      <c r="J12" s="2573"/>
      <c r="K12" s="2573"/>
      <c r="L12" s="2573"/>
      <c r="M12" s="2573"/>
      <c r="N12" s="2573"/>
      <c r="O12" s="2573"/>
      <c r="P12" s="2573"/>
    </row>
    <row r="13" spans="1:16">
      <c r="A13" s="2755"/>
      <c r="B13" s="2762"/>
      <c r="C13" s="2108" t="s">
        <v>632</v>
      </c>
      <c r="D13" s="2108">
        <f t="shared" si="0"/>
        <v>0</v>
      </c>
      <c r="E13" s="2761">
        <f>SUMPRODUCT(('数据-基础表'!BB10:BK10="地下")*('数据-基础表'!BB11:BK11="车库")*('数据-基础表'!BB5:BK5))</f>
        <v>0</v>
      </c>
      <c r="F13" s="2573"/>
      <c r="G13" s="2573"/>
      <c r="H13" s="2573"/>
      <c r="I13" s="2573"/>
      <c r="J13" s="2573"/>
      <c r="K13" s="2573"/>
      <c r="L13" s="2573"/>
      <c r="M13" s="2573"/>
      <c r="N13" s="2573"/>
      <c r="O13" s="2573"/>
      <c r="P13" s="2573"/>
    </row>
    <row r="14" spans="1:16">
      <c r="A14" s="2755"/>
      <c r="B14" s="2762"/>
      <c r="C14" s="2108" t="s">
        <v>633</v>
      </c>
      <c r="D14" s="2108">
        <f t="shared" si="0"/>
        <v>0</v>
      </c>
      <c r="E14" s="2761">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5"/>
      <c r="B15" s="2762"/>
      <c r="C15" s="2108" t="s">
        <v>634</v>
      </c>
      <c r="D15" s="2108">
        <f t="shared" si="0"/>
        <v>0</v>
      </c>
      <c r="E15" s="2761">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4"/>
      <c r="B16" s="2762"/>
      <c r="C16" s="2756" t="s">
        <v>635</v>
      </c>
      <c r="D16" s="2756">
        <f>SUM(D8:D15)</f>
        <v>0</v>
      </c>
      <c r="E16" s="2764">
        <f>SUM(E8:E15)</f>
        <v>296</v>
      </c>
      <c r="F16" s="2573"/>
      <c r="G16" s="2573"/>
      <c r="H16" s="2765" t="s">
        <v>636</v>
      </c>
      <c r="I16" s="2766"/>
      <c r="J16" s="2160"/>
      <c r="K16" s="3251" t="s">
        <v>636</v>
      </c>
      <c r="L16" s="3252"/>
      <c r="M16" s="3252"/>
      <c r="N16" s="3252"/>
      <c r="O16" s="3252"/>
      <c r="P16" s="3253"/>
    </row>
    <row r="17" spans="1:19" ht="15">
      <c r="A17" s="2580" t="s">
        <v>637</v>
      </c>
      <c r="B17" s="2768" t="s">
        <v>638</v>
      </c>
      <c r="C17" s="2133" t="s">
        <v>639</v>
      </c>
      <c r="D17" s="2767" t="s">
        <v>612</v>
      </c>
      <c r="E17" s="2769" t="s">
        <v>613</v>
      </c>
      <c r="F17" s="2770"/>
      <c r="G17" s="2771"/>
      <c r="H17" s="2772" t="s">
        <v>640</v>
      </c>
      <c r="I17" s="2773" t="s">
        <v>641</v>
      </c>
      <c r="J17" s="2160"/>
      <c r="K17" s="3254" t="s">
        <v>642</v>
      </c>
      <c r="L17" s="3255"/>
      <c r="M17" s="3256"/>
      <c r="N17" s="3254" t="s">
        <v>643</v>
      </c>
      <c r="O17" s="3255"/>
      <c r="P17" s="3256"/>
      <c r="R17" s="2473" t="s">
        <v>644</v>
      </c>
      <c r="S17" s="2098"/>
    </row>
    <row r="18" spans="1:19" ht="15">
      <c r="A18" s="2755"/>
      <c r="B18" s="2774"/>
      <c r="C18" s="2101"/>
      <c r="D18" s="2775"/>
      <c r="E18" s="2776" t="s">
        <v>645</v>
      </c>
      <c r="F18" s="2777" t="s">
        <v>618</v>
      </c>
      <c r="G18" s="2778" t="s">
        <v>646</v>
      </c>
      <c r="H18" s="2623" t="s">
        <v>647</v>
      </c>
      <c r="I18" s="2779" t="s">
        <v>648</v>
      </c>
      <c r="J18" s="2160"/>
      <c r="K18" s="2623" t="s">
        <v>649</v>
      </c>
      <c r="L18" s="2319" t="s">
        <v>650</v>
      </c>
      <c r="M18" s="2383" t="s">
        <v>651</v>
      </c>
      <c r="N18" s="2623" t="s">
        <v>649</v>
      </c>
      <c r="O18" s="2319" t="s">
        <v>650</v>
      </c>
      <c r="P18" s="2383" t="s">
        <v>651</v>
      </c>
      <c r="R18" s="2108" t="s">
        <v>647</v>
      </c>
      <c r="S18" s="2108" t="s">
        <v>648</v>
      </c>
    </row>
    <row r="19" spans="1:19">
      <c r="A19" s="2780"/>
      <c r="B19" s="2756" t="s">
        <v>652</v>
      </c>
      <c r="C19" s="2781" t="s">
        <v>229</v>
      </c>
      <c r="D19" s="2108">
        <f>ROUND($D$3*E19/$E$3,2)</f>
        <v>0</v>
      </c>
      <c r="E19" s="2782">
        <f t="shared" ref="E19:E26" si="1">SUM(F19:G19)</f>
        <v>296</v>
      </c>
      <c r="F19" s="2783">
        <f>'数据-基础表'!I13</f>
        <v>296</v>
      </c>
      <c r="G19" s="2146"/>
      <c r="H19" s="2648">
        <f>ROUND($D$3*I19/$E$3,2)</f>
        <v>0</v>
      </c>
      <c r="I19" s="2761">
        <f t="shared" ref="I19:I26" si="2">IF($I$17="自定义",P19,M19)</f>
        <v>0</v>
      </c>
      <c r="J19" s="2160"/>
      <c r="K19" s="2648">
        <f t="shared" ref="K19:K26" si="3">ROUND(E$28*E19/E$27,2)</f>
        <v>0</v>
      </c>
      <c r="L19" s="2108">
        <f t="shared" ref="L19:L26" si="4">ROUND(IF(COUNTIF(C19,"*住宅*")&gt;0,E$29*E19/E$32,0),2)</f>
        <v>0</v>
      </c>
      <c r="M19" s="2761">
        <f>K19+L19</f>
        <v>0</v>
      </c>
      <c r="N19" s="2784"/>
      <c r="O19" s="2785"/>
      <c r="P19" s="2761">
        <f>N19+O19</f>
        <v>0</v>
      </c>
      <c r="R19" s="2108">
        <f t="shared" ref="R19:S26" si="5">D19+H19</f>
        <v>0</v>
      </c>
      <c r="S19" s="2782">
        <f t="shared" si="5"/>
        <v>296</v>
      </c>
    </row>
    <row r="20" spans="1:19">
      <c r="A20" s="2780"/>
      <c r="B20" s="2756" t="s">
        <v>652</v>
      </c>
      <c r="C20" s="2781"/>
      <c r="D20" s="2108">
        <f t="shared" ref="D20:D26" si="6">ROUND($D$3*E20/$E$3,2)</f>
        <v>0</v>
      </c>
      <c r="E20" s="2782">
        <f t="shared" si="1"/>
        <v>0</v>
      </c>
      <c r="F20" s="2783"/>
      <c r="G20" s="2146"/>
      <c r="H20" s="2648">
        <f t="shared" ref="H20:H26" si="7">ROUND($D$3*I20/$E$3,2)</f>
        <v>0</v>
      </c>
      <c r="I20" s="2761">
        <f t="shared" si="2"/>
        <v>0</v>
      </c>
      <c r="J20" s="2160"/>
      <c r="K20" s="2648">
        <f t="shared" si="3"/>
        <v>0</v>
      </c>
      <c r="L20" s="2108">
        <f t="shared" si="4"/>
        <v>0</v>
      </c>
      <c r="M20" s="2761">
        <f t="shared" ref="M20:M26" si="8">K20+L20</f>
        <v>0</v>
      </c>
      <c r="N20" s="2784"/>
      <c r="O20" s="2785"/>
      <c r="P20" s="2761">
        <f t="shared" ref="P20:P26" si="9">N20+O20</f>
        <v>0</v>
      </c>
      <c r="R20" s="2108">
        <f t="shared" si="5"/>
        <v>0</v>
      </c>
      <c r="S20" s="2782">
        <f t="shared" si="5"/>
        <v>0</v>
      </c>
    </row>
    <row r="21" spans="1:19">
      <c r="A21" s="2780"/>
      <c r="B21" s="2756" t="s">
        <v>652</v>
      </c>
      <c r="C21" s="2781"/>
      <c r="D21" s="2108">
        <f t="shared" si="6"/>
        <v>0</v>
      </c>
      <c r="E21" s="2782">
        <f t="shared" si="1"/>
        <v>0</v>
      </c>
      <c r="F21" s="2783"/>
      <c r="G21" s="2146"/>
      <c r="H21" s="2648">
        <f t="shared" si="7"/>
        <v>0</v>
      </c>
      <c r="I21" s="2761">
        <f t="shared" si="2"/>
        <v>0</v>
      </c>
      <c r="J21" s="2160"/>
      <c r="K21" s="2648">
        <f t="shared" si="3"/>
        <v>0</v>
      </c>
      <c r="L21" s="2108">
        <f t="shared" si="4"/>
        <v>0</v>
      </c>
      <c r="M21" s="2761">
        <f t="shared" si="8"/>
        <v>0</v>
      </c>
      <c r="N21" s="2784"/>
      <c r="O21" s="2785"/>
      <c r="P21" s="2761">
        <f t="shared" si="9"/>
        <v>0</v>
      </c>
      <c r="R21" s="2108">
        <f t="shared" si="5"/>
        <v>0</v>
      </c>
      <c r="S21" s="2782">
        <f t="shared" si="5"/>
        <v>0</v>
      </c>
    </row>
    <row r="22" spans="1:19">
      <c r="A22" s="2780"/>
      <c r="B22" s="2756" t="s">
        <v>652</v>
      </c>
      <c r="C22" s="2786"/>
      <c r="D22" s="2108">
        <f t="shared" si="6"/>
        <v>0</v>
      </c>
      <c r="E22" s="2782">
        <f t="shared" si="1"/>
        <v>0</v>
      </c>
      <c r="F22" s="2787"/>
      <c r="G22" s="2788"/>
      <c r="H22" s="2648">
        <f t="shared" si="7"/>
        <v>0</v>
      </c>
      <c r="I22" s="2761">
        <f t="shared" si="2"/>
        <v>0</v>
      </c>
      <c r="J22" s="2160"/>
      <c r="K22" s="2648">
        <f t="shared" si="3"/>
        <v>0</v>
      </c>
      <c r="L22" s="2108">
        <f t="shared" si="4"/>
        <v>0</v>
      </c>
      <c r="M22" s="2761">
        <f t="shared" si="8"/>
        <v>0</v>
      </c>
      <c r="N22" s="2784"/>
      <c r="O22" s="2785"/>
      <c r="P22" s="2761">
        <f t="shared" si="9"/>
        <v>0</v>
      </c>
      <c r="R22" s="2108">
        <f t="shared" si="5"/>
        <v>0</v>
      </c>
      <c r="S22" s="2782">
        <f t="shared" si="5"/>
        <v>0</v>
      </c>
    </row>
    <row r="23" spans="1:19">
      <c r="A23" s="2780"/>
      <c r="B23" s="2756" t="s">
        <v>652</v>
      </c>
      <c r="C23" s="2786"/>
      <c r="D23" s="2108">
        <f t="shared" si="6"/>
        <v>0</v>
      </c>
      <c r="E23" s="2782">
        <f t="shared" si="1"/>
        <v>0</v>
      </c>
      <c r="F23" s="2787"/>
      <c r="G23" s="2788"/>
      <c r="H23" s="2648">
        <f t="shared" si="7"/>
        <v>0</v>
      </c>
      <c r="I23" s="2761">
        <f t="shared" si="2"/>
        <v>0</v>
      </c>
      <c r="J23" s="2160"/>
      <c r="K23" s="2648">
        <f t="shared" si="3"/>
        <v>0</v>
      </c>
      <c r="L23" s="2108">
        <f t="shared" si="4"/>
        <v>0</v>
      </c>
      <c r="M23" s="2761">
        <f t="shared" si="8"/>
        <v>0</v>
      </c>
      <c r="N23" s="2784"/>
      <c r="O23" s="2785"/>
      <c r="P23" s="2761">
        <f t="shared" si="9"/>
        <v>0</v>
      </c>
      <c r="R23" s="2108">
        <f t="shared" si="5"/>
        <v>0</v>
      </c>
      <c r="S23" s="2782">
        <f t="shared" si="5"/>
        <v>0</v>
      </c>
    </row>
    <row r="24" spans="1:19">
      <c r="A24" s="2780"/>
      <c r="B24" s="2756" t="s">
        <v>652</v>
      </c>
      <c r="C24" s="2786"/>
      <c r="D24" s="2108">
        <f t="shared" si="6"/>
        <v>0</v>
      </c>
      <c r="E24" s="2782">
        <f t="shared" si="1"/>
        <v>0</v>
      </c>
      <c r="F24" s="2787"/>
      <c r="G24" s="2788"/>
      <c r="H24" s="2648">
        <f t="shared" si="7"/>
        <v>0</v>
      </c>
      <c r="I24" s="2761">
        <f t="shared" si="2"/>
        <v>0</v>
      </c>
      <c r="J24" s="2160"/>
      <c r="K24" s="2648">
        <f t="shared" si="3"/>
        <v>0</v>
      </c>
      <c r="L24" s="2108">
        <f t="shared" si="4"/>
        <v>0</v>
      </c>
      <c r="M24" s="2761">
        <f t="shared" si="8"/>
        <v>0</v>
      </c>
      <c r="N24" s="2784"/>
      <c r="O24" s="2785"/>
      <c r="P24" s="2761">
        <f t="shared" si="9"/>
        <v>0</v>
      </c>
      <c r="R24" s="2108">
        <f t="shared" si="5"/>
        <v>0</v>
      </c>
      <c r="S24" s="2782">
        <f t="shared" si="5"/>
        <v>0</v>
      </c>
    </row>
    <row r="25" spans="1:19">
      <c r="A25" s="2780"/>
      <c r="B25" s="2756" t="s">
        <v>652</v>
      </c>
      <c r="C25" s="2786"/>
      <c r="D25" s="2108">
        <f t="shared" si="6"/>
        <v>0</v>
      </c>
      <c r="E25" s="2782">
        <f t="shared" si="1"/>
        <v>0</v>
      </c>
      <c r="F25" s="2787"/>
      <c r="G25" s="2788"/>
      <c r="H25" s="2749">
        <f t="shared" si="7"/>
        <v>0</v>
      </c>
      <c r="I25" s="2761">
        <f t="shared" si="2"/>
        <v>0</v>
      </c>
      <c r="J25" s="2160"/>
      <c r="K25" s="2648">
        <f t="shared" si="3"/>
        <v>0</v>
      </c>
      <c r="L25" s="2108">
        <f t="shared" si="4"/>
        <v>0</v>
      </c>
      <c r="M25" s="2761">
        <f t="shared" si="8"/>
        <v>0</v>
      </c>
      <c r="N25" s="2784"/>
      <c r="O25" s="2785"/>
      <c r="P25" s="2761">
        <f t="shared" si="9"/>
        <v>0</v>
      </c>
      <c r="R25" s="2108">
        <f t="shared" si="5"/>
        <v>0</v>
      </c>
      <c r="S25" s="2782">
        <f t="shared" si="5"/>
        <v>0</v>
      </c>
    </row>
    <row r="26" spans="1:19">
      <c r="A26" s="2780"/>
      <c r="B26" s="2756" t="s">
        <v>652</v>
      </c>
      <c r="C26" s="2789"/>
      <c r="D26" s="2108">
        <f t="shared" si="6"/>
        <v>0</v>
      </c>
      <c r="E26" s="2782">
        <f t="shared" si="1"/>
        <v>0</v>
      </c>
      <c r="F26" s="2787"/>
      <c r="G26" s="2788"/>
      <c r="H26" s="2749">
        <f t="shared" si="7"/>
        <v>0</v>
      </c>
      <c r="I26" s="2761">
        <f t="shared" si="2"/>
        <v>0</v>
      </c>
      <c r="J26" s="2160"/>
      <c r="K26" s="2749">
        <f t="shared" si="3"/>
        <v>0</v>
      </c>
      <c r="L26" s="2756">
        <f t="shared" si="4"/>
        <v>0</v>
      </c>
      <c r="M26" s="2764">
        <f t="shared" si="8"/>
        <v>0</v>
      </c>
      <c r="N26" s="2790"/>
      <c r="O26" s="2791"/>
      <c r="P26" s="2764">
        <f t="shared" si="9"/>
        <v>0</v>
      </c>
      <c r="R26" s="2108">
        <f t="shared" si="5"/>
        <v>0</v>
      </c>
      <c r="S26" s="2782">
        <f t="shared" si="5"/>
        <v>0</v>
      </c>
    </row>
    <row r="27" spans="1:19" ht="15">
      <c r="A27" s="2780"/>
      <c r="B27" s="2108"/>
      <c r="C27" s="2309" t="s">
        <v>653</v>
      </c>
      <c r="D27" s="2792">
        <f>SUM(D19:D26)</f>
        <v>0</v>
      </c>
      <c r="E27" s="2793">
        <f>IF(SUM(E19:E26)='数据-基础表'!BA5,SUM(E19:E26),IF(F27="地上面积有误","面积有误","地下面积有误"))</f>
        <v>296</v>
      </c>
      <c r="F27" s="2792">
        <f>IF(SUM(F19:F26)=E8,SUM(F19:F26),"地上面积有误")</f>
        <v>296</v>
      </c>
      <c r="G27" s="2794">
        <f>SUM(G19:G26)</f>
        <v>0</v>
      </c>
      <c r="H27" s="2795">
        <f>SUM(H19:H26)</f>
        <v>0</v>
      </c>
      <c r="I27" s="2796">
        <f>SUM(I19:I26)</f>
        <v>0</v>
      </c>
      <c r="J27" s="2160"/>
      <c r="K27" s="2797">
        <f>SUM(K19:K26)</f>
        <v>0</v>
      </c>
      <c r="L27" s="2480">
        <f>SUM(L19:L26)</f>
        <v>0</v>
      </c>
      <c r="M27" s="2798">
        <f>SUM(M19:M26)</f>
        <v>0</v>
      </c>
      <c r="N27" s="2797">
        <f t="shared" ref="N27:P27" si="10">SUM(N19:N26)</f>
        <v>0</v>
      </c>
      <c r="O27" s="2480">
        <f t="shared" si="10"/>
        <v>0</v>
      </c>
      <c r="P27" s="2673">
        <f t="shared" si="10"/>
        <v>0</v>
      </c>
      <c r="R27" s="2598">
        <f>IF(SUM(R19:R26)=$D$3,SUM(R19:R26),SUM(R19:R26)&amp;"误差"&amp;ROUND(SUM(R19:R26)-$D$3,2))</f>
        <v>0</v>
      </c>
      <c r="S27" s="2108">
        <f>IF(SUM(S19:S26)=$E$3,SUM(S19:S26),SUM(S19:S26)&amp;"误差"&amp;ROUND(SUM(S19:S26)-E3,2))</f>
        <v>296</v>
      </c>
    </row>
    <row r="28" spans="1:19">
      <c r="A28" s="2780"/>
      <c r="B28" s="2756" t="s">
        <v>654</v>
      </c>
      <c r="C28" s="2098" t="s">
        <v>655</v>
      </c>
      <c r="D28" s="2108">
        <f>ROUND($D$3*E28/$E$3,2)</f>
        <v>0</v>
      </c>
      <c r="E28" s="2782">
        <f>SUM(F28:G28)</f>
        <v>0</v>
      </c>
      <c r="F28" s="2098">
        <f>'数据-基础表'!BQ5+'数据-基础表'!BS5</f>
        <v>0</v>
      </c>
      <c r="G28" s="2460">
        <f>'数据-基础表'!BR5+'数据-基础表'!BT5</f>
        <v>0</v>
      </c>
      <c r="H28" s="2573"/>
      <c r="I28" s="2573"/>
      <c r="J28" s="2573"/>
      <c r="K28" s="2573"/>
      <c r="L28" s="2573"/>
      <c r="M28" s="2573"/>
      <c r="N28" s="2573"/>
      <c r="O28" s="2573"/>
      <c r="P28" s="2573"/>
    </row>
    <row r="29" spans="1:19">
      <c r="A29" s="2780"/>
      <c r="B29" s="2756" t="s">
        <v>654</v>
      </c>
      <c r="C29" s="2158" t="s">
        <v>656</v>
      </c>
      <c r="D29" s="2108">
        <f>ROUND($D$3*E29/$E$3,2)</f>
        <v>0</v>
      </c>
      <c r="E29" s="2782">
        <f>SUM(F29:G29)</f>
        <v>0</v>
      </c>
      <c r="F29" s="2799">
        <f>'数据-基础表'!BM5+'数据-基础表'!BO5</f>
        <v>0</v>
      </c>
      <c r="G29" s="2764">
        <f>'数据-基础表'!BN5+'数据-基础表'!BP5</f>
        <v>0</v>
      </c>
      <c r="H29" s="2573"/>
      <c r="I29" s="2573"/>
      <c r="J29" s="2573"/>
      <c r="K29" s="2573"/>
      <c r="L29" s="2573"/>
      <c r="M29" s="2573"/>
      <c r="N29" s="2573"/>
      <c r="O29" s="2573"/>
      <c r="P29" s="2573"/>
    </row>
    <row r="30" spans="1:19" ht="15">
      <c r="A30" s="2780"/>
      <c r="B30" s="2756"/>
      <c r="C30" s="2800" t="s">
        <v>653</v>
      </c>
      <c r="D30" s="2792">
        <f>SUM(D28:D29)</f>
        <v>0</v>
      </c>
      <c r="E30" s="2792">
        <f>SUM(E28:E29)</f>
        <v>0</v>
      </c>
      <c r="F30" s="2792">
        <f>SUM(F28:F29)</f>
        <v>0</v>
      </c>
      <c r="G30" s="2794">
        <f>SUM(G28:G29)</f>
        <v>0</v>
      </c>
      <c r="H30" s="2573"/>
      <c r="I30" s="2573"/>
      <c r="J30" s="2573"/>
      <c r="K30" s="2573"/>
      <c r="L30" s="2573"/>
      <c r="M30" s="2573"/>
      <c r="N30" s="2573"/>
      <c r="O30" s="2573"/>
      <c r="P30" s="2573"/>
    </row>
    <row r="31" spans="1:19" ht="15">
      <c r="A31" s="2801"/>
      <c r="B31" s="2672"/>
      <c r="C31" s="2480" t="s">
        <v>657</v>
      </c>
      <c r="D31" s="2802">
        <f>D27+D30</f>
        <v>0</v>
      </c>
      <c r="E31" s="2802">
        <f>E27+E30</f>
        <v>296</v>
      </c>
      <c r="F31" s="2803">
        <f>F27+F30</f>
        <v>296</v>
      </c>
      <c r="G31" s="2804">
        <f>G27+G30</f>
        <v>0</v>
      </c>
      <c r="H31" s="2573"/>
      <c r="I31" s="2573"/>
      <c r="J31" s="2573"/>
      <c r="K31" s="2573"/>
      <c r="L31" s="2573"/>
      <c r="M31" s="2573"/>
      <c r="N31" s="2573"/>
      <c r="O31" s="2573"/>
      <c r="P31" s="2573"/>
    </row>
    <row r="32" spans="1:19">
      <c r="A32" s="2774"/>
      <c r="B32" s="2774" t="s">
        <v>658</v>
      </c>
      <c r="C32" s="2774"/>
      <c r="D32" s="2774"/>
      <c r="E32" s="2805">
        <f>SUMIF(C19:C26,"*住宅*",E19:E26)</f>
        <v>0</v>
      </c>
      <c r="F32" s="2774"/>
      <c r="G32" s="2774"/>
      <c r="H32" s="2573"/>
      <c r="I32" s="2573"/>
      <c r="J32" s="2573"/>
      <c r="K32" s="2573"/>
      <c r="L32" s="2573"/>
      <c r="M32" s="2573"/>
      <c r="N32" s="2573"/>
      <c r="O32" s="2573"/>
      <c r="P32" s="257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17" sqref="N17"/>
    </sheetView>
  </sheetViews>
  <sheetFormatPr defaultColWidth="13.75" defaultRowHeight="12.75"/>
  <cols>
    <col min="1" max="1" width="20.875" style="2565" customWidth="1"/>
    <col min="2" max="2" width="12" style="2082" customWidth="1"/>
    <col min="3" max="3" width="12.75" style="2082" customWidth="1"/>
    <col min="4" max="4" width="9.125" style="2566" customWidth="1"/>
    <col min="5" max="5" width="15" style="2082" customWidth="1"/>
    <col min="6" max="10" width="8.875" style="2082" customWidth="1"/>
    <col min="11" max="12" width="12.375" style="2567"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898"/>
    <col min="41" max="41" width="11.625" style="898" customWidth="1"/>
    <col min="42" max="42" width="9.75" style="898" customWidth="1"/>
    <col min="43" max="67" width="13.75" style="898"/>
    <col min="68" max="16384" width="13.75" style="2082"/>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413"/>
      <c r="AO1" s="2413"/>
      <c r="AP1" s="2413"/>
      <c r="AQ1" s="2413"/>
      <c r="AR1" s="2413"/>
    </row>
    <row r="2" spans="1:67" s="2563" customFormat="1" ht="15">
      <c r="A2" s="2570" t="s">
        <v>660</v>
      </c>
      <c r="B2" s="2571">
        <f>项目基本情况!D3</f>
        <v>45981</v>
      </c>
      <c r="C2" s="2160"/>
      <c r="D2" s="2572"/>
      <c r="E2" s="2160"/>
      <c r="F2" s="2160"/>
      <c r="G2" s="2160"/>
      <c r="H2" s="2160"/>
      <c r="I2" s="2160"/>
      <c r="J2" s="2160"/>
      <c r="K2" s="1491"/>
      <c r="L2" s="1491"/>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101"/>
      <c r="C3" s="2160"/>
      <c r="D3" s="2572"/>
      <c r="E3" s="2160"/>
      <c r="F3" s="2160"/>
      <c r="G3" s="2160"/>
      <c r="H3" s="2160"/>
      <c r="I3" s="2160"/>
      <c r="J3" s="2160"/>
      <c r="K3" s="1491"/>
      <c r="L3" s="1491"/>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115"/>
      <c r="C4" s="2575"/>
      <c r="D4" s="2576"/>
      <c r="E4" s="2575" t="s">
        <v>662</v>
      </c>
      <c r="F4" s="2575"/>
      <c r="G4" s="2575"/>
      <c r="H4" s="2575"/>
      <c r="I4" s="2575"/>
      <c r="J4" s="2156"/>
      <c r="K4" s="2577"/>
      <c r="L4" s="2578"/>
      <c r="M4" s="2575"/>
      <c r="N4" s="2575" t="s">
        <v>663</v>
      </c>
      <c r="O4" s="2575"/>
      <c r="P4" s="2575"/>
      <c r="Q4" s="2575"/>
      <c r="R4" s="2575"/>
      <c r="S4" s="2156"/>
      <c r="T4" s="2579" t="str">
        <f>'数据-汇总表'!I17</f>
        <v>按面积比例</v>
      </c>
      <c r="U4" s="2115" t="s">
        <v>664</v>
      </c>
      <c r="V4" s="2575"/>
      <c r="W4" s="2575"/>
      <c r="X4" s="2575"/>
      <c r="Y4" s="2156"/>
      <c r="Z4" s="2133" t="s">
        <v>665</v>
      </c>
      <c r="AA4" s="2133"/>
      <c r="AB4" s="2133"/>
      <c r="AC4" s="2133"/>
      <c r="AD4" s="2133"/>
      <c r="AE4" s="2580" t="s">
        <v>666</v>
      </c>
      <c r="AF4" s="2133"/>
      <c r="AG4" s="2581"/>
      <c r="AH4" s="2115"/>
      <c r="AI4" s="2575"/>
      <c r="AJ4" s="2575"/>
      <c r="AK4" s="2575"/>
      <c r="AL4" s="2575"/>
      <c r="AM4" s="2156"/>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商业</v>
      </c>
      <c r="B6" s="2601" t="str">
        <f>IF(A6=0,"","经营性")</f>
        <v>经营性</v>
      </c>
      <c r="C6" s="2602" t="s">
        <v>229</v>
      </c>
      <c r="D6" s="2603">
        <f>SUMIF(项目基本情况!C$12:I$12,C6,项目基本情况!C$14:I$14)</f>
        <v>40</v>
      </c>
      <c r="E6" s="2604">
        <f>IF(B6="","",SUMIF(项目基本情况!C$12:I$12,C6,项目基本情况!C$13:I$13))</f>
        <v>54377</v>
      </c>
      <c r="F6" s="2605">
        <f>SUMIF(项目基本情况!C$12:I$12,C6,项目基本情况!C$15:I$15)</f>
        <v>23</v>
      </c>
      <c r="G6" s="2606">
        <f>IF(ISERROR(ROUND(POWER(1+H6,D6-F6)*(POWER(1+H6,F6)-1)/(POWER(1+H6,D6)-1),3)),0,ROUND(POWER(1+H6,D6-F6)*(POWER(1+H6,F6)-1)/(POWER(1+H6,D6)-1),3))</f>
        <v>0.78600000000000003</v>
      </c>
      <c r="H6" s="2607">
        <v>0.05</v>
      </c>
      <c r="I6" s="2607">
        <v>5.5E-2</v>
      </c>
      <c r="J6" s="2608">
        <v>0.06</v>
      </c>
      <c r="K6" s="2609">
        <f>SUMIF('数据-汇总表'!C$19:C$33,A6,'数据-汇总表'!E$19:E$33)</f>
        <v>296</v>
      </c>
      <c r="L6" s="2610">
        <v>4500</v>
      </c>
      <c r="M6" s="2611">
        <f t="shared" ref="M6:M14" si="0">ROUND(K6*L6/10000,0)</f>
        <v>133</v>
      </c>
      <c r="N6" s="2612">
        <f>N18</f>
        <v>0.75</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2.5</v>
      </c>
      <c r="V6" s="2618">
        <v>0.02</v>
      </c>
      <c r="W6" s="2618">
        <v>0.12</v>
      </c>
      <c r="X6" s="2619"/>
      <c r="Y6" s="2620">
        <f>N6</f>
        <v>0.75</v>
      </c>
      <c r="Z6" s="2621"/>
      <c r="AA6" s="2608"/>
      <c r="AB6" s="2608"/>
      <c r="AC6" s="2619"/>
      <c r="AD6" s="2622"/>
      <c r="AE6" s="2623">
        <f ca="1">IF(AN6="",0,SUMIF(INDIRECT("'"&amp;AN6&amp;"'"&amp;"!E:E"),$AE$5,INDIRECT("'"&amp;AN6&amp;"'"&amp;"!F:F")))</f>
        <v>23</v>
      </c>
      <c r="AF6" s="2094"/>
      <c r="AG6" s="1580">
        <f>IF(AF6="",0,AE6-AF6)</f>
        <v>0</v>
      </c>
      <c r="AH6" s="2624"/>
      <c r="AI6" s="2625">
        <v>365</v>
      </c>
      <c r="AJ6" s="2094"/>
      <c r="AK6" s="2626">
        <v>2E-3</v>
      </c>
      <c r="AL6" s="2627">
        <v>1E-3</v>
      </c>
      <c r="AM6" s="2628">
        <v>5.0000000000000001E-3</v>
      </c>
      <c r="AN6" s="2629" t="s">
        <v>355</v>
      </c>
      <c r="AO6" s="1069">
        <f ca="1">SUMIF(INDIRECT("'"&amp;AN6&amp;"'"&amp;"!A:A"),"总价",INDIRECT("'"&amp;AN6&amp;"'"&amp;"!B:B"))</f>
        <v>310.52550000000002</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1064"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094"/>
      <c r="AG7" s="1580">
        <f t="shared" ref="AG7:AG13" si="7">IF(AF7="",0,AE7-AF7)</f>
        <v>0</v>
      </c>
      <c r="AH7" s="2631"/>
      <c r="AI7" s="2625"/>
      <c r="AJ7" s="2094"/>
      <c r="AK7" s="2626"/>
      <c r="AL7" s="2627"/>
      <c r="AM7" s="2628"/>
      <c r="AN7" s="2629"/>
      <c r="AO7" s="1069" t="e">
        <f t="shared" ref="AO7:AO13" ca="1" si="8">SUMIF(INDIRECT("'"&amp;AN7&amp;"'"&amp;"!A:A"),"总价",INDIRECT("'"&amp;AN7&amp;"'"&amp;"!B:B"))</f>
        <v>#REF!</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2"/>
      <c r="V8" s="2633"/>
      <c r="W8" s="2633"/>
      <c r="X8" s="2619"/>
      <c r="Y8" s="2620"/>
      <c r="Z8" s="2621"/>
      <c r="AA8" s="2608"/>
      <c r="AB8" s="2608"/>
      <c r="AC8" s="2619"/>
      <c r="AD8" s="2622"/>
      <c r="AE8" s="2623">
        <f t="shared" ca="1" si="6"/>
        <v>0</v>
      </c>
      <c r="AF8" s="2094"/>
      <c r="AG8" s="1580">
        <f t="shared" si="7"/>
        <v>0</v>
      </c>
      <c r="AH8" s="2634"/>
      <c r="AI8" s="2625"/>
      <c r="AJ8" s="2094"/>
      <c r="AK8" s="2635"/>
      <c r="AL8" s="2636"/>
      <c r="AM8" s="2637"/>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8"/>
      <c r="R9" s="2614">
        <f ca="1">SUMIF('数据-汇总表'!C$19:C$33,A9,'数据-汇总表'!R$19:R$27)</f>
        <v>0</v>
      </c>
      <c r="S9" s="2615">
        <f>IF('数据-汇总表'!$I$17="按面积比例",SUMIF('数据-汇总表'!C$19:C$33,A9,'数据-汇总表'!K$19:K$33),SUMIF('数据-汇总表'!C$19:C$33,A9,'数据-汇总表'!N$19:N$33))</f>
        <v>0</v>
      </c>
      <c r="T9" s="2616">
        <f t="shared" si="5"/>
        <v>0</v>
      </c>
      <c r="U9" s="2639"/>
      <c r="V9" s="2618"/>
      <c r="W9" s="2618"/>
      <c r="X9" s="2619"/>
      <c r="Y9" s="2620"/>
      <c r="Z9" s="2621"/>
      <c r="AA9" s="2608"/>
      <c r="AB9" s="2608"/>
      <c r="AC9" s="2619"/>
      <c r="AD9" s="2622"/>
      <c r="AE9" s="2623">
        <f t="shared" ca="1" si="6"/>
        <v>0</v>
      </c>
      <c r="AF9" s="2094"/>
      <c r="AG9" s="1580">
        <f t="shared" si="7"/>
        <v>0</v>
      </c>
      <c r="AH9" s="2631"/>
      <c r="AI9" s="2625"/>
      <c r="AJ9" s="2094"/>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8"/>
      <c r="R10" s="2614">
        <f ca="1">SUMIF('数据-汇总表'!C$19:C$33,A10,'数据-汇总表'!R$19:R$27)</f>
        <v>0</v>
      </c>
      <c r="S10" s="2615">
        <f>IF('数据-汇总表'!$I$17="按面积比例",SUMIF('数据-汇总表'!C$19:C$33,A10,'数据-汇总表'!K$19:K$33),SUMIF('数据-汇总表'!C$19:C$33,A10,'数据-汇总表'!N$19:N$33))</f>
        <v>0</v>
      </c>
      <c r="T10" s="2616">
        <f t="shared" si="5"/>
        <v>0</v>
      </c>
      <c r="U10" s="2639"/>
      <c r="V10" s="2618"/>
      <c r="W10" s="2618"/>
      <c r="X10" s="2619"/>
      <c r="Y10" s="2620"/>
      <c r="Z10" s="2621"/>
      <c r="AA10" s="2608"/>
      <c r="AB10" s="2608"/>
      <c r="AC10" s="2619"/>
      <c r="AD10" s="2622"/>
      <c r="AE10" s="2623">
        <f t="shared" ca="1" si="6"/>
        <v>0</v>
      </c>
      <c r="AF10" s="2094"/>
      <c r="AG10" s="1580">
        <f t="shared" si="7"/>
        <v>0</v>
      </c>
      <c r="AH10" s="2631"/>
      <c r="AI10" s="2625"/>
      <c r="AJ10" s="2094"/>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40"/>
      <c r="M11" s="2611">
        <f t="shared" si="0"/>
        <v>0</v>
      </c>
      <c r="N11" s="2612"/>
      <c r="O11" s="2611" t="str">
        <f t="shared" si="3"/>
        <v>——</v>
      </c>
      <c r="P11" s="1064" t="str">
        <f t="shared" si="4"/>
        <v>——</v>
      </c>
      <c r="Q11" s="2638"/>
      <c r="R11" s="2614">
        <f ca="1">SUMIF('数据-汇总表'!C$19:C$33,A11,'数据-汇总表'!R$19:R$27)</f>
        <v>0</v>
      </c>
      <c r="S11" s="2615">
        <f>IF('数据-汇总表'!$I$17="按面积比例",SUMIF('数据-汇总表'!C$19:C$33,A11,'数据-汇总表'!K$19:K$33),SUMIF('数据-汇总表'!C$19:C$33,A11,'数据-汇总表'!N$19:N$33))</f>
        <v>0</v>
      </c>
      <c r="T11" s="2616">
        <f t="shared" si="5"/>
        <v>0</v>
      </c>
      <c r="U11" s="2639"/>
      <c r="V11" s="2608"/>
      <c r="W11" s="2608"/>
      <c r="X11" s="2619"/>
      <c r="Y11" s="2620"/>
      <c r="Z11" s="2641"/>
      <c r="AA11" s="2608"/>
      <c r="AB11" s="2608"/>
      <c r="AC11" s="2619"/>
      <c r="AD11" s="2622"/>
      <c r="AE11" s="2623">
        <f t="shared" ca="1" si="6"/>
        <v>0</v>
      </c>
      <c r="AF11" s="2094"/>
      <c r="AG11" s="1580">
        <f t="shared" si="7"/>
        <v>0</v>
      </c>
      <c r="AH11" s="2631"/>
      <c r="AI11" s="2625"/>
      <c r="AJ11" s="2094"/>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40"/>
      <c r="M12" s="2611">
        <f t="shared" si="0"/>
        <v>0</v>
      </c>
      <c r="N12" s="2612"/>
      <c r="O12" s="2611" t="str">
        <f t="shared" si="3"/>
        <v>——</v>
      </c>
      <c r="P12" s="1064" t="str">
        <f t="shared" si="4"/>
        <v>——</v>
      </c>
      <c r="Q12" s="2638"/>
      <c r="R12" s="2614">
        <f ca="1">SUMIF('数据-汇总表'!C$19:C$33,A12,'数据-汇总表'!R$19:R$27)</f>
        <v>0</v>
      </c>
      <c r="S12" s="2615">
        <f>IF('数据-汇总表'!$I$17="按面积比例",SUMIF('数据-汇总表'!C$19:C$33,A12,'数据-汇总表'!K$19:K$33),SUMIF('数据-汇总表'!C$19:C$33,A12,'数据-汇总表'!N$19:N$33))</f>
        <v>0</v>
      </c>
      <c r="T12" s="2616">
        <f t="shared" si="5"/>
        <v>0</v>
      </c>
      <c r="U12" s="2639"/>
      <c r="V12" s="2608"/>
      <c r="W12" s="2608"/>
      <c r="X12" s="2619"/>
      <c r="Y12" s="2620"/>
      <c r="Z12" s="2641"/>
      <c r="AA12" s="2608"/>
      <c r="AB12" s="2608"/>
      <c r="AC12" s="2619"/>
      <c r="AD12" s="2622"/>
      <c r="AE12" s="2623">
        <f t="shared" ca="1" si="6"/>
        <v>0</v>
      </c>
      <c r="AF12" s="2094"/>
      <c r="AG12" s="1580">
        <f t="shared" si="7"/>
        <v>0</v>
      </c>
      <c r="AH12" s="2631"/>
      <c r="AI12" s="2625"/>
      <c r="AJ12" s="2094"/>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40"/>
      <c r="M13" s="2611">
        <f t="shared" si="0"/>
        <v>0</v>
      </c>
      <c r="N13" s="2642"/>
      <c r="O13" s="2611" t="str">
        <f t="shared" si="3"/>
        <v>——</v>
      </c>
      <c r="P13" s="1064" t="str">
        <f t="shared" si="4"/>
        <v>——</v>
      </c>
      <c r="Q13" s="2638"/>
      <c r="R13" s="2614">
        <f ca="1">SUMIF('数据-汇总表'!C$19:C$33,A13,'数据-汇总表'!R$19:R$27)</f>
        <v>0</v>
      </c>
      <c r="S13" s="2615">
        <f>IF('数据-汇总表'!$I$17="按面积比例",SUMIF('数据-汇总表'!C$19:C$33,A13,'数据-汇总表'!K$19:K$33),SUMIF('数据-汇总表'!C$19:C$33,A13,'数据-汇总表'!N$19:N$33))</f>
        <v>0</v>
      </c>
      <c r="T13" s="2616">
        <f t="shared" si="5"/>
        <v>0</v>
      </c>
      <c r="U13" s="2643"/>
      <c r="V13" s="2618"/>
      <c r="W13" s="2618"/>
      <c r="X13" s="2619"/>
      <c r="Y13" s="2620"/>
      <c r="Z13" s="2621"/>
      <c r="AA13" s="2608"/>
      <c r="AB13" s="2608"/>
      <c r="AC13" s="2619"/>
      <c r="AD13" s="2622"/>
      <c r="AE13" s="2623">
        <f t="shared" ca="1" si="6"/>
        <v>0</v>
      </c>
      <c r="AF13" s="2094"/>
      <c r="AG13" s="1580">
        <f t="shared" si="7"/>
        <v>0</v>
      </c>
      <c r="AH13" s="2631"/>
      <c r="AI13" s="2625"/>
      <c r="AJ13" s="2094"/>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4" t="s">
        <v>655</v>
      </c>
      <c r="B14" s="2601" t="s">
        <v>654</v>
      </c>
      <c r="C14" s="2645" t="s">
        <v>655</v>
      </c>
      <c r="D14" s="2603"/>
      <c r="E14" s="2604"/>
      <c r="F14" s="2605"/>
      <c r="G14" s="2606"/>
      <c r="H14" s="2646"/>
      <c r="I14" s="2646"/>
      <c r="J14" s="2646"/>
      <c r="K14" s="2609">
        <f>SUMIF('数据-汇总表'!C$19:C$33,A14,'数据-汇总表'!E$19:E$33)</f>
        <v>0</v>
      </c>
      <c r="L14" s="2640"/>
      <c r="M14" s="2611">
        <f t="shared" si="0"/>
        <v>0</v>
      </c>
      <c r="N14" s="2642"/>
      <c r="O14" s="2611" t="str">
        <f t="shared" si="3"/>
        <v>——</v>
      </c>
      <c r="P14" s="1064" t="str">
        <f t="shared" si="4"/>
        <v>——</v>
      </c>
      <c r="Q14" s="2647"/>
      <c r="R14" s="2614"/>
      <c r="S14" s="2615"/>
      <c r="T14" s="2616"/>
      <c r="U14" s="2648"/>
      <c r="V14" s="2649"/>
      <c r="W14" s="2649"/>
      <c r="X14" s="2650"/>
      <c r="Y14" s="2651"/>
      <c r="Z14" s="2098"/>
      <c r="AA14" s="2652"/>
      <c r="AB14" s="2652"/>
      <c r="AC14" s="2619"/>
      <c r="AD14" s="2650"/>
      <c r="AE14" s="2623"/>
      <c r="AF14" s="1069"/>
      <c r="AG14" s="1580"/>
      <c r="AH14" s="2623"/>
      <c r="AI14" s="1068"/>
      <c r="AJ14" s="1069"/>
      <c r="AK14" s="2653"/>
      <c r="AL14" s="2654"/>
      <c r="AM14" s="2655"/>
      <c r="AN14" s="2413"/>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4" t="s">
        <v>656</v>
      </c>
      <c r="B15" s="2601" t="s">
        <v>654</v>
      </c>
      <c r="C15" s="2645" t="s">
        <v>702</v>
      </c>
      <c r="D15" s="2603"/>
      <c r="E15" s="2604"/>
      <c r="F15" s="2605"/>
      <c r="G15" s="2606"/>
      <c r="H15" s="2646"/>
      <c r="I15" s="2646"/>
      <c r="J15" s="2646"/>
      <c r="K15" s="2609">
        <f>SUMIF('数据-汇总表'!C$19:C$33,A15,'数据-汇总表'!E$19:E$33)</f>
        <v>0</v>
      </c>
      <c r="L15" s="2656"/>
      <c r="M15" s="2611"/>
      <c r="N15" s="2657"/>
      <c r="O15" s="2611"/>
      <c r="P15" s="1064"/>
      <c r="Q15" s="2647"/>
      <c r="R15" s="2614"/>
      <c r="S15" s="2615"/>
      <c r="T15" s="2616"/>
      <c r="U15" s="2648"/>
      <c r="V15" s="2649"/>
      <c r="W15" s="2649"/>
      <c r="X15" s="2650"/>
      <c r="Y15" s="2651"/>
      <c r="Z15" s="2098"/>
      <c r="AA15" s="2652"/>
      <c r="AB15" s="2652"/>
      <c r="AC15" s="2619"/>
      <c r="AD15" s="2650"/>
      <c r="AE15" s="2623"/>
      <c r="AF15" s="1069"/>
      <c r="AG15" s="1580"/>
      <c r="AH15" s="2623"/>
      <c r="AI15" s="1068"/>
      <c r="AJ15" s="1069"/>
      <c r="AK15" s="2653"/>
      <c r="AL15" s="2654"/>
      <c r="AM15" s="2655"/>
      <c r="AN15" s="2413"/>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8" t="s">
        <v>657</v>
      </c>
      <c r="B16" s="2659"/>
      <c r="C16" s="2478"/>
      <c r="D16" s="2660"/>
      <c r="E16" s="2659"/>
      <c r="F16" s="2659"/>
      <c r="G16" s="2661">
        <f>ROUND(SUMPRODUCT(G6:G13,K6:K13)/SUMPRODUCT((G6:G13&gt;0)*(K6:K13)),3)</f>
        <v>0.78600000000000003</v>
      </c>
      <c r="H16" s="2662">
        <f>ROUND(SUMPRODUCT(H6:H13,K6:K13)/SUMPRODUCT((H6:H13&gt;0)*(K6:K13)),3)</f>
        <v>0.05</v>
      </c>
      <c r="I16" s="2663"/>
      <c r="J16" s="2663"/>
      <c r="K16" s="2664">
        <f>SUM(K6:K15)</f>
        <v>296</v>
      </c>
      <c r="L16" s="2665">
        <f>ROUND(M16*10000/SUM(K6:K14),0)</f>
        <v>4493</v>
      </c>
      <c r="M16" s="2665">
        <f>SUM(M6:M14)</f>
        <v>133</v>
      </c>
      <c r="N16" s="2666">
        <f>ROUND(SUMPRODUCT(M6:M14,N6:N14)/M16,3)</f>
        <v>0.75</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110"/>
      <c r="W16" s="2110"/>
      <c r="X16" s="2672"/>
      <c r="Y16" s="2673"/>
      <c r="Z16" s="2674"/>
      <c r="AA16" s="2110"/>
      <c r="AB16" s="2110"/>
      <c r="AC16" s="2672"/>
      <c r="AD16" s="2672"/>
      <c r="AE16" s="2671"/>
      <c r="AF16" s="2110"/>
      <c r="AG16" s="2673"/>
      <c r="AH16" s="2671"/>
      <c r="AI16" s="2674"/>
      <c r="AJ16" s="2674"/>
      <c r="AK16" s="2110"/>
      <c r="AL16" s="2110"/>
      <c r="AM16" s="2673"/>
      <c r="AN16" s="2413"/>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5"/>
      <c r="C17" s="2413"/>
      <c r="D17" s="2676"/>
      <c r="E17" s="2676"/>
      <c r="F17" s="2413"/>
      <c r="G17" s="2413"/>
      <c r="H17" s="2413"/>
      <c r="I17" s="2413"/>
      <c r="J17" s="2413"/>
      <c r="K17" s="2677"/>
      <c r="L17" s="2677"/>
      <c r="M17" s="2413"/>
      <c r="N17" s="2413">
        <v>2010</v>
      </c>
      <c r="O17" s="2413"/>
      <c r="P17" s="2413"/>
      <c r="Q17" s="2413"/>
      <c r="R17" s="2413"/>
      <c r="S17" s="2413"/>
      <c r="T17" s="2413"/>
      <c r="U17" s="2413"/>
      <c r="V17" s="2678"/>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spans="1:44" ht="14.25">
      <c r="A18" s="1439" t="s">
        <v>703</v>
      </c>
      <c r="B18" s="2679"/>
      <c r="C18" s="2573"/>
      <c r="D18" s="2680"/>
      <c r="E18" s="2573"/>
      <c r="F18" s="2573"/>
      <c r="G18" s="2573"/>
      <c r="H18" s="2573"/>
      <c r="I18" s="2573"/>
      <c r="J18" s="2573"/>
      <c r="K18" s="2677"/>
      <c r="L18" s="2677"/>
      <c r="M18" s="2413"/>
      <c r="N18" s="2413">
        <f>ROUND(1-(2025-N17)/60,2)</f>
        <v>0.75</v>
      </c>
      <c r="O18" s="2413">
        <v>0.5</v>
      </c>
      <c r="P18" s="2413"/>
      <c r="Q18" s="2413"/>
      <c r="R18" s="2413"/>
      <c r="S18" s="2413"/>
      <c r="T18" s="2413"/>
      <c r="U18" s="2413"/>
      <c r="V18" s="2678"/>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spans="1:44" ht="14.25">
      <c r="A19" s="2681" t="s">
        <v>704</v>
      </c>
      <c r="B19" s="2682">
        <v>0</v>
      </c>
      <c r="C19" s="2683" t="s">
        <v>705</v>
      </c>
      <c r="D19" s="2680"/>
      <c r="E19" s="2573"/>
      <c r="F19" s="2573"/>
      <c r="G19" s="2573"/>
      <c r="H19" s="2573"/>
      <c r="I19" s="2573"/>
      <c r="J19" s="2573"/>
      <c r="K19" s="2677"/>
      <c r="L19" s="2677"/>
      <c r="M19" s="2413"/>
      <c r="N19" s="2413">
        <v>0.85</v>
      </c>
      <c r="O19" s="2413">
        <f>1-O18</f>
        <v>0.5</v>
      </c>
      <c r="P19" s="2413"/>
      <c r="Q19" s="2413"/>
      <c r="R19" s="2413"/>
      <c r="S19" s="2413"/>
      <c r="T19" s="2678"/>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spans="1:44" ht="14.25">
      <c r="A20" s="2684" t="s">
        <v>706</v>
      </c>
      <c r="B20" s="2685">
        <v>2</v>
      </c>
      <c r="C20" s="2686" t="s">
        <v>707</v>
      </c>
      <c r="D20" s="2680"/>
      <c r="E20" s="2573"/>
      <c r="F20" s="2573"/>
      <c r="G20" s="2573"/>
      <c r="H20" s="2573"/>
      <c r="I20" s="2573"/>
      <c r="J20" s="2573"/>
      <c r="K20" s="2677"/>
      <c r="L20" s="2677"/>
      <c r="M20" s="2413"/>
      <c r="N20" s="2413">
        <f>ROUND(N18*O18+N19*O19,2)</f>
        <v>0.8</v>
      </c>
      <c r="O20" s="2413"/>
      <c r="P20" s="2413"/>
      <c r="Q20" s="2413"/>
      <c r="R20" s="2413"/>
      <c r="S20" s="2413"/>
      <c r="T20" s="2678"/>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spans="1:44" ht="14.25">
      <c r="A21" s="2687" t="s">
        <v>708</v>
      </c>
      <c r="B21" s="2685">
        <v>2</v>
      </c>
      <c r="C21" s="2573"/>
      <c r="D21" s="2680"/>
      <c r="E21" s="2573"/>
      <c r="F21" s="2573"/>
      <c r="G21" s="2573"/>
      <c r="H21" s="2573"/>
      <c r="I21" s="2573"/>
      <c r="J21" s="2573"/>
      <c r="K21" s="2677"/>
      <c r="L21" s="2677"/>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spans="1:44" ht="14.25">
      <c r="A22" s="2684" t="s">
        <v>709</v>
      </c>
      <c r="B22" s="2688">
        <f>B19+B20</f>
        <v>2</v>
      </c>
      <c r="C22" s="2573"/>
      <c r="D22" s="2680"/>
      <c r="E22" s="2573"/>
      <c r="F22" s="2573"/>
      <c r="G22" s="2573"/>
      <c r="H22" s="2573"/>
      <c r="I22" s="2573"/>
      <c r="J22" s="2573"/>
      <c r="K22" s="2677"/>
      <c r="L22" s="2677"/>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spans="1:44" ht="14.25">
      <c r="A23" s="2687" t="s">
        <v>710</v>
      </c>
      <c r="B23" s="2688">
        <f>B19+B21</f>
        <v>2</v>
      </c>
      <c r="C23" s="2573"/>
      <c r="D23" s="2680"/>
      <c r="E23" s="2573"/>
      <c r="F23" s="2573"/>
      <c r="G23" s="2573"/>
      <c r="H23" s="2573"/>
      <c r="I23" s="2573"/>
      <c r="J23" s="2573"/>
      <c r="K23" s="2677"/>
      <c r="L23" s="2677"/>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spans="1:44" ht="14.25">
      <c r="A24" s="2689" t="s">
        <v>711</v>
      </c>
      <c r="B24" s="2690">
        <f>B20-B21</f>
        <v>0</v>
      </c>
      <c r="C24" s="2573"/>
      <c r="D24" s="2680"/>
      <c r="E24" s="2573"/>
      <c r="F24" s="2573"/>
      <c r="G24" s="2573"/>
      <c r="H24" s="2573"/>
      <c r="I24" s="2573"/>
      <c r="J24" s="2573"/>
      <c r="K24" s="2677"/>
      <c r="L24" s="2677"/>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spans="1:44" ht="14.25">
      <c r="A25" s="2574"/>
      <c r="B25" s="2101"/>
      <c r="C25" s="2573"/>
      <c r="D25" s="2680"/>
      <c r="E25" s="2573"/>
      <c r="F25" s="2573"/>
      <c r="G25" s="2573"/>
      <c r="H25" s="2573"/>
      <c r="I25" s="2573"/>
      <c r="J25" s="2573"/>
      <c r="K25" s="2677"/>
      <c r="L25" s="2677"/>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spans="1:44" ht="14.25">
      <c r="A26" s="2570" t="s">
        <v>712</v>
      </c>
      <c r="B26" s="2691" t="s">
        <v>713</v>
      </c>
      <c r="C26" s="2692" t="s">
        <v>714</v>
      </c>
      <c r="D26" s="2680"/>
      <c r="E26" s="2573"/>
      <c r="F26" s="2573"/>
      <c r="G26" s="2573"/>
      <c r="H26" s="2573"/>
      <c r="I26" s="2573"/>
      <c r="J26" s="2573"/>
      <c r="K26" s="2677"/>
      <c r="L26" s="2677"/>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pans="1:44" ht="27.75">
      <c r="A27" s="2693" t="s">
        <v>715</v>
      </c>
      <c r="B27" s="2694"/>
      <c r="C27" s="2695" t="s">
        <v>716</v>
      </c>
      <c r="D27" s="2696"/>
      <c r="E27" s="1063"/>
      <c r="F27" s="1063"/>
      <c r="G27" s="2573"/>
      <c r="H27" s="2573"/>
      <c r="I27" s="2573"/>
      <c r="J27" s="2573"/>
      <c r="K27" s="2677"/>
      <c r="L27" s="2677"/>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row>
    <row r="28" spans="1:44" ht="27.75">
      <c r="A28" s="2697" t="s">
        <v>717</v>
      </c>
      <c r="B28" s="2698">
        <v>200</v>
      </c>
      <c r="C28" s="2699"/>
      <c r="D28" s="2696"/>
      <c r="E28" s="1063"/>
      <c r="F28" s="1063"/>
      <c r="G28" s="2573"/>
      <c r="H28" s="2573"/>
      <c r="I28" s="2573"/>
      <c r="J28" s="2573"/>
      <c r="K28" s="2677"/>
      <c r="L28" s="2677"/>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row>
    <row r="29" spans="1:44" ht="27.75">
      <c r="A29" s="2700" t="s">
        <v>718</v>
      </c>
      <c r="B29" s="2701">
        <f>ROUND('数据-取费表'!B28*'数据-取费表'!K16,0)</f>
        <v>59200</v>
      </c>
      <c r="C29" s="2702" t="s">
        <v>719</v>
      </c>
      <c r="D29" s="2696"/>
      <c r="E29" s="1063"/>
      <c r="F29" s="1063"/>
      <c r="G29" s="2573"/>
      <c r="H29" s="2573"/>
      <c r="I29" s="2573"/>
      <c r="J29" s="2573"/>
      <c r="K29" s="2677"/>
      <c r="L29" s="2677"/>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row>
    <row r="30" spans="1:44" ht="27">
      <c r="A30" s="2703" t="s">
        <v>720</v>
      </c>
      <c r="B30" s="2704">
        <v>200</v>
      </c>
      <c r="C30" s="2699"/>
      <c r="D30" s="2696"/>
      <c r="E30" s="1063"/>
      <c r="F30" s="1063"/>
      <c r="G30" s="2573"/>
      <c r="H30" s="2573"/>
      <c r="I30" s="2573"/>
      <c r="J30" s="2573"/>
      <c r="K30" s="2677"/>
      <c r="L30" s="2677"/>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row>
    <row r="31" spans="1:44" ht="27">
      <c r="A31" s="2697" t="s">
        <v>721</v>
      </c>
      <c r="B31" s="2705">
        <f>B30-B32</f>
        <v>200</v>
      </c>
      <c r="C31" s="2706"/>
      <c r="D31" s="2696"/>
      <c r="E31" s="1063"/>
      <c r="F31" s="1063"/>
      <c r="G31" s="2573"/>
      <c r="H31" s="2573"/>
      <c r="I31" s="2573"/>
      <c r="J31" s="2573"/>
      <c r="K31" s="2677"/>
      <c r="L31" s="2677"/>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row>
    <row r="32" spans="1:44" ht="27">
      <c r="A32" s="2707" t="s">
        <v>722</v>
      </c>
      <c r="B32" s="2708"/>
      <c r="C32" s="2699"/>
      <c r="D32" s="2680"/>
      <c r="E32" s="2573"/>
      <c r="F32" s="2573"/>
      <c r="G32" s="2573"/>
      <c r="H32" s="2573"/>
      <c r="I32" s="2573"/>
      <c r="J32" s="2573"/>
      <c r="K32" s="2677"/>
      <c r="L32" s="2677"/>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row>
    <row r="33" spans="1:44" ht="14.25">
      <c r="A33" s="2693" t="s">
        <v>723</v>
      </c>
      <c r="B33" s="2709">
        <v>0.08</v>
      </c>
      <c r="C33" s="2710" t="s">
        <v>724</v>
      </c>
      <c r="D33" s="2680"/>
      <c r="E33" s="2573"/>
      <c r="F33" s="2573"/>
      <c r="G33" s="2573"/>
      <c r="H33" s="2573"/>
      <c r="I33" s="2573"/>
      <c r="J33" s="2573"/>
      <c r="K33" s="2677"/>
      <c r="L33" s="2677"/>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row>
    <row r="34" spans="1:44" ht="14.25">
      <c r="A34" s="2697" t="s">
        <v>725</v>
      </c>
      <c r="B34" s="2637">
        <v>0</v>
      </c>
      <c r="C34" s="2710" t="s">
        <v>726</v>
      </c>
      <c r="D34" s="2711" t="s">
        <v>727</v>
      </c>
      <c r="E34" s="2675"/>
      <c r="F34" s="2573"/>
      <c r="G34" s="2573"/>
      <c r="H34" s="2573"/>
      <c r="I34" s="2573"/>
      <c r="J34" s="2573"/>
      <c r="K34" s="2677"/>
      <c r="L34" s="2677"/>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row>
    <row r="35" spans="1:44" ht="14.25">
      <c r="A35" s="2697" t="s">
        <v>728</v>
      </c>
      <c r="B35" s="2698">
        <v>200</v>
      </c>
      <c r="C35" s="2710" t="s">
        <v>729</v>
      </c>
      <c r="D35" s="2696"/>
      <c r="E35" s="1063"/>
      <c r="F35" s="1063"/>
      <c r="G35" s="2573"/>
      <c r="H35" s="2573"/>
      <c r="I35" s="2573"/>
      <c r="J35" s="2573"/>
      <c r="K35" s="2677"/>
      <c r="L35" s="2677"/>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row>
    <row r="36" spans="1:44" ht="14.25">
      <c r="A36" s="2700" t="s">
        <v>730</v>
      </c>
      <c r="B36" s="2712">
        <v>0.02</v>
      </c>
      <c r="C36" s="2710" t="s">
        <v>731</v>
      </c>
      <c r="D36" s="2680"/>
      <c r="E36" s="2573"/>
      <c r="F36" s="2573"/>
      <c r="G36" s="2573"/>
      <c r="H36" s="2573"/>
      <c r="I36" s="2573"/>
      <c r="J36" s="2573"/>
      <c r="K36" s="2677"/>
      <c r="L36" s="2677"/>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spans="1:44" ht="14.25">
      <c r="A37" s="2703" t="s">
        <v>732</v>
      </c>
      <c r="B37" s="2713">
        <v>0.03</v>
      </c>
      <c r="C37" s="2710" t="s">
        <v>733</v>
      </c>
      <c r="D37" s="2680"/>
      <c r="E37" s="2573"/>
      <c r="F37" s="2573"/>
      <c r="G37" s="2573"/>
      <c r="H37" s="2573"/>
      <c r="I37" s="2573"/>
      <c r="J37" s="2573"/>
      <c r="K37" s="2677"/>
      <c r="L37" s="2677"/>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spans="1:44" ht="14.25">
      <c r="A38" s="2697" t="s">
        <v>734</v>
      </c>
      <c r="B38" s="2637">
        <v>0.03</v>
      </c>
      <c r="C38" s="2710" t="s">
        <v>735</v>
      </c>
      <c r="D38" s="2680"/>
      <c r="E38" s="2573"/>
      <c r="F38" s="2573"/>
      <c r="G38" s="2573"/>
      <c r="H38" s="2573"/>
      <c r="I38" s="2573"/>
      <c r="J38" s="2573"/>
      <c r="K38" s="2677"/>
      <c r="L38" s="2677"/>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spans="1:44" ht="14.25">
      <c r="A39" s="2707" t="s">
        <v>736</v>
      </c>
      <c r="B39" s="2714">
        <f ca="1">存贷款利率!I1</f>
        <v>1.4999999999999999E-2</v>
      </c>
      <c r="C39" s="2715"/>
      <c r="D39" s="2680"/>
      <c r="E39" s="2573"/>
      <c r="F39" s="2573"/>
      <c r="G39" s="2573"/>
      <c r="H39" s="2573"/>
      <c r="I39" s="2573"/>
      <c r="J39" s="2573"/>
      <c r="K39" s="2677"/>
      <c r="L39" s="2677"/>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spans="1:44" ht="14.25">
      <c r="A40" s="2716" t="s">
        <v>737</v>
      </c>
      <c r="B40" s="2717">
        <f ca="1">IF(A40="利息：取LPR",存贷款利率!G1,存贷款利率!G1+C40)</f>
        <v>3.1300000000000001E-2</v>
      </c>
      <c r="C40" s="2718"/>
      <c r="D40" s="2413"/>
      <c r="E40" s="2680"/>
      <c r="F40" s="2573"/>
      <c r="G40" s="2573"/>
      <c r="H40" s="2573"/>
      <c r="I40" s="2573"/>
      <c r="J40" s="2573"/>
      <c r="K40" s="2677"/>
      <c r="L40" s="2677"/>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spans="1:44" ht="14.25">
      <c r="A41" s="2693" t="s">
        <v>738</v>
      </c>
      <c r="B41" s="2719">
        <f>B42+B43</f>
        <v>5.6000000000000001E-2</v>
      </c>
      <c r="C41" s="2706"/>
      <c r="D41" s="2413"/>
      <c r="E41" s="2680"/>
      <c r="F41" s="2573"/>
      <c r="G41" s="2573"/>
      <c r="H41" s="2573"/>
      <c r="I41" s="2573"/>
      <c r="J41" s="2573"/>
      <c r="K41" s="2677"/>
      <c r="L41" s="2677"/>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spans="1:44" ht="14.25">
      <c r="A42" s="2720" t="s">
        <v>739</v>
      </c>
      <c r="B42" s="2721">
        <v>0.05</v>
      </c>
      <c r="C42" s="2722">
        <f>IF(B2&lt;DATE(2016,5,1),0,B42)</f>
        <v>0.05</v>
      </c>
      <c r="D42" s="2680"/>
      <c r="E42" s="2573"/>
      <c r="F42" s="2573"/>
      <c r="G42" s="2573"/>
      <c r="H42" s="2573"/>
      <c r="I42" s="2573"/>
      <c r="J42" s="2573"/>
      <c r="K42" s="2677"/>
      <c r="L42" s="2677"/>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spans="1:44" ht="14.25">
      <c r="A43" s="2720" t="s">
        <v>740</v>
      </c>
      <c r="B43" s="2723">
        <f>B42*(B44+B45+B46)+B47</f>
        <v>6.0000000000000001E-3</v>
      </c>
      <c r="C43" s="2706"/>
      <c r="D43" s="2680"/>
      <c r="E43" s="2573"/>
      <c r="F43" s="2573"/>
      <c r="G43" s="2573"/>
      <c r="H43" s="2573"/>
      <c r="I43" s="2573"/>
      <c r="J43" s="2573"/>
      <c r="K43" s="2677"/>
      <c r="L43" s="2677"/>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spans="1:44" ht="14.25">
      <c r="A44" s="2724" t="s">
        <v>741</v>
      </c>
      <c r="B44" s="2725">
        <v>7.0000000000000007E-2</v>
      </c>
      <c r="C44" s="2710" t="s">
        <v>742</v>
      </c>
      <c r="D44" s="2680"/>
      <c r="E44" s="2573"/>
      <c r="F44" s="2573"/>
      <c r="G44" s="2573"/>
      <c r="H44" s="2573"/>
      <c r="I44" s="2573"/>
      <c r="J44" s="2573"/>
      <c r="K44" s="2677"/>
      <c r="L44" s="2677"/>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spans="1:44" ht="14.25">
      <c r="A45" s="2724" t="s">
        <v>743</v>
      </c>
      <c r="B45" s="2721">
        <v>0.03</v>
      </c>
      <c r="C45" s="2702" t="s">
        <v>744</v>
      </c>
      <c r="D45" s="2680"/>
      <c r="E45" s="2573"/>
      <c r="F45" s="2573"/>
      <c r="G45" s="2573"/>
      <c r="H45" s="2573"/>
      <c r="I45" s="2573"/>
      <c r="J45" s="2573"/>
      <c r="K45" s="2677"/>
      <c r="L45" s="2677"/>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spans="1:44" ht="14.25">
      <c r="A46" s="2724" t="s">
        <v>745</v>
      </c>
      <c r="B46" s="2721">
        <v>0.02</v>
      </c>
      <c r="C46" s="2702" t="s">
        <v>746</v>
      </c>
      <c r="D46" s="2680"/>
      <c r="E46" s="2573"/>
      <c r="F46" s="2573"/>
      <c r="G46" s="2573"/>
      <c r="H46" s="2573"/>
      <c r="I46" s="2573"/>
      <c r="J46" s="2573"/>
      <c r="K46" s="2677"/>
      <c r="L46" s="2677"/>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spans="1:44" ht="14.25">
      <c r="A47" s="2726" t="s">
        <v>747</v>
      </c>
      <c r="B47" s="2727">
        <v>0</v>
      </c>
      <c r="C47" s="2728" t="s">
        <v>748</v>
      </c>
      <c r="D47" s="2680"/>
      <c r="E47" s="2573"/>
      <c r="F47" s="2573"/>
      <c r="G47" s="2573"/>
      <c r="H47" s="2573"/>
      <c r="I47" s="2573"/>
      <c r="J47" s="2573"/>
      <c r="K47" s="2677"/>
      <c r="L47" s="2677"/>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spans="1:44" ht="14.25">
      <c r="A48" s="2729" t="s">
        <v>749</v>
      </c>
      <c r="B48" s="2730">
        <v>0.03</v>
      </c>
      <c r="C48" s="2702" t="s">
        <v>744</v>
      </c>
      <c r="D48" s="2680"/>
      <c r="E48" s="2573"/>
      <c r="F48" s="2573"/>
      <c r="G48" s="2573"/>
      <c r="H48" s="2573"/>
      <c r="I48" s="2573"/>
      <c r="J48" s="2573"/>
      <c r="K48" s="2677"/>
      <c r="L48" s="2677"/>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spans="1:44" ht="14.25">
      <c r="A49" s="2707" t="s">
        <v>750</v>
      </c>
      <c r="B49" s="2721">
        <v>5.0000000000000001E-4</v>
      </c>
      <c r="C49" s="2702" t="s">
        <v>751</v>
      </c>
      <c r="D49" s="2680"/>
      <c r="E49" s="2573"/>
      <c r="F49" s="2573"/>
      <c r="G49" s="2573"/>
      <c r="H49" s="2573"/>
      <c r="I49" s="2573"/>
      <c r="J49" s="2573"/>
      <c r="K49" s="2677"/>
      <c r="L49" s="2677"/>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spans="1:44" ht="14.25">
      <c r="A50" s="2731" t="s">
        <v>752</v>
      </c>
      <c r="B50" s="2732">
        <v>1.2E-2</v>
      </c>
      <c r="C50" s="1063"/>
      <c r="D50" s="2680"/>
      <c r="E50" s="2573"/>
      <c r="F50" s="2573"/>
      <c r="G50" s="2573"/>
      <c r="H50" s="2573"/>
      <c r="I50" s="2573"/>
      <c r="J50" s="2573"/>
      <c r="K50" s="2677"/>
      <c r="L50" s="2677"/>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spans="1:44" ht="14.25">
      <c r="A51" s="2700" t="s">
        <v>753</v>
      </c>
      <c r="B51" s="2733">
        <v>0.12</v>
      </c>
      <c r="C51" s="1063"/>
      <c r="D51" s="2680"/>
      <c r="E51" s="2573"/>
      <c r="F51" s="2573"/>
      <c r="G51" s="2573"/>
      <c r="H51" s="2573"/>
      <c r="I51" s="2573"/>
      <c r="J51" s="2573"/>
      <c r="K51" s="2677"/>
      <c r="L51" s="2677"/>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spans="1:44" ht="14.25">
      <c r="A52" s="2731" t="s">
        <v>754</v>
      </c>
      <c r="B52" s="2734">
        <f>SUMIF(A54:A63,B53,B54:B63)</f>
        <v>0</v>
      </c>
      <c r="C52" s="1063"/>
      <c r="D52" s="2680"/>
      <c r="E52" s="2573"/>
      <c r="F52" s="2573"/>
      <c r="G52" s="2573"/>
      <c r="H52" s="2573"/>
      <c r="I52" s="2573"/>
      <c r="J52" s="2573"/>
      <c r="K52" s="2677"/>
      <c r="L52" s="2677"/>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spans="1:44" ht="27">
      <c r="A53" s="2697" t="s">
        <v>755</v>
      </c>
      <c r="B53" s="2735"/>
      <c r="C53" s="1063" t="s">
        <v>756</v>
      </c>
      <c r="D53" s="2736" t="s">
        <v>757</v>
      </c>
      <c r="E53" s="2573"/>
      <c r="F53" s="2573"/>
      <c r="G53" s="2573"/>
      <c r="H53" s="2573"/>
      <c r="I53" s="2573"/>
      <c r="J53" s="2573"/>
      <c r="K53" s="2677"/>
      <c r="L53" s="2677"/>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spans="1:44" ht="14.25">
      <c r="A54" s="2737" t="s">
        <v>758</v>
      </c>
      <c r="B54" s="2738">
        <f>C54</f>
        <v>30</v>
      </c>
      <c r="C54" s="1063">
        <v>30</v>
      </c>
      <c r="D54" s="2680"/>
      <c r="E54" s="2573"/>
      <c r="F54" s="2573"/>
      <c r="G54" s="2573"/>
      <c r="H54" s="2573"/>
      <c r="I54" s="2573"/>
      <c r="J54" s="2573"/>
      <c r="K54" s="2677"/>
      <c r="L54" s="2677"/>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spans="1:44" ht="14.25">
      <c r="A55" s="2737" t="s">
        <v>759</v>
      </c>
      <c r="B55" s="2738">
        <f t="shared" ref="B55:B59" si="12">C55</f>
        <v>24</v>
      </c>
      <c r="C55" s="1063">
        <v>24</v>
      </c>
      <c r="D55" s="2680"/>
      <c r="E55" s="2573"/>
      <c r="F55" s="2573"/>
      <c r="G55" s="2573"/>
      <c r="H55" s="2573"/>
      <c r="I55" s="2573"/>
      <c r="J55" s="2573"/>
      <c r="K55" s="2677"/>
      <c r="L55" s="2677"/>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spans="1:44" ht="14.25">
      <c r="A56" s="2737" t="s">
        <v>760</v>
      </c>
      <c r="B56" s="2738">
        <f t="shared" si="12"/>
        <v>18</v>
      </c>
      <c r="C56" s="1063">
        <v>18</v>
      </c>
      <c r="D56" s="2680"/>
      <c r="E56" s="2573"/>
      <c r="F56" s="2573"/>
      <c r="G56" s="2573"/>
      <c r="H56" s="2573"/>
      <c r="I56" s="2573"/>
      <c r="J56" s="2573"/>
      <c r="K56" s="2677"/>
      <c r="L56" s="2677"/>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spans="1:44" ht="14.25">
      <c r="A57" s="2737" t="s">
        <v>761</v>
      </c>
      <c r="B57" s="2738">
        <f t="shared" si="12"/>
        <v>12</v>
      </c>
      <c r="C57" s="1063">
        <v>12</v>
      </c>
      <c r="D57" s="2680"/>
      <c r="E57" s="2573"/>
      <c r="F57" s="2573"/>
      <c r="G57" s="2573"/>
      <c r="H57" s="2573"/>
      <c r="I57" s="2573"/>
      <c r="J57" s="2573"/>
      <c r="K57" s="2677"/>
      <c r="L57" s="2677"/>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spans="1:44" ht="14.25">
      <c r="A58" s="2737" t="s">
        <v>762</v>
      </c>
      <c r="B58" s="2738">
        <f t="shared" si="12"/>
        <v>3</v>
      </c>
      <c r="C58" s="1063">
        <v>3</v>
      </c>
      <c r="D58" s="2680"/>
      <c r="E58" s="2573"/>
      <c r="F58" s="2573"/>
      <c r="G58" s="2573"/>
      <c r="H58" s="2573"/>
      <c r="I58" s="2573"/>
      <c r="J58" s="2573"/>
      <c r="K58" s="2677"/>
      <c r="L58" s="2677"/>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spans="1:44" ht="14.25">
      <c r="A59" s="2737" t="s">
        <v>763</v>
      </c>
      <c r="B59" s="2738">
        <f t="shared" si="12"/>
        <v>1.5</v>
      </c>
      <c r="C59" s="1063">
        <v>1.5</v>
      </c>
      <c r="D59" s="2680"/>
      <c r="E59" s="2573"/>
      <c r="F59" s="2573"/>
      <c r="G59" s="2573"/>
      <c r="H59" s="2573"/>
      <c r="I59" s="2573"/>
      <c r="J59" s="2573"/>
      <c r="K59" s="2677"/>
      <c r="L59" s="2677"/>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spans="1:44" ht="14.25">
      <c r="A60" s="2737" t="s">
        <v>764</v>
      </c>
      <c r="B60" s="2738"/>
      <c r="C60" s="2573"/>
      <c r="D60" s="2680"/>
      <c r="E60" s="2573"/>
      <c r="F60" s="2573"/>
      <c r="G60" s="2573"/>
      <c r="H60" s="2573"/>
      <c r="I60" s="2573"/>
      <c r="J60" s="2573"/>
      <c r="K60" s="2677"/>
      <c r="L60" s="2677"/>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spans="1:44" ht="14.25">
      <c r="A61" s="2737" t="s">
        <v>765</v>
      </c>
      <c r="B61" s="2738"/>
      <c r="C61" s="2573"/>
      <c r="D61" s="2680"/>
      <c r="E61" s="2573"/>
      <c r="F61" s="2573"/>
      <c r="G61" s="2573"/>
      <c r="H61" s="2573"/>
      <c r="I61" s="2573"/>
      <c r="J61" s="2573"/>
      <c r="K61" s="2677"/>
      <c r="L61" s="2677"/>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spans="1:44" ht="14.25">
      <c r="A62" s="2737" t="s">
        <v>766</v>
      </c>
      <c r="B62" s="2738"/>
      <c r="C62" s="2573"/>
      <c r="D62" s="2680"/>
      <c r="E62" s="2573"/>
      <c r="F62" s="2573"/>
      <c r="G62" s="2573"/>
      <c r="H62" s="2573"/>
      <c r="I62" s="2573"/>
      <c r="J62" s="2573"/>
      <c r="K62" s="2677"/>
      <c r="L62" s="2677"/>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spans="1:44" ht="14.25">
      <c r="A63" s="2739" t="s">
        <v>767</v>
      </c>
      <c r="B63" s="2740"/>
      <c r="C63" s="2573"/>
      <c r="D63" s="2680"/>
      <c r="E63" s="2573"/>
      <c r="F63" s="2573"/>
      <c r="G63" s="2573"/>
      <c r="H63" s="2573"/>
      <c r="I63" s="2573"/>
      <c r="J63" s="2573"/>
      <c r="K63" s="2677"/>
      <c r="L63" s="2677"/>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pans="1:44" s="899" customFormat="1">
      <c r="A64" s="2741"/>
      <c r="B64" s="2413"/>
      <c r="C64" s="2413"/>
      <c r="D64" s="2676"/>
      <c r="E64" s="2413"/>
      <c r="F64" s="2413"/>
      <c r="G64" s="2413"/>
      <c r="H64" s="2413"/>
      <c r="I64" s="2413"/>
      <c r="J64" s="2413"/>
      <c r="K64" s="2677"/>
      <c r="L64" s="2677"/>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pans="1:44" s="899" customFormat="1">
      <c r="A65" s="2741"/>
      <c r="B65" s="2413"/>
      <c r="C65" s="2413"/>
      <c r="D65" s="2676"/>
      <c r="E65" s="2413"/>
      <c r="F65" s="2413"/>
      <c r="G65" s="2413"/>
      <c r="H65" s="2413"/>
      <c r="I65" s="2413"/>
      <c r="J65" s="2413"/>
      <c r="K65" s="2677"/>
      <c r="L65" s="2677"/>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pans="1:44" s="899" customFormat="1">
      <c r="A66" s="2741"/>
      <c r="B66" s="2413"/>
      <c r="C66" s="2413"/>
      <c r="D66" s="2676"/>
      <c r="E66" s="2413"/>
      <c r="F66" s="2413"/>
      <c r="G66" s="2413"/>
      <c r="H66" s="2413"/>
      <c r="I66" s="2413"/>
      <c r="J66" s="2413"/>
      <c r="K66" s="2677"/>
      <c r="L66" s="2677"/>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pans="1:44" s="899" customFormat="1">
      <c r="A67" s="2741"/>
      <c r="B67" s="2413"/>
      <c r="C67" s="2413"/>
      <c r="D67" s="2676"/>
      <c r="E67" s="2413"/>
      <c r="F67" s="2413"/>
      <c r="G67" s="2413"/>
      <c r="H67" s="2413"/>
      <c r="I67" s="2413"/>
      <c r="J67" s="2413"/>
      <c r="K67" s="2677"/>
      <c r="L67" s="2677"/>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pans="1:44" s="899" customFormat="1">
      <c r="A68" s="2741"/>
      <c r="B68" s="2413"/>
      <c r="C68" s="2413"/>
      <c r="D68" s="2676"/>
      <c r="E68" s="2413"/>
      <c r="F68" s="2413"/>
      <c r="G68" s="2413"/>
      <c r="H68" s="2413"/>
      <c r="I68" s="2413"/>
      <c r="J68" s="2413"/>
      <c r="K68" s="2677"/>
      <c r="L68" s="2677"/>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pans="1:44" s="899" customFormat="1">
      <c r="A69" s="2350"/>
      <c r="D69" s="2742"/>
      <c r="K69" s="934"/>
      <c r="L69" s="934"/>
    </row>
    <row r="70" spans="1:44" s="899" customFormat="1">
      <c r="A70" s="2350"/>
      <c r="D70" s="2742"/>
      <c r="K70" s="934"/>
      <c r="L70" s="934"/>
    </row>
    <row r="71" spans="1:44" s="899" customFormat="1">
      <c r="A71" s="2350"/>
      <c r="D71" s="2742"/>
      <c r="K71" s="934"/>
      <c r="L71" s="934"/>
    </row>
    <row r="72" spans="1:44" s="899" customFormat="1">
      <c r="A72" s="2350"/>
      <c r="D72" s="2742"/>
      <c r="K72" s="934"/>
      <c r="L72" s="934"/>
    </row>
    <row r="73" spans="1:44" s="899" customFormat="1">
      <c r="A73" s="2350"/>
      <c r="D73" s="2742"/>
      <c r="K73" s="934"/>
      <c r="L73" s="934"/>
    </row>
    <row r="74" spans="1:44" s="899" customFormat="1">
      <c r="A74" s="2350"/>
      <c r="D74" s="2742"/>
      <c r="K74" s="934"/>
      <c r="L74" s="934"/>
    </row>
    <row r="75" spans="1:44" s="899" customFormat="1">
      <c r="A75" s="2350"/>
      <c r="D75" s="2742"/>
      <c r="K75" s="934"/>
      <c r="L75" s="934"/>
    </row>
    <row r="76" spans="1:44" s="899" customFormat="1">
      <c r="A76" s="2350"/>
      <c r="D76" s="2742"/>
      <c r="K76" s="934"/>
      <c r="L76" s="934"/>
    </row>
    <row r="77" spans="1:44" s="899" customFormat="1">
      <c r="A77" s="2350"/>
      <c r="D77" s="2742"/>
      <c r="K77" s="934"/>
      <c r="L77" s="934"/>
    </row>
    <row r="78" spans="1:44" s="899" customFormat="1">
      <c r="A78" s="2350"/>
      <c r="D78" s="2742"/>
      <c r="K78" s="934"/>
      <c r="L78" s="934"/>
    </row>
    <row r="79" spans="1:44" s="899" customFormat="1">
      <c r="A79" s="2350"/>
      <c r="D79" s="2742"/>
      <c r="K79" s="934"/>
      <c r="L79" s="934"/>
    </row>
    <row r="80" spans="1:44" s="899" customFormat="1">
      <c r="A80" s="2350"/>
      <c r="D80" s="2742"/>
      <c r="K80" s="934"/>
      <c r="L80" s="934"/>
    </row>
    <row r="81" spans="1:12" s="899" customFormat="1">
      <c r="A81" s="2350"/>
      <c r="D81" s="2742"/>
      <c r="K81" s="934"/>
      <c r="L81" s="934"/>
    </row>
    <row r="82" spans="1:12" s="899" customFormat="1">
      <c r="A82" s="2350"/>
      <c r="D82" s="2742"/>
      <c r="K82" s="934"/>
      <c r="L82" s="934"/>
    </row>
    <row r="83" spans="1:12" s="899" customFormat="1">
      <c r="A83" s="2350"/>
      <c r="D83" s="2742"/>
      <c r="K83" s="934"/>
      <c r="L83" s="934"/>
    </row>
    <row r="84" spans="1:12" s="899" customFormat="1">
      <c r="A84" s="2350"/>
      <c r="D84" s="2742"/>
      <c r="K84" s="934"/>
      <c r="L84" s="934"/>
    </row>
    <row r="85" spans="1:12" s="899" customFormat="1">
      <c r="A85" s="2350"/>
      <c r="D85" s="2742"/>
      <c r="K85" s="934"/>
      <c r="L85" s="934"/>
    </row>
    <row r="86" spans="1:12" s="899" customFormat="1">
      <c r="A86" s="2350"/>
      <c r="D86" s="2742"/>
      <c r="K86" s="934"/>
      <c r="L86" s="934"/>
    </row>
    <row r="87" spans="1:12" s="899" customFormat="1">
      <c r="A87" s="2350"/>
      <c r="D87" s="2742"/>
      <c r="K87" s="934"/>
      <c r="L87" s="934"/>
    </row>
    <row r="88" spans="1:12" s="899" customFormat="1">
      <c r="A88" s="2350"/>
      <c r="D88" s="2742"/>
      <c r="K88" s="934"/>
      <c r="L88" s="934"/>
    </row>
    <row r="89" spans="1:12" s="899" customFormat="1">
      <c r="A89" s="2350"/>
      <c r="D89" s="2742"/>
      <c r="K89" s="934"/>
      <c r="L89" s="934"/>
    </row>
    <row r="90" spans="1:12" s="899" customFormat="1">
      <c r="A90" s="2350"/>
      <c r="D90" s="2742"/>
      <c r="K90" s="934"/>
      <c r="L90" s="934"/>
    </row>
    <row r="91" spans="1:12" s="899" customFormat="1">
      <c r="A91" s="2350"/>
      <c r="D91" s="2742"/>
      <c r="K91" s="934"/>
      <c r="L91" s="934"/>
    </row>
    <row r="92" spans="1:12" s="899" customFormat="1">
      <c r="A92" s="2350"/>
      <c r="D92" s="2742"/>
      <c r="K92" s="934"/>
      <c r="L92" s="934"/>
    </row>
    <row r="93" spans="1:12" s="899" customFormat="1">
      <c r="A93" s="2350"/>
      <c r="D93" s="2742"/>
      <c r="K93" s="934"/>
      <c r="L93" s="934"/>
    </row>
    <row r="94" spans="1:12" s="899" customFormat="1">
      <c r="A94" s="2350"/>
      <c r="D94" s="2742"/>
      <c r="K94" s="934"/>
      <c r="L94" s="934"/>
    </row>
    <row r="95" spans="1:12" s="899" customFormat="1">
      <c r="A95" s="2350"/>
      <c r="D95" s="2742"/>
      <c r="K95" s="934"/>
      <c r="L95" s="934"/>
    </row>
    <row r="96" spans="1:12" s="899" customFormat="1">
      <c r="A96" s="2350"/>
      <c r="D96" s="2742"/>
      <c r="K96" s="934"/>
      <c r="L96" s="934"/>
    </row>
    <row r="97" spans="1:12" s="899" customFormat="1">
      <c r="A97" s="2350"/>
      <c r="D97" s="2742"/>
      <c r="K97" s="934"/>
      <c r="L97" s="934"/>
    </row>
    <row r="98" spans="1:12" s="899" customFormat="1">
      <c r="A98" s="2350"/>
      <c r="D98" s="2742"/>
      <c r="K98" s="934"/>
      <c r="L98" s="934"/>
    </row>
    <row r="99" spans="1:12" s="899" customFormat="1">
      <c r="A99" s="2350"/>
      <c r="D99" s="2742"/>
      <c r="K99" s="934"/>
      <c r="L99" s="934"/>
    </row>
    <row r="100" spans="1:12" s="899" customFormat="1">
      <c r="A100" s="2350"/>
      <c r="D100" s="2742"/>
      <c r="K100" s="934"/>
      <c r="L100" s="934"/>
    </row>
    <row r="101" spans="1:12" s="899" customFormat="1">
      <c r="A101" s="2350"/>
      <c r="D101" s="2742"/>
      <c r="K101" s="934"/>
      <c r="L101" s="934"/>
    </row>
    <row r="102" spans="1:12" s="899" customFormat="1">
      <c r="A102" s="2350"/>
      <c r="D102" s="2742"/>
      <c r="K102" s="934"/>
      <c r="L102" s="934"/>
    </row>
    <row r="103" spans="1:12" s="899" customFormat="1">
      <c r="A103" s="2350"/>
      <c r="D103" s="2742"/>
      <c r="K103" s="934"/>
      <c r="L103" s="934"/>
    </row>
    <row r="104" spans="1:12" s="899" customFormat="1">
      <c r="A104" s="2350"/>
      <c r="D104" s="2742"/>
      <c r="K104" s="934"/>
      <c r="L104" s="934"/>
    </row>
    <row r="105" spans="1:12" s="899" customFormat="1">
      <c r="A105" s="2350"/>
      <c r="D105" s="2742"/>
      <c r="K105" s="934"/>
      <c r="L105" s="934"/>
    </row>
    <row r="106" spans="1:12" s="899" customFormat="1">
      <c r="A106" s="2350"/>
      <c r="D106" s="2742"/>
      <c r="K106" s="934"/>
      <c r="L106" s="934"/>
    </row>
    <row r="107" spans="1:12" s="899" customFormat="1">
      <c r="A107" s="2350"/>
      <c r="D107" s="2742"/>
      <c r="K107" s="934"/>
      <c r="L107" s="934"/>
    </row>
    <row r="108" spans="1:12" s="899" customFormat="1">
      <c r="A108" s="2350"/>
      <c r="D108" s="2742"/>
      <c r="K108" s="934"/>
      <c r="L108" s="934"/>
    </row>
    <row r="109" spans="1:12" s="899" customFormat="1">
      <c r="A109" s="2350"/>
      <c r="D109" s="2742"/>
      <c r="K109" s="934"/>
      <c r="L109" s="934"/>
    </row>
    <row r="110" spans="1:12" s="899" customFormat="1">
      <c r="A110" s="2350"/>
      <c r="D110" s="2742"/>
      <c r="K110" s="934"/>
      <c r="L110" s="934"/>
    </row>
    <row r="111" spans="1:12" s="899" customFormat="1">
      <c r="A111" s="2350"/>
      <c r="D111" s="2742"/>
      <c r="K111" s="934"/>
      <c r="L111" s="934"/>
    </row>
    <row r="112" spans="1:12" s="899" customFormat="1">
      <c r="A112" s="2350"/>
      <c r="D112" s="2742"/>
      <c r="K112" s="934"/>
      <c r="L112" s="934"/>
    </row>
    <row r="113" spans="1:12" s="899" customFormat="1">
      <c r="A113" s="2350"/>
      <c r="D113" s="2742"/>
      <c r="K113" s="934"/>
      <c r="L113" s="934"/>
    </row>
    <row r="114" spans="1:12" s="899" customFormat="1">
      <c r="A114" s="2350"/>
      <c r="D114" s="2742"/>
      <c r="K114" s="934"/>
      <c r="L114" s="934"/>
    </row>
    <row r="115" spans="1:12" s="899" customFormat="1">
      <c r="A115" s="2350"/>
      <c r="D115" s="2742"/>
      <c r="K115" s="934"/>
      <c r="L115" s="934"/>
    </row>
    <row r="116" spans="1:12" s="899" customFormat="1">
      <c r="A116" s="2350"/>
      <c r="D116" s="2742"/>
      <c r="K116" s="934"/>
      <c r="L116" s="934"/>
    </row>
    <row r="117" spans="1:12" s="899" customFormat="1">
      <c r="A117" s="2350"/>
      <c r="D117" s="2742"/>
      <c r="K117" s="934"/>
      <c r="L117" s="934"/>
    </row>
    <row r="118" spans="1:12" s="899" customFormat="1">
      <c r="A118" s="2350"/>
      <c r="D118" s="2742"/>
      <c r="K118" s="934"/>
      <c r="L118" s="934"/>
    </row>
    <row r="119" spans="1:12" s="899" customFormat="1">
      <c r="A119" s="2350"/>
      <c r="D119" s="2742"/>
      <c r="K119" s="934"/>
      <c r="L119" s="934"/>
    </row>
    <row r="120" spans="1:12" s="899" customFormat="1">
      <c r="A120" s="2350"/>
      <c r="D120" s="2742"/>
      <c r="K120" s="934"/>
      <c r="L120" s="934"/>
    </row>
    <row r="121" spans="1:12" s="899" customFormat="1">
      <c r="A121" s="2350"/>
      <c r="D121" s="2742"/>
      <c r="K121" s="934"/>
      <c r="L121" s="934"/>
    </row>
    <row r="122" spans="1:12" s="899" customFormat="1">
      <c r="A122" s="2350"/>
      <c r="D122" s="2742"/>
      <c r="K122" s="934"/>
      <c r="L122" s="934"/>
    </row>
    <row r="123" spans="1:12" s="899" customFormat="1">
      <c r="A123" s="2350"/>
      <c r="D123" s="2742"/>
      <c r="K123" s="934"/>
      <c r="L123" s="934"/>
    </row>
    <row r="124" spans="1:12" s="899" customFormat="1">
      <c r="A124" s="2350"/>
      <c r="D124" s="2742"/>
      <c r="K124" s="934"/>
      <c r="L124" s="934"/>
    </row>
    <row r="125" spans="1:12" s="899" customFormat="1">
      <c r="A125" s="2350"/>
      <c r="D125" s="2742"/>
      <c r="K125" s="934"/>
      <c r="L125" s="934"/>
    </row>
    <row r="126" spans="1:12" s="899" customFormat="1">
      <c r="A126" s="2350"/>
      <c r="D126" s="2742"/>
      <c r="K126" s="934"/>
      <c r="L126" s="934"/>
    </row>
    <row r="127" spans="1:12" s="899" customFormat="1">
      <c r="A127" s="2350"/>
      <c r="D127" s="2742"/>
      <c r="K127" s="934"/>
      <c r="L127" s="934"/>
    </row>
    <row r="128" spans="1:12" s="899" customFormat="1">
      <c r="A128" s="2350"/>
      <c r="D128" s="2742"/>
      <c r="K128" s="934"/>
      <c r="L128" s="934"/>
    </row>
    <row r="129" spans="1:12" s="899" customFormat="1">
      <c r="A129" s="2350"/>
      <c r="D129" s="2742"/>
      <c r="K129" s="934"/>
      <c r="L129" s="934"/>
    </row>
    <row r="130" spans="1:12" s="899" customFormat="1">
      <c r="A130" s="2350"/>
      <c r="D130" s="2742"/>
      <c r="K130" s="934"/>
      <c r="L130" s="934"/>
    </row>
    <row r="131" spans="1:12" s="899" customFormat="1">
      <c r="A131" s="2350"/>
      <c r="D131" s="2742"/>
      <c r="K131" s="934"/>
      <c r="L131" s="934"/>
    </row>
    <row r="132" spans="1:12" s="899" customFormat="1">
      <c r="A132" s="2350"/>
      <c r="D132" s="2742"/>
      <c r="K132" s="934"/>
      <c r="L132" s="934"/>
    </row>
    <row r="133" spans="1:12" s="899" customFormat="1">
      <c r="A133" s="2350"/>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402" customWidth="1"/>
    <col min="19" max="29" width="9" style="2402"/>
    <col min="30" max="16384" width="9" style="2508"/>
  </cols>
  <sheetData>
    <row r="1" spans="1:29" s="2507" customFormat="1" ht="18">
      <c r="A1" s="3263" t="s">
        <v>768</v>
      </c>
      <c r="B1" s="3264"/>
      <c r="C1" s="3264"/>
      <c r="D1" s="3264"/>
      <c r="E1" s="3264"/>
      <c r="F1" s="3264"/>
      <c r="G1" s="3264"/>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402"/>
      <c r="I2" s="2402"/>
      <c r="J2" s="2402"/>
      <c r="K2" s="2402"/>
      <c r="L2" s="2402"/>
      <c r="M2" s="2402"/>
      <c r="N2" s="2402"/>
      <c r="O2" s="2402"/>
      <c r="P2" s="2402"/>
      <c r="Q2" s="2402"/>
    </row>
    <row r="3" spans="1:29" ht="25.5">
      <c r="A3" s="2518" t="s">
        <v>771</v>
      </c>
      <c r="B3" s="2519" t="s">
        <v>772</v>
      </c>
      <c r="C3" s="2520"/>
      <c r="D3" s="2521"/>
      <c r="E3" s="2522" t="s">
        <v>771</v>
      </c>
      <c r="F3" s="2523" t="s">
        <v>773</v>
      </c>
      <c r="G3" s="2524" t="s">
        <v>774</v>
      </c>
      <c r="H3" s="2402"/>
      <c r="I3" s="2402"/>
      <c r="J3" s="2402"/>
      <c r="K3" s="2402"/>
      <c r="L3" s="2402"/>
      <c r="M3" s="2402"/>
      <c r="N3" s="2402"/>
      <c r="O3" s="2402"/>
      <c r="P3" s="2402"/>
      <c r="Q3" s="2402"/>
    </row>
    <row r="4" spans="1:29" ht="36">
      <c r="A4" s="2522"/>
      <c r="B4" s="1900" t="s">
        <v>775</v>
      </c>
      <c r="C4" s="2525"/>
      <c r="D4" s="2521"/>
      <c r="E4" s="2526"/>
      <c r="F4" s="2096" t="s">
        <v>776</v>
      </c>
      <c r="G4" s="2527" t="s">
        <v>777</v>
      </c>
      <c r="H4" s="2402"/>
      <c r="I4" s="2402"/>
      <c r="J4" s="2402"/>
      <c r="K4" s="2402"/>
      <c r="L4" s="2402"/>
      <c r="M4" s="2402"/>
      <c r="N4" s="2402"/>
      <c r="O4" s="2402"/>
      <c r="P4" s="2402"/>
      <c r="Q4" s="2402"/>
    </row>
    <row r="5" spans="1:29" ht="24">
      <c r="A5" s="2522"/>
      <c r="B5" s="1900" t="s">
        <v>778</v>
      </c>
      <c r="C5" s="2525"/>
      <c r="D5" s="2521"/>
      <c r="E5" s="2526"/>
      <c r="F5" s="1900" t="s">
        <v>601</v>
      </c>
      <c r="G5" s="2527" t="s">
        <v>779</v>
      </c>
      <c r="H5" s="2402"/>
      <c r="I5" s="2402"/>
      <c r="J5" s="2402"/>
      <c r="K5" s="2402"/>
      <c r="L5" s="2402"/>
      <c r="M5" s="2402"/>
      <c r="N5" s="2402"/>
      <c r="O5" s="2402"/>
      <c r="P5" s="2402"/>
      <c r="Q5" s="2402"/>
    </row>
    <row r="6" spans="1:29">
      <c r="A6" s="2522"/>
      <c r="B6" s="1900" t="s">
        <v>776</v>
      </c>
      <c r="C6" s="2527"/>
      <c r="D6" s="2521"/>
      <c r="E6" s="2526"/>
      <c r="F6" s="1900" t="s">
        <v>780</v>
      </c>
      <c r="G6" s="2527" t="s">
        <v>781</v>
      </c>
      <c r="H6" s="2402"/>
      <c r="I6" s="2402"/>
      <c r="J6" s="2402"/>
      <c r="K6" s="2402"/>
      <c r="L6" s="2402"/>
      <c r="M6" s="2402"/>
      <c r="N6" s="2402"/>
      <c r="O6" s="2402"/>
      <c r="P6" s="2402"/>
      <c r="Q6" s="2402"/>
    </row>
    <row r="7" spans="1:29" ht="24">
      <c r="A7" s="2522"/>
      <c r="B7" s="1900" t="s">
        <v>601</v>
      </c>
      <c r="C7" s="2527"/>
      <c r="D7" s="2528"/>
      <c r="E7" s="2529"/>
      <c r="F7" s="2530" t="s">
        <v>782</v>
      </c>
      <c r="G7" s="2531" t="s">
        <v>783</v>
      </c>
      <c r="H7" s="2402"/>
      <c r="I7" s="2402"/>
      <c r="J7" s="2402"/>
      <c r="K7" s="2402"/>
      <c r="L7" s="2402"/>
      <c r="M7" s="2402"/>
      <c r="N7" s="2402"/>
      <c r="O7" s="2402"/>
      <c r="P7" s="2402"/>
      <c r="Q7" s="2402"/>
    </row>
    <row r="8" spans="1:29">
      <c r="A8" s="2522"/>
      <c r="B8" s="1900" t="s">
        <v>780</v>
      </c>
      <c r="C8" s="2527"/>
      <c r="D8" s="2528"/>
      <c r="E8" s="2528"/>
      <c r="F8" s="983"/>
      <c r="G8" s="983"/>
      <c r="H8" s="2402"/>
      <c r="I8" s="2402"/>
      <c r="J8" s="2402"/>
      <c r="K8" s="2402"/>
      <c r="L8" s="2402"/>
      <c r="M8" s="2402"/>
      <c r="N8" s="2402"/>
      <c r="O8" s="2402"/>
      <c r="P8" s="2402"/>
      <c r="Q8" s="2402"/>
    </row>
    <row r="9" spans="1:29">
      <c r="A9" s="2522"/>
      <c r="B9" s="1900" t="s">
        <v>784</v>
      </c>
      <c r="C9" s="2525"/>
      <c r="D9" s="2521"/>
      <c r="E9" s="2528"/>
      <c r="F9" s="983"/>
      <c r="G9" s="983"/>
      <c r="H9" s="2402"/>
      <c r="I9" s="2402"/>
      <c r="J9" s="2402"/>
      <c r="K9" s="2402"/>
      <c r="L9" s="2402"/>
      <c r="M9" s="2402"/>
      <c r="N9" s="2402"/>
      <c r="O9" s="2402"/>
      <c r="P9" s="2402"/>
      <c r="Q9" s="2402"/>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601</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601</v>
      </c>
      <c r="C21" s="2555">
        <f>C7</f>
        <v>0</v>
      </c>
      <c r="D21" s="2521"/>
      <c r="E21" s="2553"/>
      <c r="F21" s="2554" t="s">
        <v>789</v>
      </c>
      <c r="G21" s="2557"/>
    </row>
    <row r="22" spans="1:17" ht="13.5" customHeight="1">
      <c r="A22" s="2550"/>
      <c r="B22" s="1900" t="s">
        <v>780</v>
      </c>
      <c r="C22" s="2555">
        <f>C8</f>
        <v>0</v>
      </c>
      <c r="D22" s="2521"/>
      <c r="E22" s="2553"/>
      <c r="F22" s="2554" t="s">
        <v>785</v>
      </c>
      <c r="G22" s="2556"/>
    </row>
    <row r="23" spans="1:17" s="2402" customFormat="1">
      <c r="A23" s="2550"/>
      <c r="B23" s="2554" t="s">
        <v>789</v>
      </c>
      <c r="C23" s="2557"/>
      <c r="D23" s="2350"/>
      <c r="E23" s="2558"/>
      <c r="F23" s="2559" t="s">
        <v>551</v>
      </c>
      <c r="G23" s="2560"/>
      <c r="H23" s="2509"/>
      <c r="I23" s="2509"/>
      <c r="J23" s="2509"/>
      <c r="K23" s="2509"/>
      <c r="L23" s="2509"/>
      <c r="M23" s="2509"/>
      <c r="N23" s="2509"/>
      <c r="O23" s="2509"/>
      <c r="P23" s="2509"/>
      <c r="Q23" s="2509"/>
    </row>
    <row r="24" spans="1:17" s="2402" customFormat="1">
      <c r="A24" s="2561"/>
      <c r="B24" s="2559" t="s">
        <v>785</v>
      </c>
      <c r="C24" s="2562">
        <f>C10</f>
        <v>0</v>
      </c>
      <c r="D24" s="2350"/>
      <c r="E24" s="2528"/>
      <c r="F24" s="2528"/>
      <c r="G24" s="2528"/>
      <c r="H24" s="2509"/>
      <c r="I24" s="2509"/>
      <c r="J24" s="2509"/>
      <c r="K24" s="2509"/>
      <c r="L24" s="2509"/>
      <c r="M24" s="2509"/>
      <c r="N24" s="2509"/>
      <c r="O24" s="2509"/>
      <c r="P24" s="2509"/>
      <c r="Q24" s="2509"/>
    </row>
    <row r="25" spans="1:17" s="2402" customFormat="1">
      <c r="B25" s="2509"/>
      <c r="C25" s="2509"/>
      <c r="D25" s="2509"/>
      <c r="H25" s="2509"/>
      <c r="I25" s="2509"/>
      <c r="J25" s="2509"/>
      <c r="K25" s="2509"/>
      <c r="L25" s="2509"/>
      <c r="M25" s="2509"/>
      <c r="N25" s="2509"/>
      <c r="O25" s="2509"/>
      <c r="P25" s="2509"/>
      <c r="Q25" s="2509"/>
    </row>
    <row r="26" spans="1:17" s="2402" customFormat="1">
      <c r="B26" s="2509"/>
      <c r="C26" s="2509"/>
      <c r="D26" s="2509"/>
      <c r="H26" s="2509"/>
      <c r="I26" s="2509"/>
      <c r="J26" s="2509"/>
      <c r="K26" s="2509"/>
      <c r="L26" s="2509"/>
      <c r="M26" s="2509"/>
      <c r="N26" s="2509"/>
      <c r="O26" s="2509"/>
      <c r="P26" s="2509"/>
      <c r="Q26" s="2509"/>
    </row>
    <row r="27" spans="1:17" s="2402" customFormat="1">
      <c r="B27" s="2509"/>
      <c r="C27" s="2509"/>
      <c r="D27" s="2509"/>
      <c r="H27" s="2509"/>
      <c r="I27" s="2509"/>
      <c r="J27" s="2509"/>
      <c r="K27" s="2509"/>
      <c r="L27" s="2509"/>
      <c r="M27" s="2509"/>
      <c r="N27" s="2509"/>
      <c r="O27" s="2509"/>
      <c r="P27" s="2509"/>
      <c r="Q27" s="2509"/>
    </row>
    <row r="28" spans="1:17" s="2402" customFormat="1">
      <c r="B28" s="2509"/>
      <c r="C28" s="2509"/>
      <c r="D28" s="2509"/>
      <c r="H28" s="2509"/>
      <c r="I28" s="2509"/>
      <c r="J28" s="2509"/>
      <c r="K28" s="2509"/>
      <c r="L28" s="2509"/>
      <c r="M28" s="2509"/>
      <c r="N28" s="2509"/>
      <c r="O28" s="2509"/>
      <c r="P28" s="2509"/>
      <c r="Q28" s="2509"/>
    </row>
    <row r="29" spans="1:17" s="2402" customFormat="1">
      <c r="B29" s="2509"/>
      <c r="C29" s="2509"/>
      <c r="D29" s="2509"/>
      <c r="H29" s="2509"/>
      <c r="I29" s="2509"/>
      <c r="J29" s="2509"/>
      <c r="K29" s="2509"/>
      <c r="L29" s="2509"/>
      <c r="M29" s="2509"/>
      <c r="N29" s="2509"/>
      <c r="O29" s="2509"/>
      <c r="P29" s="2509"/>
      <c r="Q29" s="2509"/>
    </row>
    <row r="30" spans="1:17" s="2402" customFormat="1">
      <c r="B30" s="2509"/>
      <c r="C30" s="2509"/>
      <c r="D30" s="2509"/>
      <c r="H30" s="2509"/>
      <c r="I30" s="2509"/>
      <c r="J30" s="2509"/>
      <c r="K30" s="2509"/>
      <c r="L30" s="2509"/>
      <c r="M30" s="2509"/>
      <c r="N30" s="2509"/>
      <c r="O30" s="2509"/>
      <c r="P30" s="2509"/>
      <c r="Q30" s="2509"/>
    </row>
    <row r="31" spans="1:17" s="2402" customFormat="1">
      <c r="B31" s="2509"/>
      <c r="C31" s="2509"/>
      <c r="D31" s="2509"/>
      <c r="H31" s="2509"/>
      <c r="I31" s="2509"/>
      <c r="J31" s="2509"/>
      <c r="K31" s="2509"/>
      <c r="L31" s="2509"/>
      <c r="M31" s="2509"/>
      <c r="N31" s="2509"/>
      <c r="O31" s="2509"/>
      <c r="P31" s="2509"/>
      <c r="Q31" s="2509"/>
    </row>
    <row r="32" spans="1:17" s="2402" customFormat="1">
      <c r="B32" s="2509"/>
      <c r="C32" s="2509"/>
      <c r="D32" s="2509"/>
      <c r="H32" s="2509"/>
      <c r="I32" s="2509"/>
      <c r="J32" s="2509"/>
      <c r="K32" s="2509"/>
      <c r="L32" s="2509"/>
      <c r="M32" s="2509"/>
      <c r="N32" s="2509"/>
      <c r="O32" s="2509"/>
      <c r="P32" s="2509"/>
      <c r="Q32" s="2509"/>
    </row>
    <row r="33" spans="2:17" s="2402" customFormat="1">
      <c r="B33" s="2509"/>
      <c r="C33" s="2509"/>
      <c r="D33" s="2509"/>
      <c r="H33" s="2509"/>
      <c r="I33" s="2509"/>
      <c r="J33" s="2509"/>
      <c r="K33" s="2509"/>
      <c r="L33" s="2509"/>
      <c r="M33" s="2509"/>
      <c r="N33" s="2509"/>
      <c r="O33" s="2509"/>
      <c r="P33" s="2509"/>
      <c r="Q33" s="2509"/>
    </row>
    <row r="34" spans="2:17" s="2402" customFormat="1">
      <c r="B34" s="2509"/>
      <c r="C34" s="2509"/>
      <c r="D34" s="2509"/>
      <c r="H34" s="2509"/>
      <c r="I34" s="2509"/>
      <c r="J34" s="2509"/>
      <c r="K34" s="2509"/>
      <c r="L34" s="2509"/>
      <c r="M34" s="2509"/>
      <c r="N34" s="2509"/>
      <c r="O34" s="2509"/>
      <c r="P34" s="2509"/>
      <c r="Q34" s="2509"/>
    </row>
    <row r="35" spans="2:17" s="2402" customFormat="1">
      <c r="B35" s="2509"/>
      <c r="C35" s="2509"/>
      <c r="D35" s="2509"/>
      <c r="H35" s="2509"/>
      <c r="I35" s="2509"/>
      <c r="J35" s="2509"/>
      <c r="K35" s="2509"/>
      <c r="L35" s="2509"/>
      <c r="M35" s="2509"/>
      <c r="N35" s="2509"/>
      <c r="O35" s="2509"/>
      <c r="P35" s="2509"/>
      <c r="Q35" s="2509"/>
    </row>
    <row r="36" spans="2:17" s="2402" customFormat="1">
      <c r="B36" s="2509"/>
      <c r="C36" s="2509"/>
      <c r="D36" s="2509"/>
      <c r="H36" s="2509"/>
      <c r="I36" s="2509"/>
      <c r="J36" s="2509"/>
      <c r="K36" s="2509"/>
      <c r="L36" s="2509"/>
      <c r="M36" s="2509"/>
      <c r="N36" s="2509"/>
      <c r="O36" s="2509"/>
      <c r="P36" s="2509"/>
      <c r="Q36" s="2509"/>
    </row>
    <row r="37" spans="2:17" s="2402" customFormat="1">
      <c r="B37" s="2509"/>
      <c r="C37" s="2509"/>
      <c r="D37" s="2509"/>
      <c r="H37" s="2509"/>
      <c r="I37" s="2509"/>
      <c r="J37" s="2509"/>
      <c r="K37" s="2509"/>
      <c r="L37" s="2509"/>
      <c r="M37" s="2509"/>
      <c r="N37" s="2509"/>
      <c r="O37" s="2509"/>
      <c r="P37" s="2509"/>
      <c r="Q37" s="2509"/>
    </row>
    <row r="38" spans="2:17" s="2402" customFormat="1">
      <c r="B38" s="2509"/>
      <c r="C38" s="2509"/>
      <c r="D38" s="2509"/>
      <c r="E38" s="2509"/>
      <c r="F38" s="2509"/>
      <c r="G38" s="2509"/>
      <c r="H38" s="2509"/>
      <c r="I38" s="2509"/>
      <c r="J38" s="2509"/>
      <c r="K38" s="2509"/>
      <c r="L38" s="2509"/>
      <c r="M38" s="2509"/>
      <c r="N38" s="2509"/>
      <c r="O38" s="2509"/>
      <c r="P38" s="2509"/>
      <c r="Q38" s="2509"/>
    </row>
    <row r="39" spans="2:17" s="2402" customFormat="1">
      <c r="B39" s="2509"/>
      <c r="C39" s="2509"/>
      <c r="D39" s="2509"/>
      <c r="E39" s="2509"/>
      <c r="F39" s="2509"/>
      <c r="G39" s="2509"/>
      <c r="H39" s="2509"/>
      <c r="I39" s="2509"/>
      <c r="J39" s="2509"/>
      <c r="K39" s="2509"/>
      <c r="L39" s="2509"/>
      <c r="M39" s="2509"/>
      <c r="N39" s="2509"/>
      <c r="O39" s="2509"/>
      <c r="P39" s="2509"/>
      <c r="Q39" s="2509"/>
    </row>
    <row r="40" spans="2:17" s="2402" customFormat="1">
      <c r="B40" s="2509"/>
      <c r="C40" s="2509"/>
      <c r="D40" s="2509"/>
      <c r="E40" s="2509"/>
      <c r="F40" s="2509"/>
      <c r="G40" s="2509"/>
      <c r="H40" s="2509"/>
      <c r="I40" s="2509"/>
      <c r="J40" s="2509"/>
      <c r="K40" s="2509"/>
      <c r="L40" s="2509"/>
      <c r="M40" s="2509"/>
      <c r="N40" s="2509"/>
      <c r="O40" s="2509"/>
      <c r="P40" s="2509"/>
      <c r="Q40" s="2509"/>
    </row>
    <row r="41" spans="2:17" s="2402" customFormat="1">
      <c r="B41" s="2509"/>
      <c r="C41" s="2509"/>
      <c r="D41" s="2509"/>
      <c r="E41" s="2509"/>
      <c r="F41" s="2509"/>
      <c r="G41" s="2509"/>
      <c r="H41" s="2509"/>
      <c r="I41" s="2509"/>
      <c r="J41" s="2509"/>
      <c r="K41" s="2509"/>
      <c r="L41" s="2509"/>
      <c r="M41" s="2509"/>
      <c r="N41" s="2509"/>
      <c r="O41" s="2509"/>
      <c r="P41" s="2509"/>
      <c r="Q41" s="2509"/>
    </row>
    <row r="42" spans="2:17" s="2402" customFormat="1">
      <c r="B42" s="2509"/>
      <c r="C42" s="2509"/>
      <c r="D42" s="2509"/>
      <c r="E42" s="2509"/>
      <c r="F42" s="2509"/>
      <c r="G42" s="2509"/>
      <c r="H42" s="2509"/>
      <c r="I42" s="2509"/>
      <c r="J42" s="2509"/>
      <c r="K42" s="2509"/>
      <c r="L42" s="2509"/>
      <c r="M42" s="2509"/>
      <c r="N42" s="2509"/>
      <c r="O42" s="2509"/>
      <c r="P42" s="2509"/>
      <c r="Q42" s="2509"/>
    </row>
    <row r="43" spans="2:17" s="2402" customFormat="1">
      <c r="B43" s="2509"/>
      <c r="C43" s="2509"/>
      <c r="D43" s="2509"/>
      <c r="E43" s="2509"/>
      <c r="F43" s="2509"/>
      <c r="G43" s="2509"/>
      <c r="H43" s="2509"/>
      <c r="I43" s="2509"/>
      <c r="J43" s="2509"/>
      <c r="K43" s="2509"/>
      <c r="L43" s="2509"/>
      <c r="M43" s="2509"/>
      <c r="N43" s="2509"/>
      <c r="O43" s="2509"/>
      <c r="P43" s="2509"/>
      <c r="Q43" s="2509"/>
    </row>
    <row r="44" spans="2:17" s="2402" customFormat="1">
      <c r="B44" s="2509"/>
      <c r="C44" s="2509"/>
      <c r="D44" s="2509"/>
      <c r="E44" s="2509"/>
      <c r="F44" s="2509"/>
      <c r="G44" s="2509"/>
      <c r="H44" s="2509"/>
      <c r="I44" s="2509"/>
      <c r="J44" s="2509"/>
      <c r="K44" s="2509"/>
      <c r="L44" s="2509"/>
      <c r="M44" s="2509"/>
      <c r="N44" s="2509"/>
      <c r="O44" s="2509"/>
      <c r="P44" s="2509"/>
      <c r="Q44" s="2509"/>
    </row>
    <row r="45" spans="2:17" s="2402" customFormat="1">
      <c r="B45" s="2509"/>
      <c r="C45" s="2509"/>
      <c r="D45" s="2509"/>
      <c r="E45" s="2509"/>
      <c r="F45" s="2509"/>
      <c r="G45" s="2509"/>
      <c r="H45" s="2509"/>
      <c r="I45" s="2509"/>
      <c r="J45" s="2509"/>
      <c r="K45" s="2509"/>
      <c r="L45" s="2509"/>
      <c r="M45" s="2509"/>
      <c r="N45" s="2509"/>
      <c r="O45" s="2509"/>
      <c r="P45" s="2509"/>
      <c r="Q45" s="2509"/>
    </row>
    <row r="46" spans="2:17" s="2402" customFormat="1">
      <c r="B46" s="2509"/>
      <c r="C46" s="2509"/>
      <c r="D46" s="2509"/>
      <c r="E46" s="2509"/>
      <c r="F46" s="2509"/>
      <c r="G46" s="2509"/>
      <c r="H46" s="2509"/>
      <c r="I46" s="2509"/>
      <c r="J46" s="2509"/>
      <c r="K46" s="2509"/>
      <c r="L46" s="2509"/>
      <c r="M46" s="2509"/>
      <c r="N46" s="2509"/>
      <c r="O46" s="2509"/>
      <c r="P46" s="2509"/>
      <c r="Q46" s="2509"/>
    </row>
    <row r="47" spans="2:17" s="2402" customFormat="1">
      <c r="B47" s="2509"/>
      <c r="C47" s="2509"/>
      <c r="D47" s="2509"/>
      <c r="E47" s="2509"/>
      <c r="F47" s="2509"/>
      <c r="G47" s="2509"/>
      <c r="H47" s="2509"/>
      <c r="I47" s="2509"/>
      <c r="J47" s="2509"/>
      <c r="K47" s="2509"/>
      <c r="L47" s="2509"/>
      <c r="M47" s="2509"/>
      <c r="N47" s="2509"/>
      <c r="O47" s="2509"/>
      <c r="P47" s="2509"/>
      <c r="Q47" s="2509"/>
    </row>
    <row r="48" spans="2:17" s="2402" customFormat="1">
      <c r="B48" s="2509"/>
      <c r="C48" s="2509"/>
      <c r="D48" s="2509"/>
      <c r="E48" s="2509"/>
      <c r="F48" s="2509"/>
      <c r="G48" s="2509"/>
      <c r="H48" s="2509"/>
      <c r="I48" s="2509"/>
      <c r="J48" s="2509"/>
      <c r="K48" s="2509"/>
      <c r="L48" s="2509"/>
      <c r="M48" s="2509"/>
      <c r="N48" s="2509"/>
      <c r="O48" s="2509"/>
      <c r="P48" s="2509"/>
      <c r="Q48" s="2509"/>
    </row>
    <row r="49" spans="2:17" s="2402" customFormat="1">
      <c r="B49" s="2509"/>
      <c r="C49" s="2509"/>
      <c r="D49" s="2509"/>
      <c r="E49" s="2509"/>
      <c r="F49" s="2509"/>
      <c r="G49" s="2509"/>
      <c r="H49" s="2509"/>
      <c r="I49" s="2509"/>
      <c r="J49" s="2509"/>
      <c r="K49" s="2509"/>
      <c r="L49" s="2509"/>
      <c r="M49" s="2509"/>
      <c r="N49" s="2509"/>
      <c r="O49" s="2509"/>
      <c r="P49" s="2509"/>
      <c r="Q49" s="2509"/>
    </row>
    <row r="50" spans="2:17" s="2402" customFormat="1">
      <c r="B50" s="2509"/>
      <c r="C50" s="2509"/>
      <c r="D50" s="2509"/>
      <c r="E50" s="2509"/>
      <c r="F50" s="2509"/>
      <c r="G50" s="2509"/>
      <c r="H50" s="2509"/>
      <c r="I50" s="2509"/>
      <c r="J50" s="2509"/>
      <c r="K50" s="2509"/>
      <c r="L50" s="2509"/>
      <c r="M50" s="2509"/>
      <c r="N50" s="2509"/>
      <c r="O50" s="2509"/>
      <c r="P50" s="2509"/>
      <c r="Q50" s="2509"/>
    </row>
    <row r="51" spans="2:17" s="2402" customFormat="1">
      <c r="B51" s="2509"/>
      <c r="C51" s="2509"/>
      <c r="D51" s="2509"/>
      <c r="E51" s="2509"/>
      <c r="F51" s="2509"/>
      <c r="G51" s="2509"/>
      <c r="H51" s="2509"/>
      <c r="I51" s="2509"/>
      <c r="J51" s="2509"/>
      <c r="K51" s="2509"/>
      <c r="L51" s="2509"/>
      <c r="M51" s="2509"/>
      <c r="N51" s="2509"/>
      <c r="O51" s="2509"/>
      <c r="P51" s="2509"/>
      <c r="Q51" s="2509"/>
    </row>
    <row r="52" spans="2:17" s="2402" customFormat="1">
      <c r="B52" s="2509"/>
      <c r="C52" s="2509"/>
      <c r="D52" s="2509"/>
      <c r="E52" s="2509"/>
      <c r="F52" s="2509"/>
      <c r="G52" s="2509"/>
      <c r="H52" s="2509"/>
      <c r="I52" s="2509"/>
      <c r="J52" s="2509"/>
      <c r="K52" s="2509"/>
      <c r="L52" s="2509"/>
      <c r="M52" s="2509"/>
      <c r="N52" s="2509"/>
      <c r="O52" s="2509"/>
      <c r="P52" s="2509"/>
      <c r="Q52" s="2509"/>
    </row>
    <row r="53" spans="2:17" s="2402" customFormat="1">
      <c r="B53" s="2509"/>
      <c r="C53" s="2509"/>
      <c r="D53" s="2509"/>
      <c r="E53" s="2509"/>
      <c r="F53" s="2509"/>
      <c r="G53" s="2509"/>
      <c r="H53" s="2509"/>
      <c r="I53" s="2509"/>
      <c r="J53" s="2509"/>
      <c r="K53" s="2509"/>
      <c r="L53" s="2509"/>
      <c r="M53" s="2509"/>
      <c r="N53" s="2509"/>
      <c r="O53" s="2509"/>
      <c r="P53" s="2509"/>
      <c r="Q53" s="2509"/>
    </row>
    <row r="54" spans="2:17" s="2402" customFormat="1">
      <c r="B54" s="2509"/>
      <c r="C54" s="2509"/>
      <c r="D54" s="2509"/>
      <c r="E54" s="2509"/>
      <c r="F54" s="2509"/>
      <c r="G54" s="2509"/>
      <c r="H54" s="2509"/>
      <c r="I54" s="2509"/>
      <c r="J54" s="2509"/>
      <c r="K54" s="2509"/>
      <c r="L54" s="2509"/>
      <c r="M54" s="2509"/>
      <c r="N54" s="2509"/>
      <c r="O54" s="2509"/>
      <c r="P54" s="2509"/>
      <c r="Q54" s="2509"/>
    </row>
    <row r="55" spans="2:17" s="2402" customFormat="1">
      <c r="B55" s="2509"/>
      <c r="C55" s="2509"/>
      <c r="D55" s="2509"/>
      <c r="E55" s="2509"/>
      <c r="F55" s="2509"/>
      <c r="G55" s="2509"/>
      <c r="H55" s="2509"/>
      <c r="I55" s="2509"/>
      <c r="J55" s="2509"/>
      <c r="K55" s="2509"/>
      <c r="L55" s="2509"/>
      <c r="M55" s="2509"/>
      <c r="N55" s="2509"/>
      <c r="O55" s="2509"/>
      <c r="P55" s="2509"/>
      <c r="Q55" s="2509"/>
    </row>
    <row r="56" spans="2:17" s="2402" customFormat="1">
      <c r="B56" s="2509"/>
      <c r="C56" s="2509"/>
      <c r="D56" s="2509"/>
      <c r="E56" s="2509"/>
      <c r="F56" s="2509"/>
      <c r="G56" s="2509"/>
      <c r="H56" s="2509"/>
      <c r="I56" s="2509"/>
      <c r="J56" s="2509"/>
      <c r="K56" s="2509"/>
      <c r="L56" s="2509"/>
      <c r="M56" s="2509"/>
      <c r="N56" s="2509"/>
      <c r="O56" s="2509"/>
      <c r="P56" s="2509"/>
      <c r="Q56" s="2509"/>
    </row>
    <row r="57" spans="2:17" s="2402" customFormat="1">
      <c r="B57" s="2509"/>
      <c r="C57" s="2509"/>
      <c r="D57" s="2509"/>
      <c r="E57" s="2509"/>
      <c r="F57" s="2509"/>
      <c r="G57" s="2509"/>
      <c r="H57" s="2509"/>
      <c r="I57" s="2509"/>
      <c r="J57" s="2509"/>
      <c r="K57" s="2509"/>
      <c r="L57" s="2509"/>
      <c r="M57" s="2509"/>
      <c r="N57" s="2509"/>
      <c r="O57" s="2509"/>
      <c r="P57" s="2509"/>
      <c r="Q57" s="2509"/>
    </row>
    <row r="58" spans="2:17" s="2402" customFormat="1">
      <c r="B58" s="2509"/>
      <c r="C58" s="2509"/>
      <c r="D58" s="2509"/>
      <c r="E58" s="2509"/>
      <c r="F58" s="2509"/>
      <c r="G58" s="2509"/>
      <c r="H58" s="2509"/>
      <c r="I58" s="2509"/>
      <c r="J58" s="2509"/>
      <c r="K58" s="2509"/>
      <c r="L58" s="2509"/>
      <c r="M58" s="2509"/>
      <c r="N58" s="2509"/>
      <c r="O58" s="2509"/>
      <c r="P58" s="2509"/>
      <c r="Q58" s="2509"/>
    </row>
    <row r="59" spans="2:17" s="2402" customFormat="1">
      <c r="B59" s="2509"/>
      <c r="C59" s="2509"/>
      <c r="D59" s="2509"/>
      <c r="E59" s="2509"/>
      <c r="F59" s="2509"/>
      <c r="G59" s="2509"/>
      <c r="H59" s="2509"/>
      <c r="I59" s="2509"/>
      <c r="J59" s="2509"/>
      <c r="K59" s="2509"/>
      <c r="L59" s="2509"/>
      <c r="M59" s="2509"/>
      <c r="N59" s="2509"/>
      <c r="O59" s="2509"/>
      <c r="P59" s="2509"/>
      <c r="Q59" s="2509"/>
    </row>
    <row r="60" spans="2:17" s="2402" customFormat="1">
      <c r="B60" s="2509"/>
      <c r="C60" s="2509"/>
      <c r="D60" s="2509"/>
      <c r="E60" s="2509"/>
      <c r="F60" s="2509"/>
      <c r="G60" s="2509"/>
      <c r="H60" s="2509"/>
      <c r="I60" s="2509"/>
      <c r="J60" s="2509"/>
      <c r="K60" s="2509"/>
      <c r="L60" s="2509"/>
      <c r="M60" s="2509"/>
      <c r="N60" s="2509"/>
      <c r="O60" s="2509"/>
      <c r="P60" s="2509"/>
      <c r="Q60" s="2509"/>
    </row>
    <row r="61" spans="2:17" s="2402" customFormat="1">
      <c r="B61" s="2509"/>
      <c r="C61" s="2509"/>
      <c r="D61" s="2509"/>
      <c r="E61" s="2509"/>
      <c r="F61" s="2509"/>
      <c r="G61" s="2509"/>
      <c r="H61" s="2509"/>
      <c r="I61" s="2509"/>
      <c r="J61" s="2509"/>
      <c r="K61" s="2509"/>
      <c r="L61" s="2509"/>
      <c r="M61" s="2509"/>
      <c r="N61" s="2509"/>
      <c r="O61" s="2509"/>
      <c r="P61" s="2509"/>
      <c r="Q61" s="2509"/>
    </row>
    <row r="62" spans="2:17" s="2402" customFormat="1">
      <c r="B62" s="2509"/>
      <c r="C62" s="2509"/>
      <c r="D62" s="2509"/>
      <c r="E62" s="2509"/>
      <c r="F62" s="2509"/>
      <c r="G62" s="2509"/>
      <c r="H62" s="2509"/>
      <c r="I62" s="2509"/>
      <c r="J62" s="2509"/>
      <c r="K62" s="2509"/>
      <c r="L62" s="2509"/>
      <c r="M62" s="2509"/>
      <c r="N62" s="2509"/>
      <c r="O62" s="2509"/>
      <c r="P62" s="2509"/>
      <c r="Q62" s="2509"/>
    </row>
    <row r="63" spans="2:17" s="2402" customFormat="1">
      <c r="B63" s="2509"/>
      <c r="C63" s="2509"/>
      <c r="D63" s="2509"/>
      <c r="E63" s="2509"/>
      <c r="F63" s="2509"/>
      <c r="G63" s="2509"/>
      <c r="H63" s="2509"/>
      <c r="I63" s="2509"/>
      <c r="J63" s="2509"/>
      <c r="K63" s="2509"/>
      <c r="L63" s="2509"/>
      <c r="M63" s="2509"/>
      <c r="N63" s="2509"/>
      <c r="O63" s="2509"/>
      <c r="P63" s="2509"/>
      <c r="Q63" s="2509"/>
    </row>
    <row r="64" spans="2:17" s="2402" customFormat="1">
      <c r="B64" s="2509"/>
      <c r="C64" s="2509"/>
      <c r="D64" s="2509"/>
      <c r="E64" s="2509"/>
      <c r="F64" s="2509"/>
      <c r="G64" s="2509"/>
      <c r="H64" s="2509"/>
      <c r="I64" s="2509"/>
      <c r="J64" s="2509"/>
      <c r="K64" s="2509"/>
      <c r="L64" s="2509"/>
      <c r="M64" s="2509"/>
      <c r="N64" s="2509"/>
      <c r="O64" s="2509"/>
      <c r="P64" s="2509"/>
      <c r="Q64" s="2509"/>
    </row>
    <row r="65" spans="2:17" s="2402" customFormat="1">
      <c r="B65" s="2509"/>
      <c r="C65" s="2509"/>
      <c r="D65" s="2509"/>
      <c r="E65" s="2509"/>
      <c r="F65" s="2509"/>
      <c r="G65" s="2509"/>
      <c r="H65" s="2509"/>
      <c r="I65" s="2509"/>
      <c r="J65" s="2509"/>
      <c r="K65" s="2509"/>
      <c r="L65" s="2509"/>
      <c r="M65" s="2509"/>
      <c r="N65" s="2509"/>
      <c r="O65" s="2509"/>
      <c r="P65" s="2509"/>
      <c r="Q65" s="2509"/>
    </row>
    <row r="66" spans="2:17" s="2402" customFormat="1">
      <c r="B66" s="2509"/>
      <c r="C66" s="2509"/>
      <c r="D66" s="2509"/>
      <c r="E66" s="2509"/>
      <c r="F66" s="2509"/>
      <c r="G66" s="2509"/>
      <c r="H66" s="2509"/>
      <c r="I66" s="2509"/>
      <c r="J66" s="2509"/>
      <c r="K66" s="2509"/>
      <c r="L66" s="2509"/>
      <c r="M66" s="2509"/>
      <c r="N66" s="2509"/>
      <c r="O66" s="2509"/>
      <c r="P66" s="2509"/>
      <c r="Q66" s="2509"/>
    </row>
    <row r="67" spans="2:17" s="2402" customFormat="1">
      <c r="B67" s="2509"/>
      <c r="C67" s="2509"/>
      <c r="D67" s="2509"/>
      <c r="E67" s="2509"/>
      <c r="F67" s="2509"/>
      <c r="G67" s="2509"/>
      <c r="H67" s="2509"/>
      <c r="I67" s="2509"/>
      <c r="J67" s="2509"/>
      <c r="K67" s="2509"/>
      <c r="L67" s="2509"/>
      <c r="M67" s="2509"/>
      <c r="N67" s="2509"/>
      <c r="O67" s="2509"/>
      <c r="P67" s="2509"/>
      <c r="Q67" s="2509"/>
    </row>
    <row r="68" spans="2:17" s="2402" customFormat="1">
      <c r="B68" s="2509"/>
      <c r="C68" s="2509"/>
      <c r="D68" s="2509"/>
      <c r="E68" s="2509"/>
      <c r="F68" s="2509"/>
      <c r="G68" s="2509"/>
      <c r="H68" s="2509"/>
      <c r="I68" s="2509"/>
      <c r="J68" s="2509"/>
      <c r="K68" s="2509"/>
      <c r="L68" s="2509"/>
      <c r="M68" s="2509"/>
      <c r="N68" s="2509"/>
      <c r="O68" s="2509"/>
      <c r="P68" s="2509"/>
      <c r="Q68" s="2509"/>
    </row>
    <row r="69" spans="2:17" s="2402" customFormat="1">
      <c r="B69" s="2509"/>
      <c r="C69" s="2509"/>
      <c r="D69" s="2509"/>
      <c r="E69" s="2509"/>
      <c r="F69" s="2509"/>
      <c r="G69" s="2509"/>
      <c r="H69" s="2509"/>
      <c r="I69" s="2509"/>
      <c r="J69" s="2509"/>
      <c r="K69" s="2509"/>
      <c r="L69" s="2509"/>
      <c r="M69" s="2509"/>
      <c r="N69" s="2509"/>
      <c r="O69" s="2509"/>
      <c r="P69" s="2509"/>
      <c r="Q69" s="2509"/>
    </row>
    <row r="70" spans="2:17" s="2402" customFormat="1">
      <c r="B70" s="2509"/>
      <c r="C70" s="2509"/>
      <c r="D70" s="2509"/>
      <c r="E70" s="2509"/>
      <c r="F70" s="2509"/>
      <c r="G70" s="2509"/>
      <c r="H70" s="2509"/>
      <c r="I70" s="2509"/>
      <c r="J70" s="2509"/>
      <c r="K70" s="2509"/>
      <c r="L70" s="2509"/>
      <c r="M70" s="2509"/>
      <c r="N70" s="2509"/>
      <c r="O70" s="2509"/>
      <c r="P70" s="2509"/>
      <c r="Q70" s="2509"/>
    </row>
    <row r="71" spans="2:17" s="2402" customFormat="1">
      <c r="B71" s="2509"/>
      <c r="C71" s="2509"/>
      <c r="D71" s="2509"/>
      <c r="E71" s="2509"/>
      <c r="F71" s="2509"/>
      <c r="G71" s="2509"/>
      <c r="H71" s="2509"/>
      <c r="I71" s="2509"/>
      <c r="J71" s="2509"/>
      <c r="K71" s="2509"/>
      <c r="L71" s="2509"/>
      <c r="M71" s="2509"/>
      <c r="N71" s="2509"/>
      <c r="O71" s="2509"/>
      <c r="P71" s="2509"/>
      <c r="Q71" s="2509"/>
    </row>
    <row r="72" spans="2:17" s="2402" customFormat="1">
      <c r="B72" s="2509"/>
      <c r="C72" s="2509"/>
      <c r="D72" s="2509"/>
      <c r="E72" s="2509"/>
      <c r="F72" s="2509"/>
      <c r="G72" s="2509"/>
      <c r="H72" s="2509"/>
      <c r="I72" s="2509"/>
      <c r="J72" s="2509"/>
      <c r="K72" s="2509"/>
      <c r="L72" s="2509"/>
      <c r="M72" s="2509"/>
      <c r="N72" s="2509"/>
      <c r="O72" s="2509"/>
      <c r="P72" s="2509"/>
      <c r="Q72" s="2509"/>
    </row>
    <row r="73" spans="2:17" s="2402" customFormat="1">
      <c r="B73" s="2509"/>
      <c r="C73" s="2509"/>
      <c r="D73" s="2509"/>
      <c r="E73" s="2509"/>
      <c r="F73" s="2509"/>
      <c r="G73" s="2509"/>
      <c r="H73" s="2509"/>
      <c r="I73" s="2509"/>
      <c r="J73" s="2509"/>
      <c r="K73" s="2509"/>
      <c r="L73" s="2509"/>
      <c r="M73" s="2509"/>
      <c r="N73" s="2509"/>
      <c r="O73" s="2509"/>
      <c r="P73" s="2509"/>
      <c r="Q73" s="2509"/>
    </row>
    <row r="74" spans="2:17" s="2402" customFormat="1">
      <c r="B74" s="2509"/>
      <c r="C74" s="2509"/>
      <c r="D74" s="2509"/>
      <c r="E74" s="2509"/>
      <c r="F74" s="2509"/>
      <c r="G74" s="2509"/>
      <c r="H74" s="2509"/>
      <c r="I74" s="2509"/>
      <c r="J74" s="2509"/>
      <c r="K74" s="2509"/>
      <c r="L74" s="2509"/>
      <c r="M74" s="2509"/>
      <c r="N74" s="2509"/>
      <c r="O74" s="2509"/>
      <c r="P74" s="2509"/>
      <c r="Q74" s="2509"/>
    </row>
    <row r="75" spans="2:17" s="2402" customFormat="1">
      <c r="B75" s="2509"/>
      <c r="C75" s="2509"/>
      <c r="D75" s="2509"/>
      <c r="E75" s="2509"/>
      <c r="F75" s="2509"/>
      <c r="G75" s="2509"/>
      <c r="H75" s="2509"/>
      <c r="I75" s="2509"/>
      <c r="J75" s="2509"/>
      <c r="K75" s="2509"/>
      <c r="L75" s="2509"/>
      <c r="M75" s="2509"/>
      <c r="N75" s="2509"/>
      <c r="O75" s="2509"/>
      <c r="P75" s="2509"/>
      <c r="Q75" s="2509"/>
    </row>
    <row r="76" spans="2:17" s="2402" customFormat="1">
      <c r="B76" s="2509"/>
      <c r="C76" s="2509"/>
      <c r="D76" s="2509"/>
      <c r="E76" s="2509"/>
      <c r="F76" s="2509"/>
      <c r="G76" s="2509"/>
      <c r="H76" s="2509"/>
      <c r="I76" s="2509"/>
      <c r="J76" s="2509"/>
      <c r="K76" s="2509"/>
      <c r="L76" s="2509"/>
      <c r="M76" s="2509"/>
      <c r="N76" s="2509"/>
      <c r="O76" s="2509"/>
      <c r="P76" s="2509"/>
      <c r="Q76" s="2509"/>
    </row>
    <row r="77" spans="2:17" s="2402" customFormat="1">
      <c r="B77" s="2509"/>
      <c r="C77" s="2509"/>
      <c r="D77" s="2509"/>
      <c r="E77" s="2509"/>
      <c r="F77" s="2509"/>
      <c r="G77" s="2509"/>
      <c r="H77" s="2509"/>
      <c r="I77" s="2509"/>
      <c r="J77" s="2509"/>
      <c r="K77" s="2509"/>
      <c r="L77" s="2509"/>
      <c r="M77" s="2509"/>
      <c r="N77" s="2509"/>
      <c r="O77" s="2509"/>
      <c r="P77" s="2509"/>
      <c r="Q77" s="2509"/>
    </row>
    <row r="78" spans="2:17" s="2402" customFormat="1">
      <c r="B78" s="2509"/>
      <c r="C78" s="2509"/>
      <c r="D78" s="2509"/>
      <c r="E78" s="2509"/>
      <c r="F78" s="2509"/>
      <c r="G78" s="2509"/>
      <c r="H78" s="2509"/>
      <c r="I78" s="2509"/>
      <c r="J78" s="2509"/>
      <c r="K78" s="2509"/>
      <c r="L78" s="2509"/>
      <c r="M78" s="2509"/>
      <c r="N78" s="2509"/>
      <c r="O78" s="2509"/>
      <c r="P78" s="2509"/>
      <c r="Q78" s="2509"/>
    </row>
    <row r="79" spans="2:17" s="2402" customFormat="1">
      <c r="B79" s="2509"/>
      <c r="C79" s="2509"/>
      <c r="D79" s="2509"/>
      <c r="E79" s="2509"/>
      <c r="F79" s="2509"/>
      <c r="G79" s="2509"/>
      <c r="H79" s="2509"/>
      <c r="I79" s="2509"/>
      <c r="J79" s="2509"/>
      <c r="K79" s="2509"/>
      <c r="L79" s="2509"/>
      <c r="M79" s="2509"/>
      <c r="N79" s="2509"/>
      <c r="O79" s="2509"/>
      <c r="P79" s="2509"/>
      <c r="Q79" s="2509"/>
    </row>
    <row r="80" spans="2:17" s="2402" customFormat="1">
      <c r="B80" s="2509"/>
      <c r="C80" s="2509"/>
      <c r="D80" s="2509"/>
      <c r="E80" s="2509"/>
      <c r="F80" s="2509"/>
      <c r="G80" s="2509"/>
      <c r="H80" s="2509"/>
      <c r="I80" s="2509"/>
      <c r="J80" s="2509"/>
      <c r="K80" s="2509"/>
      <c r="L80" s="2509"/>
      <c r="M80" s="2509"/>
      <c r="N80" s="2509"/>
      <c r="O80" s="2509"/>
      <c r="P80" s="2509"/>
      <c r="Q80" s="2509"/>
    </row>
    <row r="81" spans="2:17" s="2402" customFormat="1">
      <c r="B81" s="2509"/>
      <c r="C81" s="2509"/>
      <c r="D81" s="2509"/>
      <c r="E81" s="2509"/>
      <c r="F81" s="2509"/>
      <c r="G81" s="2509"/>
      <c r="H81" s="2509"/>
      <c r="I81" s="2509"/>
      <c r="J81" s="2509"/>
      <c r="K81" s="2509"/>
      <c r="L81" s="2509"/>
      <c r="M81" s="2509"/>
      <c r="N81" s="2509"/>
      <c r="O81" s="2509"/>
      <c r="P81" s="2509"/>
      <c r="Q81" s="2509"/>
    </row>
    <row r="82" spans="2:17" s="2402" customFormat="1">
      <c r="B82" s="2509"/>
      <c r="C82" s="2509"/>
      <c r="D82" s="2509"/>
      <c r="E82" s="2509"/>
      <c r="F82" s="2509"/>
      <c r="G82" s="2509"/>
      <c r="H82" s="2509"/>
      <c r="I82" s="2509"/>
      <c r="J82" s="2509"/>
      <c r="K82" s="2509"/>
      <c r="L82" s="2509"/>
      <c r="M82" s="2509"/>
      <c r="N82" s="2509"/>
      <c r="O82" s="2509"/>
      <c r="P82" s="2509"/>
      <c r="Q82" s="2509"/>
    </row>
    <row r="83" spans="2:17" s="2402" customFormat="1">
      <c r="B83" s="2509"/>
      <c r="C83" s="2509"/>
      <c r="D83" s="2509"/>
      <c r="E83" s="2509"/>
      <c r="F83" s="2509"/>
      <c r="G83" s="2509"/>
      <c r="H83" s="2509"/>
      <c r="I83" s="2509"/>
      <c r="J83" s="2509"/>
      <c r="K83" s="2509"/>
      <c r="L83" s="2509"/>
      <c r="M83" s="2509"/>
      <c r="N83" s="2509"/>
      <c r="O83" s="2509"/>
      <c r="P83" s="2509"/>
      <c r="Q83" s="2509"/>
    </row>
    <row r="84" spans="2:17" s="2402" customFormat="1">
      <c r="B84" s="2509"/>
      <c r="C84" s="2509"/>
      <c r="D84" s="2509"/>
      <c r="E84" s="2509"/>
      <c r="F84" s="2509"/>
      <c r="G84" s="2509"/>
      <c r="H84" s="2509"/>
      <c r="I84" s="2509"/>
      <c r="J84" s="2509"/>
      <c r="K84" s="2509"/>
      <c r="L84" s="2509"/>
      <c r="M84" s="2509"/>
      <c r="N84" s="2509"/>
      <c r="O84" s="2509"/>
      <c r="P84" s="2509"/>
      <c r="Q84" s="2509"/>
    </row>
    <row r="85" spans="2:17" s="2402" customFormat="1">
      <c r="B85" s="2509"/>
      <c r="C85" s="2509"/>
      <c r="D85" s="2509"/>
      <c r="E85" s="2509"/>
      <c r="F85" s="2509"/>
      <c r="G85" s="2509"/>
      <c r="H85" s="2509"/>
      <c r="I85" s="2509"/>
      <c r="J85" s="2509"/>
      <c r="K85" s="2509"/>
      <c r="L85" s="2509"/>
      <c r="M85" s="2509"/>
      <c r="N85" s="2509"/>
      <c r="O85" s="2509"/>
      <c r="P85" s="2509"/>
      <c r="Q85" s="2509"/>
    </row>
    <row r="86" spans="2:17" s="2402" customFormat="1">
      <c r="B86" s="2509"/>
      <c r="C86" s="2509"/>
      <c r="D86" s="2509"/>
      <c r="E86" s="2509"/>
      <c r="F86" s="2509"/>
      <c r="G86" s="2509"/>
      <c r="H86" s="2509"/>
      <c r="I86" s="2509"/>
      <c r="J86" s="2509"/>
      <c r="K86" s="2509"/>
      <c r="L86" s="2509"/>
      <c r="M86" s="2509"/>
      <c r="N86" s="2509"/>
      <c r="O86" s="2509"/>
      <c r="P86" s="2509"/>
      <c r="Q86" s="2509"/>
    </row>
    <row r="87" spans="2:17" s="2402" customFormat="1">
      <c r="B87" s="2509"/>
      <c r="C87" s="2509"/>
      <c r="D87" s="2509"/>
      <c r="E87" s="2509"/>
      <c r="F87" s="2509"/>
      <c r="G87" s="2509"/>
      <c r="H87" s="2509"/>
      <c r="I87" s="2509"/>
      <c r="J87" s="2509"/>
      <c r="K87" s="2509"/>
      <c r="L87" s="2509"/>
      <c r="M87" s="2509"/>
      <c r="N87" s="2509"/>
      <c r="O87" s="2509"/>
      <c r="P87" s="2509"/>
      <c r="Q87" s="2509"/>
    </row>
    <row r="88" spans="2:17" s="2402" customFormat="1">
      <c r="B88" s="2509"/>
      <c r="C88" s="2509"/>
      <c r="D88" s="2509"/>
      <c r="E88" s="2509"/>
      <c r="F88" s="2509"/>
      <c r="G88" s="2509"/>
      <c r="H88" s="2509"/>
      <c r="I88" s="2509"/>
      <c r="J88" s="2509"/>
      <c r="K88" s="2509"/>
      <c r="L88" s="2509"/>
      <c r="M88" s="2509"/>
      <c r="N88" s="2509"/>
      <c r="O88" s="2509"/>
      <c r="P88" s="2509"/>
      <c r="Q88" s="2509"/>
    </row>
    <row r="89" spans="2:17" s="2402" customFormat="1">
      <c r="B89" s="2509"/>
      <c r="C89" s="2509"/>
      <c r="D89" s="2509"/>
      <c r="E89" s="2509"/>
      <c r="F89" s="2509"/>
      <c r="G89" s="2509"/>
      <c r="H89" s="2509"/>
      <c r="I89" s="2509"/>
      <c r="J89" s="2509"/>
      <c r="K89" s="2509"/>
      <c r="L89" s="2509"/>
      <c r="M89" s="2509"/>
      <c r="N89" s="2509"/>
      <c r="O89" s="2509"/>
      <c r="P89" s="2509"/>
      <c r="Q89" s="2509"/>
    </row>
    <row r="90" spans="2:17" s="2402" customFormat="1">
      <c r="B90" s="2509"/>
      <c r="C90" s="2509"/>
      <c r="D90" s="2509"/>
      <c r="E90" s="2509"/>
      <c r="F90" s="2509"/>
      <c r="G90" s="2509"/>
      <c r="H90" s="2509"/>
      <c r="I90" s="2509"/>
      <c r="J90" s="2509"/>
      <c r="K90" s="2509"/>
      <c r="L90" s="2509"/>
      <c r="M90" s="2509"/>
      <c r="N90" s="2509"/>
      <c r="O90" s="2509"/>
      <c r="P90" s="2509"/>
      <c r="Q90" s="2509"/>
    </row>
    <row r="91" spans="2:17" s="2402" customFormat="1">
      <c r="B91" s="2509"/>
      <c r="C91" s="2509"/>
      <c r="D91" s="2509"/>
      <c r="E91" s="2509"/>
      <c r="F91" s="2509"/>
      <c r="G91" s="2509"/>
      <c r="H91" s="2509"/>
      <c r="I91" s="2509"/>
      <c r="J91" s="2509"/>
      <c r="K91" s="2509"/>
      <c r="L91" s="2509"/>
      <c r="M91" s="2509"/>
      <c r="N91" s="2509"/>
      <c r="O91" s="2509"/>
      <c r="P91" s="2509"/>
      <c r="Q91" s="2509"/>
    </row>
    <row r="92" spans="2:17" s="2402" customFormat="1">
      <c r="B92" s="2509"/>
      <c r="C92" s="2509"/>
      <c r="D92" s="2509"/>
      <c r="E92" s="2509"/>
      <c r="F92" s="2509"/>
      <c r="G92" s="2509"/>
      <c r="H92" s="2509"/>
      <c r="I92" s="2509"/>
      <c r="J92" s="2509"/>
      <c r="K92" s="2509"/>
      <c r="L92" s="2509"/>
      <c r="M92" s="2509"/>
      <c r="N92" s="2509"/>
      <c r="O92" s="2509"/>
      <c r="P92" s="2509"/>
      <c r="Q92" s="2509"/>
    </row>
    <row r="93" spans="2:17" s="2402" customFormat="1">
      <c r="B93" s="2509"/>
      <c r="C93" s="2509"/>
      <c r="D93" s="2509"/>
      <c r="E93" s="2509"/>
      <c r="F93" s="2509"/>
      <c r="G93" s="2509"/>
      <c r="H93" s="2509"/>
      <c r="I93" s="2509"/>
      <c r="J93" s="2509"/>
      <c r="K93" s="2509"/>
      <c r="L93" s="2509"/>
      <c r="M93" s="2509"/>
      <c r="N93" s="2509"/>
      <c r="O93" s="2509"/>
      <c r="P93" s="2509"/>
      <c r="Q93" s="2509"/>
    </row>
    <row r="94" spans="2:17" s="2402" customFormat="1">
      <c r="B94" s="2509"/>
      <c r="C94" s="2509"/>
      <c r="D94" s="2509"/>
      <c r="E94" s="2509"/>
      <c r="F94" s="2509"/>
      <c r="G94" s="2509"/>
      <c r="H94" s="2509"/>
      <c r="I94" s="2509"/>
      <c r="J94" s="2509"/>
      <c r="K94" s="2509"/>
      <c r="L94" s="2509"/>
      <c r="M94" s="2509"/>
      <c r="N94" s="2509"/>
      <c r="O94" s="2509"/>
      <c r="P94" s="2509"/>
      <c r="Q94" s="2509"/>
    </row>
    <row r="95" spans="2:17" s="2402" customFormat="1">
      <c r="B95" s="2509"/>
      <c r="C95" s="2509"/>
      <c r="D95" s="2509"/>
      <c r="E95" s="2509"/>
      <c r="F95" s="2509"/>
      <c r="G95" s="2509"/>
      <c r="H95" s="2509"/>
      <c r="I95" s="2509"/>
      <c r="J95" s="2509"/>
      <c r="K95" s="2509"/>
      <c r="L95" s="2509"/>
      <c r="M95" s="2509"/>
      <c r="N95" s="2509"/>
      <c r="O95" s="2509"/>
      <c r="P95" s="2509"/>
      <c r="Q95" s="2509"/>
    </row>
    <row r="96" spans="2:17" s="2402" customFormat="1">
      <c r="B96" s="2509"/>
      <c r="C96" s="2509"/>
      <c r="D96" s="2509"/>
      <c r="E96" s="2509"/>
      <c r="F96" s="2509"/>
      <c r="G96" s="2509"/>
      <c r="H96" s="2509"/>
      <c r="I96" s="2509"/>
      <c r="J96" s="2509"/>
      <c r="K96" s="2509"/>
      <c r="L96" s="2509"/>
      <c r="M96" s="2509"/>
      <c r="N96" s="2509"/>
      <c r="O96" s="2509"/>
      <c r="P96" s="2509"/>
      <c r="Q96" s="2509"/>
    </row>
    <row r="97" spans="2:17" s="2402" customFormat="1">
      <c r="B97" s="2509"/>
      <c r="C97" s="2509"/>
      <c r="D97" s="2509"/>
      <c r="E97" s="2509"/>
      <c r="F97" s="2509"/>
      <c r="G97" s="2509"/>
      <c r="H97" s="2509"/>
      <c r="I97" s="2509"/>
      <c r="J97" s="2509"/>
      <c r="K97" s="2509"/>
      <c r="L97" s="2509"/>
      <c r="M97" s="2509"/>
      <c r="N97" s="2509"/>
      <c r="O97" s="2509"/>
      <c r="P97" s="2509"/>
      <c r="Q97" s="2509"/>
    </row>
    <row r="98" spans="2:17" s="2402" customFormat="1">
      <c r="B98" s="2509"/>
      <c r="C98" s="2509"/>
      <c r="D98" s="2509"/>
      <c r="E98" s="2509"/>
      <c r="F98" s="2509"/>
      <c r="G98" s="2509"/>
      <c r="H98" s="2509"/>
      <c r="I98" s="2509"/>
      <c r="J98" s="2509"/>
      <c r="K98" s="2509"/>
      <c r="L98" s="2509"/>
      <c r="M98" s="2509"/>
      <c r="N98" s="2509"/>
      <c r="O98" s="2509"/>
      <c r="P98" s="2509"/>
      <c r="Q98" s="2509"/>
    </row>
    <row r="99" spans="2:17" s="2402" customFormat="1">
      <c r="B99" s="2509"/>
      <c r="C99" s="2509"/>
      <c r="D99" s="2509"/>
      <c r="E99" s="2509"/>
      <c r="F99" s="2509"/>
      <c r="G99" s="2509"/>
      <c r="H99" s="2509"/>
      <c r="I99" s="2509"/>
      <c r="J99" s="2509"/>
      <c r="K99" s="2509"/>
      <c r="L99" s="2509"/>
      <c r="M99" s="2509"/>
      <c r="N99" s="2509"/>
      <c r="O99" s="2509"/>
      <c r="P99" s="2509"/>
      <c r="Q99" s="2509"/>
    </row>
    <row r="100" spans="2:17" s="2402" customFormat="1">
      <c r="B100" s="2509"/>
      <c r="C100" s="2509"/>
      <c r="D100" s="2509"/>
      <c r="E100" s="2509"/>
      <c r="F100" s="2509"/>
      <c r="G100" s="2509"/>
      <c r="H100" s="2509"/>
      <c r="I100" s="2509"/>
      <c r="J100" s="2509"/>
      <c r="K100" s="2509"/>
      <c r="L100" s="2509"/>
      <c r="M100" s="2509"/>
      <c r="N100" s="2509"/>
      <c r="O100" s="2509"/>
      <c r="P100" s="2509"/>
      <c r="Q100" s="2509"/>
    </row>
    <row r="101" spans="2:17" s="2402" customFormat="1">
      <c r="B101" s="2509"/>
      <c r="C101" s="2509"/>
      <c r="D101" s="2509"/>
      <c r="E101" s="2509"/>
      <c r="F101" s="2509"/>
      <c r="G101" s="2509"/>
      <c r="H101" s="2509"/>
      <c r="I101" s="2509"/>
      <c r="J101" s="2509"/>
      <c r="K101" s="2509"/>
      <c r="L101" s="2509"/>
      <c r="M101" s="2509"/>
      <c r="N101" s="2509"/>
      <c r="O101" s="2509"/>
      <c r="P101" s="2509"/>
      <c r="Q101" s="2509"/>
    </row>
    <row r="102" spans="2:17" s="2402" customFormat="1">
      <c r="B102" s="2509"/>
      <c r="C102" s="2509"/>
      <c r="D102" s="2509"/>
      <c r="E102" s="2509"/>
      <c r="F102" s="2509"/>
      <c r="G102" s="2509"/>
      <c r="H102" s="2509"/>
      <c r="I102" s="2509"/>
      <c r="J102" s="2509"/>
      <c r="K102" s="2509"/>
      <c r="L102" s="2509"/>
      <c r="M102" s="2509"/>
      <c r="N102" s="2509"/>
      <c r="O102" s="2509"/>
      <c r="P102" s="2509"/>
      <c r="Q102" s="2509"/>
    </row>
    <row r="103" spans="2:17" s="2402" customFormat="1">
      <c r="B103" s="2509"/>
      <c r="C103" s="2509"/>
      <c r="D103" s="2509"/>
      <c r="E103" s="2509"/>
      <c r="F103" s="2509"/>
      <c r="G103" s="2509"/>
      <c r="H103" s="2509"/>
      <c r="I103" s="2509"/>
      <c r="J103" s="2509"/>
      <c r="K103" s="2509"/>
      <c r="L103" s="2509"/>
      <c r="M103" s="2509"/>
      <c r="N103" s="2509"/>
      <c r="O103" s="2509"/>
      <c r="P103" s="2509"/>
      <c r="Q103" s="2509"/>
    </row>
    <row r="104" spans="2:17" s="2402" customFormat="1">
      <c r="B104" s="2509"/>
      <c r="C104" s="2509"/>
      <c r="D104" s="2509"/>
      <c r="E104" s="2509"/>
      <c r="F104" s="2509"/>
      <c r="G104" s="2509"/>
      <c r="H104" s="2509"/>
      <c r="I104" s="2509"/>
      <c r="J104" s="2509"/>
      <c r="K104" s="2509"/>
      <c r="L104" s="2509"/>
      <c r="M104" s="2509"/>
      <c r="N104" s="2509"/>
      <c r="O104" s="2509"/>
      <c r="P104" s="2509"/>
      <c r="Q104" s="2509"/>
    </row>
    <row r="105" spans="2:17" s="2402" customFormat="1">
      <c r="B105" s="2509"/>
      <c r="C105" s="2509"/>
      <c r="D105" s="2509"/>
      <c r="E105" s="2509"/>
      <c r="F105" s="2509"/>
      <c r="G105" s="2509"/>
      <c r="H105" s="2509"/>
      <c r="I105" s="2509"/>
      <c r="J105" s="2509"/>
      <c r="K105" s="2509"/>
      <c r="L105" s="2509"/>
      <c r="M105" s="2509"/>
      <c r="N105" s="2509"/>
      <c r="O105" s="2509"/>
      <c r="P105" s="2509"/>
      <c r="Q105" s="2509"/>
    </row>
    <row r="106" spans="2:17" s="2402" customFormat="1">
      <c r="B106" s="2509"/>
      <c r="C106" s="2509"/>
      <c r="D106" s="2509"/>
      <c r="E106" s="2509"/>
      <c r="F106" s="2509"/>
      <c r="G106" s="2509"/>
      <c r="H106" s="2509"/>
      <c r="I106" s="2509"/>
      <c r="J106" s="2509"/>
      <c r="K106" s="2509"/>
      <c r="L106" s="2509"/>
      <c r="M106" s="2509"/>
      <c r="N106" s="2509"/>
      <c r="O106" s="2509"/>
      <c r="P106" s="2509"/>
      <c r="Q106" s="2509"/>
    </row>
    <row r="107" spans="2:17" s="2402" customFormat="1">
      <c r="B107" s="2509"/>
      <c r="C107" s="2509"/>
      <c r="D107" s="2509"/>
      <c r="E107" s="2509"/>
      <c r="F107" s="2509"/>
      <c r="G107" s="2509"/>
      <c r="H107" s="2509"/>
      <c r="I107" s="2509"/>
      <c r="J107" s="2509"/>
      <c r="K107" s="2509"/>
      <c r="L107" s="2509"/>
      <c r="M107" s="2509"/>
      <c r="N107" s="2509"/>
      <c r="O107" s="2509"/>
      <c r="P107" s="2509"/>
      <c r="Q107" s="2509"/>
    </row>
    <row r="108" spans="2:17" s="2402" customFormat="1">
      <c r="B108" s="2509"/>
      <c r="C108" s="2509"/>
      <c r="D108" s="2509"/>
      <c r="E108" s="2509"/>
      <c r="F108" s="2509"/>
      <c r="G108" s="2509"/>
      <c r="H108" s="2509"/>
      <c r="I108" s="2509"/>
      <c r="J108" s="2509"/>
      <c r="K108" s="2509"/>
      <c r="L108" s="2509"/>
      <c r="M108" s="2509"/>
      <c r="N108" s="2509"/>
      <c r="O108" s="2509"/>
      <c r="P108" s="2509"/>
      <c r="Q108" s="2509"/>
    </row>
    <row r="109" spans="2:17" s="2402" customFormat="1">
      <c r="B109" s="2509"/>
      <c r="C109" s="2509"/>
      <c r="D109" s="2509"/>
      <c r="E109" s="2509"/>
      <c r="F109" s="2509"/>
      <c r="G109" s="2509"/>
      <c r="H109" s="2509"/>
      <c r="I109" s="2509"/>
      <c r="J109" s="2509"/>
      <c r="K109" s="2509"/>
      <c r="L109" s="2509"/>
      <c r="M109" s="2509"/>
      <c r="N109" s="2509"/>
      <c r="O109" s="2509"/>
      <c r="P109" s="2509"/>
      <c r="Q109" s="2509"/>
    </row>
    <row r="110" spans="2:17" s="2402" customFormat="1">
      <c r="B110" s="2509"/>
      <c r="C110" s="2509"/>
      <c r="D110" s="2509"/>
      <c r="E110" s="2509"/>
      <c r="F110" s="2509"/>
      <c r="G110" s="2509"/>
      <c r="H110" s="2509"/>
      <c r="I110" s="2509"/>
      <c r="J110" s="2509"/>
      <c r="K110" s="2509"/>
      <c r="L110" s="2509"/>
      <c r="M110" s="2509"/>
      <c r="N110" s="2509"/>
      <c r="O110" s="2509"/>
      <c r="P110" s="2509"/>
      <c r="Q110" s="2509"/>
    </row>
    <row r="111" spans="2:17" s="2402" customFormat="1">
      <c r="B111" s="2509"/>
      <c r="C111" s="2509"/>
      <c r="D111" s="2509"/>
      <c r="E111" s="2509"/>
      <c r="F111" s="2509"/>
      <c r="G111" s="2509"/>
      <c r="H111" s="2509"/>
      <c r="I111" s="2509"/>
      <c r="J111" s="2509"/>
      <c r="K111" s="2509"/>
      <c r="L111" s="2509"/>
      <c r="M111" s="2509"/>
      <c r="N111" s="2509"/>
      <c r="O111" s="2509"/>
      <c r="P111" s="2509"/>
      <c r="Q111" s="2509"/>
    </row>
    <row r="112" spans="2:17" s="2402" customFormat="1">
      <c r="B112" s="2509"/>
      <c r="C112" s="2509"/>
      <c r="D112" s="2509"/>
      <c r="E112" s="2509"/>
      <c r="F112" s="2509"/>
      <c r="G112" s="2509"/>
      <c r="H112" s="2509"/>
      <c r="I112" s="2509"/>
      <c r="J112" s="2509"/>
      <c r="K112" s="2509"/>
      <c r="L112" s="2509"/>
      <c r="M112" s="2509"/>
      <c r="N112" s="2509"/>
      <c r="O112" s="2509"/>
      <c r="P112" s="2509"/>
      <c r="Q112" s="2509"/>
    </row>
    <row r="113" spans="2:17" s="2402" customFormat="1">
      <c r="B113" s="2509"/>
      <c r="C113" s="2509"/>
      <c r="D113" s="2509"/>
      <c r="E113" s="2509"/>
      <c r="F113" s="2509"/>
      <c r="G113" s="2509"/>
      <c r="H113" s="2509"/>
      <c r="I113" s="2509"/>
      <c r="J113" s="2509"/>
      <c r="K113" s="2509"/>
      <c r="L113" s="2509"/>
      <c r="M113" s="2509"/>
      <c r="N113" s="2509"/>
      <c r="O113" s="2509"/>
      <c r="P113" s="2509"/>
      <c r="Q113" s="2509"/>
    </row>
    <row r="114" spans="2:17" s="2402" customFormat="1">
      <c r="B114" s="2509"/>
      <c r="C114" s="2509"/>
      <c r="D114" s="2509"/>
      <c r="E114" s="2509"/>
      <c r="F114" s="2509"/>
      <c r="G114" s="2509"/>
      <c r="H114" s="2509"/>
      <c r="I114" s="2509"/>
      <c r="J114" s="2509"/>
      <c r="K114" s="2509"/>
      <c r="L114" s="2509"/>
      <c r="M114" s="2509"/>
      <c r="N114" s="2509"/>
      <c r="O114" s="2509"/>
      <c r="P114" s="2509"/>
      <c r="Q114" s="2509"/>
    </row>
    <row r="115" spans="2:17" s="2402" customFormat="1">
      <c r="B115" s="2509"/>
      <c r="C115" s="2509"/>
      <c r="D115" s="2509"/>
      <c r="E115" s="2509"/>
      <c r="F115" s="2509"/>
      <c r="G115" s="2509"/>
      <c r="H115" s="2509"/>
      <c r="I115" s="2509"/>
      <c r="J115" s="2509"/>
      <c r="K115" s="2509"/>
      <c r="L115" s="2509"/>
      <c r="M115" s="2509"/>
      <c r="N115" s="2509"/>
      <c r="O115" s="2509"/>
      <c r="P115" s="2509"/>
      <c r="Q115" s="2509"/>
    </row>
    <row r="116" spans="2:17" s="2402" customFormat="1">
      <c r="B116" s="2509"/>
      <c r="C116" s="2509"/>
      <c r="D116" s="2509"/>
      <c r="E116" s="2509"/>
      <c r="F116" s="2509"/>
      <c r="G116" s="2509"/>
      <c r="H116" s="2509"/>
      <c r="I116" s="2509"/>
      <c r="J116" s="2509"/>
      <c r="K116" s="2509"/>
      <c r="L116" s="2509"/>
      <c r="M116" s="2509"/>
      <c r="N116" s="2509"/>
      <c r="O116" s="2509"/>
      <c r="P116" s="2509"/>
      <c r="Q116" s="2509"/>
    </row>
    <row r="117" spans="2:17" s="2402" customFormat="1">
      <c r="B117" s="2509"/>
      <c r="C117" s="2509"/>
      <c r="D117" s="2509"/>
      <c r="E117" s="2509"/>
      <c r="F117" s="2509"/>
      <c r="G117" s="2509"/>
      <c r="H117" s="2509"/>
      <c r="I117" s="2509"/>
      <c r="J117" s="2509"/>
      <c r="K117" s="2509"/>
      <c r="L117" s="2509"/>
      <c r="M117" s="2509"/>
      <c r="N117" s="2509"/>
      <c r="O117" s="2509"/>
      <c r="P117" s="2509"/>
      <c r="Q117" s="2509"/>
    </row>
    <row r="118" spans="2:17" s="2402" customFormat="1">
      <c r="B118" s="2509"/>
      <c r="C118" s="2509"/>
      <c r="D118" s="2509"/>
      <c r="E118" s="2509"/>
      <c r="F118" s="2509"/>
      <c r="G118" s="2509"/>
      <c r="H118" s="2509"/>
      <c r="I118" s="2509"/>
      <c r="J118" s="2509"/>
      <c r="K118" s="2509"/>
      <c r="L118" s="2509"/>
      <c r="M118" s="2509"/>
      <c r="N118" s="2509"/>
      <c r="O118" s="2509"/>
      <c r="P118" s="2509"/>
      <c r="Q118" s="2509"/>
    </row>
    <row r="119" spans="2:17" s="2402" customFormat="1">
      <c r="B119" s="2509"/>
      <c r="C119" s="2509"/>
      <c r="D119" s="2509"/>
      <c r="E119" s="2509"/>
      <c r="F119" s="2509"/>
      <c r="G119" s="2509"/>
      <c r="H119" s="2509"/>
      <c r="I119" s="2509"/>
      <c r="J119" s="2509"/>
      <c r="K119" s="2509"/>
      <c r="L119" s="2509"/>
      <c r="M119" s="2509"/>
      <c r="N119" s="2509"/>
      <c r="O119" s="2509"/>
      <c r="P119" s="2509"/>
      <c r="Q119" s="2509"/>
    </row>
    <row r="120" spans="2:17" s="2402" customFormat="1">
      <c r="B120" s="2509"/>
      <c r="C120" s="2509"/>
      <c r="D120" s="2509"/>
      <c r="E120" s="2509"/>
      <c r="F120" s="2509"/>
      <c r="G120" s="2509"/>
      <c r="H120" s="2509"/>
      <c r="I120" s="2509"/>
      <c r="J120" s="2509"/>
      <c r="K120" s="2509"/>
      <c r="L120" s="2509"/>
      <c r="M120" s="2509"/>
      <c r="N120" s="2509"/>
      <c r="O120" s="2509"/>
      <c r="P120" s="2509"/>
      <c r="Q120" s="2509"/>
    </row>
    <row r="121" spans="2:17" s="2402" customFormat="1">
      <c r="B121" s="2509"/>
      <c r="C121" s="2509"/>
      <c r="D121" s="2509"/>
      <c r="E121" s="2509"/>
      <c r="F121" s="2509"/>
      <c r="G121" s="2509"/>
      <c r="H121" s="2509"/>
      <c r="I121" s="2509"/>
      <c r="J121" s="2509"/>
      <c r="K121" s="2509"/>
      <c r="L121" s="2509"/>
      <c r="M121" s="2509"/>
      <c r="N121" s="2509"/>
      <c r="O121" s="2509"/>
      <c r="P121" s="2509"/>
      <c r="Q121" s="2509"/>
    </row>
    <row r="122" spans="2:17" s="2402" customFormat="1">
      <c r="B122" s="2509"/>
      <c r="C122" s="2509"/>
      <c r="D122" s="2509"/>
      <c r="E122" s="2509"/>
      <c r="F122" s="2509"/>
      <c r="G122" s="2509"/>
      <c r="H122" s="2509"/>
      <c r="I122" s="2509"/>
      <c r="J122" s="2509"/>
      <c r="K122" s="2509"/>
      <c r="L122" s="2509"/>
      <c r="M122" s="2509"/>
      <c r="N122" s="2509"/>
      <c r="O122" s="2509"/>
      <c r="P122" s="2509"/>
      <c r="Q122" s="2509"/>
    </row>
    <row r="123" spans="2:17" s="2402" customFormat="1">
      <c r="B123" s="2509"/>
      <c r="C123" s="2509"/>
      <c r="D123" s="2509"/>
      <c r="E123" s="2509"/>
      <c r="F123" s="2509"/>
      <c r="G123" s="2509"/>
      <c r="H123" s="2509"/>
      <c r="I123" s="2509"/>
      <c r="J123" s="2509"/>
      <c r="K123" s="2509"/>
      <c r="L123" s="2509"/>
      <c r="M123" s="2509"/>
      <c r="N123" s="2509"/>
      <c r="O123" s="2509"/>
      <c r="P123" s="2509"/>
      <c r="Q123" s="2509"/>
    </row>
    <row r="124" spans="2:17" s="2402" customFormat="1">
      <c r="B124" s="2509"/>
      <c r="C124" s="2509"/>
      <c r="D124" s="2509"/>
      <c r="E124" s="2509"/>
      <c r="F124" s="2509"/>
      <c r="G124" s="2509"/>
      <c r="H124" s="2509"/>
      <c r="I124" s="2509"/>
      <c r="J124" s="2509"/>
      <c r="K124" s="2509"/>
      <c r="L124" s="2509"/>
      <c r="M124" s="2509"/>
      <c r="N124" s="2509"/>
      <c r="O124" s="2509"/>
      <c r="P124" s="2509"/>
      <c r="Q124" s="2509"/>
    </row>
    <row r="125" spans="2:17" s="2402" customFormat="1">
      <c r="B125" s="2509"/>
      <c r="C125" s="2509"/>
      <c r="D125" s="2509"/>
      <c r="E125" s="2509"/>
      <c r="F125" s="2509"/>
      <c r="G125" s="2509"/>
      <c r="H125" s="2509"/>
      <c r="I125" s="2509"/>
      <c r="J125" s="2509"/>
      <c r="K125" s="2509"/>
      <c r="L125" s="2509"/>
      <c r="M125" s="2509"/>
      <c r="N125" s="2509"/>
      <c r="O125" s="2509"/>
      <c r="P125" s="2509"/>
      <c r="Q125" s="2509"/>
    </row>
    <row r="126" spans="2:17" s="2402" customFormat="1">
      <c r="B126" s="2509"/>
      <c r="C126" s="2509"/>
      <c r="D126" s="2509"/>
      <c r="E126" s="2509"/>
      <c r="F126" s="2509"/>
      <c r="G126" s="2509"/>
      <c r="H126" s="2509"/>
      <c r="I126" s="2509"/>
      <c r="J126" s="2509"/>
      <c r="K126" s="2509"/>
      <c r="L126" s="2509"/>
      <c r="M126" s="2509"/>
      <c r="N126" s="2509"/>
      <c r="O126" s="2509"/>
      <c r="P126" s="2509"/>
      <c r="Q126" s="2509"/>
    </row>
    <row r="127" spans="2:17" s="2402" customFormat="1">
      <c r="B127" s="2509"/>
      <c r="C127" s="2509"/>
      <c r="D127" s="2509"/>
      <c r="E127" s="2509"/>
      <c r="F127" s="2509"/>
      <c r="G127" s="2509"/>
      <c r="H127" s="2509"/>
      <c r="I127" s="2509"/>
      <c r="J127" s="2509"/>
      <c r="K127" s="2509"/>
      <c r="L127" s="2509"/>
      <c r="M127" s="2509"/>
      <c r="N127" s="2509"/>
      <c r="O127" s="2509"/>
      <c r="P127" s="2509"/>
      <c r="Q127" s="2509"/>
    </row>
    <row r="128" spans="2:17" s="2402" customFormat="1">
      <c r="B128" s="2509"/>
      <c r="C128" s="2509"/>
      <c r="D128" s="2509"/>
      <c r="E128" s="2509"/>
      <c r="F128" s="2509"/>
      <c r="G128" s="2509"/>
      <c r="H128" s="2509"/>
      <c r="I128" s="2509"/>
      <c r="J128" s="2509"/>
      <c r="K128" s="2509"/>
      <c r="L128" s="2509"/>
      <c r="M128" s="2509"/>
      <c r="N128" s="2509"/>
      <c r="O128" s="2509"/>
      <c r="P128" s="2509"/>
      <c r="Q128" s="2509"/>
    </row>
    <row r="129" spans="2:17" s="2402" customFormat="1">
      <c r="B129" s="2509"/>
      <c r="C129" s="2509"/>
      <c r="D129" s="2509"/>
      <c r="E129" s="2509"/>
      <c r="F129" s="2509"/>
      <c r="G129" s="2509"/>
      <c r="H129" s="2509"/>
      <c r="I129" s="2509"/>
      <c r="J129" s="2509"/>
      <c r="K129" s="2509"/>
      <c r="L129" s="2509"/>
      <c r="M129" s="2509"/>
      <c r="N129" s="2509"/>
      <c r="O129" s="2509"/>
      <c r="P129" s="2509"/>
      <c r="Q129" s="2509"/>
    </row>
    <row r="130" spans="2:17" s="2402" customFormat="1">
      <c r="B130" s="2509"/>
      <c r="C130" s="2509"/>
      <c r="D130" s="2509"/>
      <c r="E130" s="2509"/>
      <c r="F130" s="2509"/>
      <c r="G130" s="2509"/>
      <c r="H130" s="2509"/>
      <c r="I130" s="2509"/>
      <c r="J130" s="2509"/>
      <c r="K130" s="2509"/>
      <c r="L130" s="2509"/>
      <c r="M130" s="2509"/>
      <c r="N130" s="2509"/>
      <c r="O130" s="2509"/>
      <c r="P130" s="2509"/>
      <c r="Q130" s="2509"/>
    </row>
    <row r="131" spans="2:17" s="2402" customFormat="1">
      <c r="B131" s="2509"/>
      <c r="C131" s="2509"/>
      <c r="D131" s="2509"/>
      <c r="E131" s="2509"/>
      <c r="F131" s="2509"/>
      <c r="G131" s="2509"/>
      <c r="H131" s="2509"/>
      <c r="I131" s="2509"/>
      <c r="J131" s="2509"/>
      <c r="K131" s="2509"/>
      <c r="L131" s="2509"/>
      <c r="M131" s="2509"/>
      <c r="N131" s="2509"/>
      <c r="O131" s="2509"/>
      <c r="P131" s="2509"/>
      <c r="Q131" s="2509"/>
    </row>
    <row r="132" spans="2:17" s="2402" customFormat="1">
      <c r="B132" s="2509"/>
      <c r="C132" s="2509"/>
      <c r="D132" s="2509"/>
      <c r="E132" s="2509"/>
      <c r="F132" s="2509"/>
      <c r="G132" s="2509"/>
      <c r="H132" s="2509"/>
      <c r="I132" s="2509"/>
      <c r="J132" s="2509"/>
      <c r="K132" s="2509"/>
      <c r="L132" s="2509"/>
      <c r="M132" s="2509"/>
      <c r="N132" s="2509"/>
      <c r="O132" s="2509"/>
      <c r="P132" s="2509"/>
      <c r="Q132" s="2509"/>
    </row>
    <row r="133" spans="2:17" s="2402" customFormat="1">
      <c r="B133" s="2509"/>
      <c r="C133" s="2509"/>
      <c r="D133" s="2509"/>
      <c r="E133" s="2509"/>
      <c r="F133" s="2509"/>
      <c r="G133" s="2509"/>
      <c r="H133" s="2509"/>
      <c r="I133" s="2509"/>
      <c r="J133" s="2509"/>
      <c r="K133" s="2509"/>
      <c r="L133" s="2509"/>
      <c r="M133" s="2509"/>
      <c r="N133" s="2509"/>
      <c r="O133" s="2509"/>
      <c r="P133" s="2509"/>
      <c r="Q133" s="2509"/>
    </row>
    <row r="134" spans="2:17" s="2402" customFormat="1">
      <c r="B134" s="2509"/>
      <c r="C134" s="2509"/>
      <c r="D134" s="2509"/>
      <c r="E134" s="2509"/>
      <c r="F134" s="2509"/>
      <c r="G134" s="2509"/>
      <c r="H134" s="2509"/>
      <c r="I134" s="2509"/>
      <c r="J134" s="2509"/>
      <c r="K134" s="2509"/>
      <c r="L134" s="2509"/>
      <c r="M134" s="2509"/>
      <c r="N134" s="2509"/>
      <c r="O134" s="2509"/>
      <c r="P134" s="2509"/>
      <c r="Q134" s="2509"/>
    </row>
    <row r="135" spans="2:17" s="2402" customFormat="1">
      <c r="B135" s="2509"/>
      <c r="C135" s="2509"/>
      <c r="D135" s="2509"/>
      <c r="E135" s="2509"/>
      <c r="F135" s="2509"/>
      <c r="G135" s="2509"/>
      <c r="H135" s="2509"/>
      <c r="I135" s="2509"/>
      <c r="J135" s="2509"/>
      <c r="K135" s="2509"/>
      <c r="L135" s="2509"/>
      <c r="M135" s="2509"/>
      <c r="N135" s="2509"/>
      <c r="O135" s="2509"/>
      <c r="P135" s="2509"/>
      <c r="Q135" s="2509"/>
    </row>
    <row r="136" spans="2:17" s="2402" customFormat="1">
      <c r="B136" s="2509"/>
      <c r="C136" s="2509"/>
      <c r="D136" s="2509"/>
      <c r="E136" s="2509"/>
      <c r="F136" s="2509"/>
      <c r="G136" s="2509"/>
      <c r="H136" s="2509"/>
      <c r="I136" s="2509"/>
      <c r="J136" s="2509"/>
      <c r="K136" s="2509"/>
      <c r="L136" s="2509"/>
      <c r="M136" s="2509"/>
      <c r="N136" s="2509"/>
      <c r="O136" s="2509"/>
      <c r="P136" s="2509"/>
      <c r="Q136" s="2509"/>
    </row>
    <row r="137" spans="2:17" s="2402" customFormat="1">
      <c r="B137" s="2509"/>
      <c r="C137" s="2509"/>
      <c r="D137" s="2509"/>
      <c r="E137" s="2509"/>
      <c r="F137" s="2509"/>
      <c r="G137" s="2509"/>
      <c r="H137" s="2509"/>
      <c r="I137" s="2509"/>
      <c r="J137" s="2509"/>
      <c r="K137" s="2509"/>
      <c r="L137" s="2509"/>
      <c r="M137" s="2509"/>
      <c r="N137" s="2509"/>
      <c r="O137" s="2509"/>
      <c r="P137" s="2509"/>
      <c r="Q137" s="2509"/>
    </row>
    <row r="138" spans="2:17" s="2402" customFormat="1">
      <c r="B138" s="2509"/>
      <c r="C138" s="2509"/>
      <c r="D138" s="2509"/>
      <c r="E138" s="2509"/>
      <c r="F138" s="2509"/>
      <c r="G138" s="2509"/>
      <c r="H138" s="2509"/>
      <c r="I138" s="2509"/>
      <c r="J138" s="2509"/>
      <c r="K138" s="2509"/>
      <c r="L138" s="2509"/>
      <c r="M138" s="2509"/>
      <c r="N138" s="2509"/>
      <c r="O138" s="2509"/>
      <c r="P138" s="2509"/>
      <c r="Q138" s="2509"/>
    </row>
    <row r="139" spans="2:17" s="2402" customFormat="1">
      <c r="B139" s="2509"/>
      <c r="C139" s="2509"/>
      <c r="D139" s="2509"/>
      <c r="E139" s="2509"/>
      <c r="F139" s="2509"/>
      <c r="G139" s="2509"/>
      <c r="H139" s="2509"/>
      <c r="I139" s="2509"/>
      <c r="J139" s="2509"/>
      <c r="K139" s="2509"/>
      <c r="L139" s="2509"/>
      <c r="M139" s="2509"/>
      <c r="N139" s="2509"/>
      <c r="O139" s="2509"/>
      <c r="P139" s="2509"/>
      <c r="Q139" s="2509"/>
    </row>
    <row r="140" spans="2:17" s="2402" customFormat="1">
      <c r="B140" s="2509"/>
      <c r="C140" s="2509"/>
      <c r="D140" s="2509"/>
      <c r="E140" s="2509"/>
      <c r="F140" s="2509"/>
      <c r="G140" s="2509"/>
      <c r="H140" s="2509"/>
      <c r="I140" s="2509"/>
      <c r="J140" s="2509"/>
      <c r="K140" s="2509"/>
      <c r="L140" s="2509"/>
      <c r="M140" s="2509"/>
      <c r="N140" s="2509"/>
      <c r="O140" s="2509"/>
      <c r="P140" s="2509"/>
      <c r="Q140" s="2509"/>
    </row>
    <row r="141" spans="2:17" s="2402" customFormat="1">
      <c r="B141" s="2509"/>
      <c r="C141" s="2509"/>
      <c r="D141" s="2509"/>
      <c r="E141" s="2509"/>
      <c r="F141" s="2509"/>
      <c r="G141" s="2509"/>
      <c r="H141" s="2509"/>
      <c r="I141" s="2509"/>
      <c r="J141" s="2509"/>
      <c r="K141" s="2509"/>
      <c r="L141" s="2509"/>
      <c r="M141" s="2509"/>
      <c r="N141" s="2509"/>
      <c r="O141" s="2509"/>
      <c r="P141" s="2509"/>
      <c r="Q141" s="2509"/>
    </row>
    <row r="142" spans="2:17" s="2402" customFormat="1">
      <c r="B142" s="2509"/>
      <c r="C142" s="2509"/>
      <c r="D142" s="2509"/>
      <c r="E142" s="2509"/>
      <c r="F142" s="2509"/>
      <c r="G142" s="2509"/>
      <c r="H142" s="2509"/>
      <c r="I142" s="2509"/>
      <c r="J142" s="2509"/>
      <c r="K142" s="2509"/>
      <c r="L142" s="2509"/>
      <c r="M142" s="2509"/>
      <c r="N142" s="2509"/>
      <c r="O142" s="2509"/>
      <c r="P142" s="2509"/>
      <c r="Q142" s="2509"/>
    </row>
    <row r="143" spans="2:17" s="2402" customFormat="1">
      <c r="B143" s="2509"/>
      <c r="C143" s="2509"/>
      <c r="D143" s="2509"/>
      <c r="E143" s="2509"/>
      <c r="F143" s="2509"/>
      <c r="G143" s="2509"/>
      <c r="H143" s="2509"/>
      <c r="I143" s="2509"/>
      <c r="J143" s="2509"/>
      <c r="K143" s="2509"/>
      <c r="L143" s="2509"/>
      <c r="M143" s="2509"/>
      <c r="N143" s="2509"/>
      <c r="O143" s="2509"/>
      <c r="P143" s="2509"/>
      <c r="Q143" s="2509"/>
    </row>
    <row r="144" spans="2:17" s="2402" customFormat="1">
      <c r="B144" s="2509"/>
      <c r="C144" s="2509"/>
      <c r="D144" s="2509"/>
      <c r="E144" s="2509"/>
      <c r="F144" s="2509"/>
      <c r="G144" s="2509"/>
      <c r="H144" s="2509"/>
      <c r="I144" s="2509"/>
      <c r="J144" s="2509"/>
      <c r="K144" s="2509"/>
      <c r="L144" s="2509"/>
      <c r="M144" s="2509"/>
      <c r="N144" s="2509"/>
      <c r="O144" s="2509"/>
      <c r="P144" s="2509"/>
      <c r="Q144" s="2509"/>
    </row>
    <row r="145" spans="2:17" s="2402" customFormat="1">
      <c r="B145" s="2509"/>
      <c r="C145" s="2509"/>
      <c r="D145" s="2509"/>
      <c r="E145" s="2509"/>
      <c r="F145" s="2509"/>
      <c r="G145" s="2509"/>
      <c r="H145" s="2509"/>
      <c r="I145" s="2509"/>
      <c r="J145" s="2509"/>
      <c r="K145" s="2509"/>
      <c r="L145" s="2509"/>
      <c r="M145" s="2509"/>
      <c r="N145" s="2509"/>
      <c r="O145" s="2509"/>
      <c r="P145" s="2509"/>
      <c r="Q145" s="2509"/>
    </row>
    <row r="146" spans="2:17" s="2402" customFormat="1">
      <c r="B146" s="2509"/>
      <c r="C146" s="2509"/>
      <c r="D146" s="2509"/>
      <c r="E146" s="2509"/>
      <c r="F146" s="2509"/>
      <c r="G146" s="2509"/>
      <c r="H146" s="2509"/>
      <c r="I146" s="2509"/>
      <c r="J146" s="2509"/>
      <c r="K146" s="2509"/>
      <c r="L146" s="2509"/>
      <c r="M146" s="2509"/>
      <c r="N146" s="2509"/>
      <c r="O146" s="2509"/>
      <c r="P146" s="2509"/>
      <c r="Q146" s="2509"/>
    </row>
    <row r="147" spans="2:17" s="2402" customFormat="1">
      <c r="B147" s="2509"/>
      <c r="C147" s="2509"/>
      <c r="D147" s="2509"/>
      <c r="E147" s="2509"/>
      <c r="F147" s="2509"/>
      <c r="G147" s="2509"/>
      <c r="H147" s="2509"/>
      <c r="I147" s="2509"/>
      <c r="J147" s="2509"/>
      <c r="K147" s="2509"/>
      <c r="L147" s="2509"/>
      <c r="M147" s="2509"/>
      <c r="N147" s="2509"/>
      <c r="O147" s="2509"/>
      <c r="P147" s="2509"/>
      <c r="Q147" s="2509"/>
    </row>
    <row r="148" spans="2:17" s="2402" customFormat="1">
      <c r="B148" s="2509"/>
      <c r="C148" s="2509"/>
      <c r="D148" s="2509"/>
      <c r="E148" s="2509"/>
      <c r="F148" s="2509"/>
      <c r="G148" s="2509"/>
      <c r="H148" s="2509"/>
      <c r="I148" s="2509"/>
      <c r="J148" s="2509"/>
      <c r="K148" s="2509"/>
      <c r="L148" s="2509"/>
      <c r="M148" s="2509"/>
      <c r="N148" s="2509"/>
      <c r="O148" s="2509"/>
      <c r="P148" s="2509"/>
      <c r="Q148" s="2509"/>
    </row>
    <row r="149" spans="2:17" s="2402" customFormat="1">
      <c r="B149" s="2509"/>
      <c r="C149" s="2509"/>
      <c r="D149" s="2509"/>
      <c r="E149" s="2509"/>
      <c r="F149" s="2509"/>
      <c r="G149" s="2509"/>
      <c r="H149" s="2509"/>
      <c r="I149" s="2509"/>
      <c r="J149" s="2509"/>
      <c r="K149" s="2509"/>
      <c r="L149" s="2509"/>
      <c r="M149" s="2509"/>
      <c r="N149" s="2509"/>
      <c r="O149" s="2509"/>
      <c r="P149" s="2509"/>
      <c r="Q149" s="2509"/>
    </row>
    <row r="150" spans="2:17" s="2402" customFormat="1">
      <c r="B150" s="2509"/>
      <c r="C150" s="2509"/>
      <c r="D150" s="2509"/>
      <c r="E150" s="2509"/>
      <c r="F150" s="2509"/>
      <c r="G150" s="2509"/>
      <c r="H150" s="2509"/>
      <c r="I150" s="2509"/>
      <c r="J150" s="2509"/>
      <c r="K150" s="2509"/>
      <c r="L150" s="2509"/>
      <c r="M150" s="2509"/>
      <c r="N150" s="2509"/>
      <c r="O150" s="2509"/>
      <c r="P150" s="2509"/>
      <c r="Q150" s="2509"/>
    </row>
    <row r="151" spans="2:17" s="2402" customFormat="1">
      <c r="B151" s="2509"/>
      <c r="C151" s="2509"/>
      <c r="D151" s="2509"/>
      <c r="E151" s="2509"/>
      <c r="F151" s="2509"/>
      <c r="G151" s="2509"/>
      <c r="H151" s="2509"/>
      <c r="I151" s="2509"/>
      <c r="J151" s="2509"/>
      <c r="K151" s="2509"/>
      <c r="L151" s="2509"/>
      <c r="M151" s="2509"/>
      <c r="N151" s="2509"/>
      <c r="O151" s="2509"/>
      <c r="P151" s="2509"/>
      <c r="Q151" s="2509"/>
    </row>
    <row r="152" spans="2:17" s="2402" customFormat="1">
      <c r="B152" s="2509"/>
      <c r="C152" s="2509"/>
      <c r="D152" s="2509"/>
      <c r="E152" s="2509"/>
      <c r="F152" s="2509"/>
      <c r="G152" s="2509"/>
      <c r="H152" s="2509"/>
      <c r="I152" s="2509"/>
      <c r="J152" s="2509"/>
      <c r="K152" s="2509"/>
      <c r="L152" s="2509"/>
      <c r="M152" s="2509"/>
      <c r="N152" s="2509"/>
      <c r="O152" s="2509"/>
      <c r="P152" s="2509"/>
      <c r="Q152" s="2509"/>
    </row>
    <row r="153" spans="2:17" s="2402" customFormat="1">
      <c r="B153" s="2509"/>
      <c r="C153" s="2509"/>
      <c r="D153" s="2509"/>
      <c r="E153" s="2509"/>
      <c r="F153" s="2509"/>
      <c r="G153" s="2509"/>
      <c r="H153" s="2509"/>
      <c r="I153" s="2509"/>
      <c r="J153" s="2509"/>
      <c r="K153" s="2509"/>
      <c r="L153" s="2509"/>
      <c r="M153" s="2509"/>
      <c r="N153" s="2509"/>
      <c r="O153" s="2509"/>
      <c r="P153" s="2509"/>
      <c r="Q153" s="2509"/>
    </row>
    <row r="154" spans="2:17" s="2402" customFormat="1">
      <c r="B154" s="2509"/>
      <c r="C154" s="2509"/>
      <c r="D154" s="2509"/>
      <c r="E154" s="2509"/>
      <c r="F154" s="2509"/>
      <c r="G154" s="2509"/>
      <c r="H154" s="2509"/>
      <c r="I154" s="2509"/>
      <c r="J154" s="2509"/>
      <c r="K154" s="2509"/>
      <c r="L154" s="2509"/>
      <c r="M154" s="2509"/>
      <c r="N154" s="2509"/>
      <c r="O154" s="2509"/>
      <c r="P154" s="2509"/>
      <c r="Q154" s="2509"/>
    </row>
    <row r="155" spans="2:17" s="2402" customFormat="1">
      <c r="B155" s="2509"/>
      <c r="C155" s="2509"/>
      <c r="D155" s="2509"/>
      <c r="E155" s="2509"/>
      <c r="F155" s="2509"/>
      <c r="G155" s="2509"/>
      <c r="H155" s="2509"/>
      <c r="I155" s="2509"/>
      <c r="J155" s="2509"/>
      <c r="K155" s="2509"/>
      <c r="L155" s="2509"/>
      <c r="M155" s="2509"/>
      <c r="N155" s="2509"/>
      <c r="O155" s="2509"/>
      <c r="P155" s="2509"/>
      <c r="Q155" s="2509"/>
    </row>
    <row r="156" spans="2:17" s="2402" customFormat="1">
      <c r="B156" s="2509"/>
      <c r="C156" s="2509"/>
      <c r="D156" s="2509"/>
      <c r="E156" s="2509"/>
      <c r="F156" s="2509"/>
      <c r="G156" s="2509"/>
      <c r="H156" s="2509"/>
      <c r="I156" s="2509"/>
      <c r="J156" s="2509"/>
      <c r="K156" s="2509"/>
      <c r="L156" s="2509"/>
      <c r="M156" s="2509"/>
      <c r="N156" s="2509"/>
      <c r="O156" s="2509"/>
      <c r="P156" s="2509"/>
      <c r="Q156" s="2509"/>
    </row>
    <row r="157" spans="2:17" s="2402" customFormat="1">
      <c r="B157" s="2509"/>
      <c r="C157" s="2509"/>
      <c r="D157" s="2509"/>
      <c r="E157" s="2509"/>
      <c r="F157" s="2509"/>
      <c r="G157" s="2509"/>
      <c r="H157" s="2509"/>
      <c r="I157" s="2509"/>
      <c r="J157" s="2509"/>
      <c r="K157" s="2509"/>
      <c r="L157" s="2509"/>
      <c r="M157" s="2509"/>
      <c r="N157" s="2509"/>
      <c r="O157" s="2509"/>
      <c r="P157" s="2509"/>
      <c r="Q157" s="2509"/>
    </row>
    <row r="158" spans="2:17" s="2402" customFormat="1">
      <c r="B158" s="2509"/>
      <c r="C158" s="2509"/>
      <c r="D158" s="2509"/>
      <c r="E158" s="2509"/>
      <c r="F158" s="2509"/>
      <c r="G158" s="2509"/>
      <c r="H158" s="2509"/>
      <c r="I158" s="2509"/>
      <c r="J158" s="2509"/>
      <c r="K158" s="2509"/>
      <c r="L158" s="2509"/>
      <c r="M158" s="2509"/>
      <c r="N158" s="2509"/>
      <c r="O158" s="2509"/>
      <c r="P158" s="2509"/>
      <c r="Q158" s="2509"/>
    </row>
    <row r="159" spans="2:17" s="2402" customFormat="1">
      <c r="B159" s="2509"/>
      <c r="C159" s="2509"/>
      <c r="D159" s="2509"/>
      <c r="E159" s="2509"/>
      <c r="F159" s="2509"/>
      <c r="G159" s="2509"/>
      <c r="H159" s="2509"/>
      <c r="I159" s="2509"/>
      <c r="J159" s="2509"/>
      <c r="K159" s="2509"/>
      <c r="L159" s="2509"/>
      <c r="M159" s="2509"/>
      <c r="N159" s="2509"/>
      <c r="O159" s="2509"/>
      <c r="P159" s="2509"/>
      <c r="Q159" s="2509"/>
    </row>
    <row r="160" spans="2:17" s="2402" customFormat="1">
      <c r="B160" s="2509"/>
      <c r="C160" s="2509"/>
      <c r="D160" s="2509"/>
      <c r="E160" s="2509"/>
      <c r="F160" s="2509"/>
      <c r="G160" s="2509"/>
      <c r="H160" s="2509"/>
      <c r="I160" s="2509"/>
      <c r="J160" s="2509"/>
      <c r="K160" s="2509"/>
      <c r="L160" s="2509"/>
      <c r="M160" s="2509"/>
      <c r="N160" s="2509"/>
      <c r="O160" s="2509"/>
      <c r="P160" s="2509"/>
      <c r="Q160" s="2509"/>
    </row>
    <row r="161" spans="2:17" s="2402" customFormat="1">
      <c r="B161" s="2509"/>
      <c r="C161" s="2509"/>
      <c r="D161" s="2509"/>
      <c r="E161" s="2509"/>
      <c r="F161" s="2509"/>
      <c r="G161" s="2509"/>
      <c r="H161" s="2509"/>
      <c r="I161" s="2509"/>
      <c r="J161" s="2509"/>
      <c r="K161" s="2509"/>
      <c r="L161" s="2509"/>
      <c r="M161" s="2509"/>
      <c r="N161" s="2509"/>
      <c r="O161" s="2509"/>
      <c r="P161" s="2509"/>
      <c r="Q161" s="2509"/>
    </row>
    <row r="162" spans="2:17" s="2402" customFormat="1">
      <c r="B162" s="2509"/>
      <c r="C162" s="2509"/>
      <c r="D162" s="2509"/>
      <c r="E162" s="2509"/>
      <c r="F162" s="2509"/>
      <c r="G162" s="2509"/>
      <c r="H162" s="2509"/>
      <c r="I162" s="2509"/>
      <c r="J162" s="2509"/>
      <c r="K162" s="2509"/>
      <c r="L162" s="2509"/>
      <c r="M162" s="2509"/>
      <c r="N162" s="2509"/>
      <c r="O162" s="2509"/>
      <c r="P162" s="2509"/>
      <c r="Q162" s="2509"/>
    </row>
    <row r="163" spans="2:17" s="2402" customFormat="1">
      <c r="B163" s="2509"/>
      <c r="C163" s="2509"/>
      <c r="D163" s="2509"/>
      <c r="E163" s="2509"/>
      <c r="F163" s="2509"/>
      <c r="G163" s="2509"/>
      <c r="H163" s="2509"/>
      <c r="I163" s="2509"/>
      <c r="J163" s="2509"/>
      <c r="K163" s="2509"/>
      <c r="L163" s="2509"/>
      <c r="M163" s="2509"/>
      <c r="N163" s="2509"/>
      <c r="O163" s="2509"/>
      <c r="P163" s="2509"/>
      <c r="Q163" s="2509"/>
    </row>
    <row r="164" spans="2:17" s="2402" customFormat="1">
      <c r="B164" s="2509"/>
      <c r="C164" s="2509"/>
      <c r="D164" s="2509"/>
      <c r="E164" s="2509"/>
      <c r="F164" s="2509"/>
      <c r="G164" s="2509"/>
      <c r="H164" s="2509"/>
      <c r="I164" s="2509"/>
      <c r="J164" s="2509"/>
      <c r="K164" s="2509"/>
      <c r="L164" s="2509"/>
      <c r="M164" s="2509"/>
      <c r="N164" s="2509"/>
      <c r="O164" s="2509"/>
      <c r="P164" s="2509"/>
      <c r="Q164" s="2509"/>
    </row>
    <row r="165" spans="2:17" s="2402" customFormat="1">
      <c r="B165" s="2509"/>
      <c r="C165" s="2509"/>
      <c r="D165" s="2509"/>
      <c r="E165" s="2509"/>
      <c r="F165" s="2509"/>
      <c r="G165" s="2509"/>
      <c r="H165" s="2509"/>
      <c r="I165" s="2509"/>
      <c r="J165" s="2509"/>
      <c r="K165" s="2509"/>
      <c r="L165" s="2509"/>
      <c r="M165" s="2509"/>
      <c r="N165" s="2509"/>
      <c r="O165" s="2509"/>
      <c r="P165" s="2509"/>
      <c r="Q165" s="2509"/>
    </row>
    <row r="166" spans="2:17" s="2402" customFormat="1">
      <c r="B166" s="2509"/>
      <c r="C166" s="2509"/>
      <c r="D166" s="2509"/>
      <c r="E166" s="2509"/>
      <c r="F166" s="2509"/>
      <c r="G166" s="2509"/>
      <c r="H166" s="2509"/>
      <c r="I166" s="2509"/>
      <c r="J166" s="2509"/>
      <c r="K166" s="2509"/>
      <c r="L166" s="2509"/>
      <c r="M166" s="2509"/>
      <c r="N166" s="2509"/>
      <c r="O166" s="2509"/>
      <c r="P166" s="2509"/>
      <c r="Q166" s="2509"/>
    </row>
    <row r="167" spans="2:17" s="2402" customFormat="1">
      <c r="B167" s="2509"/>
      <c r="C167" s="2509"/>
      <c r="D167" s="2509"/>
      <c r="E167" s="2509"/>
      <c r="F167" s="2509"/>
      <c r="G167" s="2509"/>
      <c r="H167" s="2509"/>
      <c r="I167" s="2509"/>
      <c r="J167" s="2509"/>
      <c r="K167" s="2509"/>
      <c r="L167" s="2509"/>
      <c r="M167" s="2509"/>
      <c r="N167" s="2509"/>
      <c r="O167" s="2509"/>
      <c r="P167" s="2509"/>
      <c r="Q167" s="2509"/>
    </row>
    <row r="168" spans="2:17" s="2402" customFormat="1">
      <c r="B168" s="2509"/>
      <c r="C168" s="2509"/>
      <c r="D168" s="2509"/>
      <c r="E168" s="2509"/>
      <c r="F168" s="2509"/>
      <c r="G168" s="2509"/>
      <c r="H168" s="2509"/>
      <c r="I168" s="2509"/>
      <c r="J168" s="2509"/>
      <c r="K168" s="2509"/>
      <c r="L168" s="2509"/>
      <c r="M168" s="2509"/>
      <c r="N168" s="2509"/>
      <c r="O168" s="2509"/>
      <c r="P168" s="2509"/>
      <c r="Q168" s="2509"/>
    </row>
    <row r="169" spans="2:17" s="2402" customFormat="1">
      <c r="B169" s="2509"/>
      <c r="C169" s="2509"/>
      <c r="D169" s="2509"/>
      <c r="E169" s="2509"/>
      <c r="F169" s="2509"/>
      <c r="G169" s="2509"/>
      <c r="H169" s="2509"/>
      <c r="I169" s="2509"/>
      <c r="J169" s="2509"/>
      <c r="K169" s="2509"/>
      <c r="L169" s="2509"/>
      <c r="M169" s="2509"/>
      <c r="N169" s="2509"/>
      <c r="O169" s="2509"/>
      <c r="P169" s="2509"/>
      <c r="Q169" s="2509"/>
    </row>
    <row r="170" spans="2:17" s="2402" customFormat="1">
      <c r="B170" s="2509"/>
      <c r="C170" s="2509"/>
      <c r="D170" s="2509"/>
      <c r="E170" s="2509"/>
      <c r="F170" s="2509"/>
      <c r="G170" s="2509"/>
      <c r="H170" s="2509"/>
      <c r="I170" s="2509"/>
      <c r="J170" s="2509"/>
      <c r="K170" s="2509"/>
      <c r="L170" s="2509"/>
      <c r="M170" s="2509"/>
      <c r="N170" s="2509"/>
      <c r="O170" s="2509"/>
      <c r="P170" s="2509"/>
      <c r="Q170" s="2509"/>
    </row>
    <row r="171" spans="2:17" s="2402" customFormat="1">
      <c r="B171" s="2509"/>
      <c r="C171" s="2509"/>
      <c r="D171" s="2509"/>
      <c r="E171" s="2509"/>
      <c r="F171" s="2509"/>
      <c r="G171" s="2509"/>
      <c r="H171" s="2509"/>
      <c r="I171" s="2509"/>
      <c r="J171" s="2509"/>
      <c r="K171" s="2509"/>
      <c r="L171" s="2509"/>
      <c r="M171" s="2509"/>
      <c r="N171" s="2509"/>
      <c r="O171" s="2509"/>
      <c r="P171" s="2509"/>
      <c r="Q171" s="2509"/>
    </row>
    <row r="172" spans="2:17" s="2402" customFormat="1">
      <c r="B172" s="2509"/>
      <c r="C172" s="2509"/>
      <c r="D172" s="2509"/>
      <c r="E172" s="2509"/>
      <c r="F172" s="2509"/>
      <c r="G172" s="2509"/>
      <c r="H172" s="2509"/>
      <c r="I172" s="2509"/>
      <c r="J172" s="2509"/>
      <c r="K172" s="2509"/>
      <c r="L172" s="2509"/>
      <c r="M172" s="2509"/>
      <c r="N172" s="2509"/>
      <c r="O172" s="2509"/>
      <c r="P172" s="2509"/>
      <c r="Q172" s="2509"/>
    </row>
    <row r="173" spans="2:17" s="2402" customFormat="1">
      <c r="B173" s="2509"/>
      <c r="C173" s="2509"/>
      <c r="D173" s="2509"/>
      <c r="E173" s="2509"/>
      <c r="F173" s="2509"/>
      <c r="G173" s="2509"/>
      <c r="H173" s="2509"/>
      <c r="I173" s="2509"/>
      <c r="J173" s="2509"/>
      <c r="K173" s="2509"/>
      <c r="L173" s="2509"/>
      <c r="M173" s="2509"/>
      <c r="N173" s="2509"/>
      <c r="O173" s="2509"/>
      <c r="P173" s="2509"/>
      <c r="Q173" s="2509"/>
    </row>
    <row r="174" spans="2:17" s="2402" customFormat="1">
      <c r="B174" s="2509"/>
      <c r="C174" s="2509"/>
      <c r="D174" s="2509"/>
      <c r="E174" s="2509"/>
      <c r="F174" s="2509"/>
      <c r="G174" s="2509"/>
      <c r="H174" s="2509"/>
      <c r="I174" s="2509"/>
      <c r="J174" s="2509"/>
      <c r="K174" s="2509"/>
      <c r="L174" s="2509"/>
      <c r="M174" s="2509"/>
      <c r="N174" s="2509"/>
      <c r="O174" s="2509"/>
      <c r="P174" s="2509"/>
      <c r="Q174" s="2509"/>
    </row>
    <row r="175" spans="2:17" s="2402" customFormat="1">
      <c r="B175" s="2509"/>
      <c r="C175" s="2509"/>
      <c r="D175" s="2509"/>
      <c r="E175" s="2509"/>
      <c r="F175" s="2509"/>
      <c r="G175" s="2509"/>
      <c r="H175" s="2509"/>
      <c r="I175" s="2509"/>
      <c r="J175" s="2509"/>
      <c r="K175" s="2509"/>
      <c r="L175" s="2509"/>
      <c r="M175" s="2509"/>
      <c r="N175" s="2509"/>
      <c r="O175" s="2509"/>
      <c r="P175" s="2509"/>
      <c r="Q175" s="2509"/>
    </row>
    <row r="176" spans="2:17" s="2402" customFormat="1">
      <c r="B176" s="2509"/>
      <c r="C176" s="2509"/>
      <c r="D176" s="2509"/>
      <c r="E176" s="2509"/>
      <c r="F176" s="2509"/>
      <c r="G176" s="2509"/>
      <c r="H176" s="2509"/>
      <c r="I176" s="2509"/>
      <c r="J176" s="2509"/>
      <c r="K176" s="2509"/>
      <c r="L176" s="2509"/>
      <c r="M176" s="2509"/>
      <c r="N176" s="2509"/>
      <c r="O176" s="2509"/>
      <c r="P176" s="2509"/>
      <c r="Q176" s="2509"/>
    </row>
    <row r="177" spans="1:17" s="2402" customFormat="1">
      <c r="B177" s="2509"/>
      <c r="C177" s="2509"/>
      <c r="D177" s="2509"/>
      <c r="E177" s="2509"/>
      <c r="F177" s="2509"/>
      <c r="G177" s="2509"/>
      <c r="H177" s="2509"/>
      <c r="I177" s="2509"/>
      <c r="J177" s="2509"/>
      <c r="K177" s="2509"/>
      <c r="L177" s="2509"/>
      <c r="M177" s="2509"/>
      <c r="N177" s="2509"/>
      <c r="O177" s="2509"/>
      <c r="P177" s="2509"/>
      <c r="Q177" s="2509"/>
    </row>
    <row r="178" spans="1:17" s="2402" customFormat="1">
      <c r="B178" s="2509"/>
      <c r="C178" s="2509"/>
      <c r="D178" s="2509"/>
      <c r="E178" s="2509"/>
      <c r="F178" s="2509"/>
      <c r="G178" s="2509"/>
      <c r="H178" s="2509"/>
      <c r="I178" s="2509"/>
      <c r="J178" s="2509"/>
      <c r="K178" s="2509"/>
      <c r="L178" s="2509"/>
      <c r="M178" s="2509"/>
      <c r="N178" s="2509"/>
      <c r="O178" s="2509"/>
      <c r="P178" s="2509"/>
      <c r="Q178" s="2509"/>
    </row>
    <row r="179" spans="1:17" s="2402" customFormat="1">
      <c r="B179" s="2509"/>
      <c r="C179" s="2509"/>
      <c r="D179" s="2509"/>
      <c r="E179" s="2509"/>
      <c r="F179" s="2509"/>
      <c r="G179" s="2509"/>
      <c r="H179" s="2509"/>
      <c r="I179" s="2509"/>
      <c r="J179" s="2509"/>
      <c r="K179" s="2509"/>
      <c r="L179" s="2509"/>
      <c r="M179" s="2509"/>
      <c r="N179" s="2509"/>
      <c r="O179" s="2509"/>
      <c r="P179" s="2509"/>
      <c r="Q179" s="2509"/>
    </row>
    <row r="180" spans="1:17" s="2402" customFormat="1">
      <c r="B180" s="2509"/>
      <c r="C180" s="2509"/>
      <c r="D180" s="2509"/>
      <c r="E180" s="2509"/>
      <c r="F180" s="2509"/>
      <c r="G180" s="2509"/>
      <c r="H180" s="2509"/>
      <c r="I180" s="2509"/>
      <c r="J180" s="2509"/>
      <c r="K180" s="2509"/>
      <c r="L180" s="2509"/>
      <c r="M180" s="2509"/>
      <c r="N180" s="2509"/>
      <c r="O180" s="2509"/>
      <c r="P180" s="2509"/>
      <c r="Q180" s="2509"/>
    </row>
    <row r="181" spans="1:17" s="2402" customFormat="1">
      <c r="B181" s="2509"/>
      <c r="C181" s="2509"/>
      <c r="D181" s="2509"/>
      <c r="E181" s="2509"/>
      <c r="F181" s="2509"/>
      <c r="G181" s="2509"/>
      <c r="H181" s="2509"/>
      <c r="I181" s="2509"/>
      <c r="J181" s="2509"/>
      <c r="K181" s="2509"/>
      <c r="L181" s="2509"/>
      <c r="M181" s="2509"/>
      <c r="N181" s="2509"/>
      <c r="O181" s="2509"/>
      <c r="P181" s="2509"/>
      <c r="Q181" s="2509"/>
    </row>
    <row r="182" spans="1:17" s="2402" customFormat="1">
      <c r="B182" s="2509"/>
      <c r="C182" s="2509"/>
      <c r="D182" s="2509"/>
      <c r="E182" s="2509"/>
      <c r="F182" s="2509"/>
      <c r="G182" s="2509"/>
      <c r="H182" s="2509"/>
      <c r="I182" s="2509"/>
      <c r="J182" s="2509"/>
      <c r="K182" s="2509"/>
      <c r="L182" s="2509"/>
      <c r="M182" s="2509"/>
      <c r="N182" s="2509"/>
      <c r="O182" s="2509"/>
      <c r="P182" s="2509"/>
      <c r="Q182" s="2509"/>
    </row>
    <row r="183" spans="1:17" s="2402" customFormat="1">
      <c r="B183" s="2509"/>
      <c r="C183" s="2509"/>
      <c r="D183" s="2509"/>
      <c r="E183" s="2509"/>
      <c r="F183" s="2509"/>
      <c r="G183" s="2509"/>
      <c r="H183" s="2509"/>
      <c r="I183" s="2509"/>
      <c r="J183" s="2509"/>
      <c r="K183" s="2509"/>
      <c r="L183" s="2509"/>
      <c r="M183" s="2509"/>
      <c r="N183" s="2509"/>
      <c r="O183" s="2509"/>
      <c r="P183" s="2509"/>
      <c r="Q183" s="2509"/>
    </row>
    <row r="184" spans="1:17" s="2402" customFormat="1">
      <c r="B184" s="2509"/>
      <c r="C184" s="2509"/>
      <c r="D184" s="2509"/>
      <c r="E184" s="2509"/>
      <c r="F184" s="2509"/>
      <c r="G184" s="2509"/>
      <c r="H184" s="2509"/>
      <c r="I184" s="2509"/>
      <c r="J184" s="2509"/>
      <c r="K184" s="2509"/>
      <c r="L184" s="2509"/>
      <c r="M184" s="2509"/>
      <c r="N184" s="2509"/>
      <c r="O184" s="2509"/>
      <c r="P184" s="2509"/>
      <c r="Q184" s="2509"/>
    </row>
    <row r="185" spans="1:17" s="2402" customFormat="1">
      <c r="B185" s="2509"/>
      <c r="C185" s="2509"/>
      <c r="D185" s="2509"/>
      <c r="E185" s="2509"/>
      <c r="F185" s="2509"/>
      <c r="G185" s="2509"/>
      <c r="H185" s="2509"/>
      <c r="I185" s="2509"/>
      <c r="J185" s="2509"/>
      <c r="K185" s="2509"/>
      <c r="L185" s="2509"/>
      <c r="M185" s="2509"/>
      <c r="N185" s="2509"/>
      <c r="O185" s="2509"/>
      <c r="P185" s="2509"/>
      <c r="Q185" s="2509"/>
    </row>
    <row r="186" spans="1:17">
      <c r="A186" s="2402"/>
      <c r="B186" s="2509"/>
      <c r="C186" s="2509"/>
      <c r="E186" s="2509"/>
      <c r="F186" s="2509"/>
      <c r="G186" s="2509"/>
    </row>
    <row r="187" spans="1:17">
      <c r="A187" s="2402"/>
      <c r="B187" s="2509"/>
      <c r="C187" s="2509"/>
      <c r="E187" s="2509"/>
      <c r="F187" s="2509"/>
      <c r="G187" s="250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5" sqref="K25"/>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296</v>
      </c>
      <c r="C1" s="2495"/>
      <c r="D1" s="2495"/>
      <c r="E1" s="2495"/>
      <c r="F1" s="2495"/>
      <c r="G1" s="2496"/>
      <c r="H1" s="2496"/>
      <c r="I1" s="2496"/>
      <c r="J1" s="2496"/>
      <c r="K1" s="2496"/>
    </row>
    <row r="2" spans="1:11" ht="16.5">
      <c r="A2" s="2494" t="s">
        <v>791</v>
      </c>
      <c r="B2" s="2494">
        <f>SUM(C14:C23)</f>
        <v>0</v>
      </c>
      <c r="C2" s="2495"/>
      <c r="D2" s="2495"/>
      <c r="E2" s="2495"/>
      <c r="F2" s="2495"/>
      <c r="G2" s="2496"/>
      <c r="H2" s="2496"/>
      <c r="I2" s="2496"/>
      <c r="J2" s="2496"/>
      <c r="K2" s="2496"/>
    </row>
    <row r="3" spans="1:11" ht="16.5">
      <c r="A3" s="2494" t="s">
        <v>792</v>
      </c>
      <c r="B3" s="2497">
        <f>项目基本情况!D3</f>
        <v>45981</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762</v>
      </c>
      <c r="C5" s="2494">
        <f ca="1">IF(B5=D14,结果表!H102,ROUND(B5*10000/$B$1,0))</f>
        <v>25738</v>
      </c>
      <c r="D5" s="2494" t="e">
        <f ca="1">ROUND(B5*10000/$B$2,0)</f>
        <v>#DIV/0!</v>
      </c>
      <c r="E5" s="2495"/>
      <c r="F5" s="2496"/>
      <c r="G5" s="2496"/>
      <c r="H5" s="2496"/>
      <c r="I5" s="2496"/>
      <c r="J5" s="2496"/>
      <c r="K5" s="2496"/>
    </row>
    <row r="6" spans="1:11" ht="16.5">
      <c r="A6" s="2494" t="s">
        <v>798</v>
      </c>
      <c r="B6" s="2494">
        <f ca="1">SUM(G14:G23)</f>
        <v>762</v>
      </c>
      <c r="C6" s="2494">
        <f ca="1">IF(B6=G14,结果表!H108,ROUND(B6*10000/$B$1,0))</f>
        <v>25738</v>
      </c>
      <c r="D6" s="2494" t="e">
        <f ca="1">ROUND(B6*10000/$B$2,0)</f>
        <v>#DIV/0!</v>
      </c>
      <c r="E6" s="2495"/>
      <c r="F6" s="2496"/>
      <c r="G6" s="2496"/>
      <c r="H6" s="2496"/>
      <c r="I6" s="2496"/>
      <c r="J6" s="2496"/>
      <c r="K6" s="2496"/>
    </row>
    <row r="7" spans="1:11" ht="16.5">
      <c r="A7" s="2494" t="s">
        <v>799</v>
      </c>
      <c r="B7" s="2494">
        <f>SUM(H14:H23)</f>
        <v>0</v>
      </c>
      <c r="C7" s="2494" t="str">
        <f>IF(B7=H14,结果表!H110,ROUND(B7*10000/$B$1,0))</f>
        <v>——</v>
      </c>
      <c r="D7" s="2494" t="e">
        <f>ROUND(B7*10000/$B$2,0)</f>
        <v>#DIV/0!</v>
      </c>
      <c r="E7" s="2495"/>
      <c r="F7" s="2496"/>
      <c r="G7" s="2496"/>
      <c r="H7" s="2496"/>
      <c r="I7" s="2496"/>
      <c r="J7" s="2496"/>
      <c r="K7" s="2496"/>
    </row>
    <row r="8" spans="1:11" ht="16.5">
      <c r="A8" s="2494" t="s">
        <v>376</v>
      </c>
      <c r="B8" s="2494">
        <f>SUM(I14:I23)</f>
        <v>0</v>
      </c>
      <c r="C8" s="2494" t="str">
        <f>IF(B8=I14,结果表!H112,ROUND(B8*10000/$B$1,0))</f>
        <v>——</v>
      </c>
      <c r="D8" s="2494" t="e">
        <f>ROUND(B8*10000/$B$2,0)</f>
        <v>#DIV/0!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'数据-汇总表'!F19</f>
        <v>296</v>
      </c>
      <c r="C14" s="2505"/>
      <c r="D14" s="2505">
        <f ca="1">ROUND(B14*E14/10000,0)</f>
        <v>762</v>
      </c>
      <c r="E14" s="2505">
        <f ca="1">结果表!C32</f>
        <v>25738</v>
      </c>
      <c r="F14" s="2505" t="e">
        <f ca="1">ROUND(D14*10000/C14,0)</f>
        <v>#DIV/0!</v>
      </c>
      <c r="G14" s="2505">
        <f ca="1">D14</f>
        <v>762</v>
      </c>
      <c r="H14" s="2505"/>
      <c r="I14" s="2505"/>
      <c r="J14" s="2496"/>
      <c r="K14" s="2496"/>
    </row>
    <row r="15" spans="1:11" ht="16.5">
      <c r="A15" s="2504" t="s">
        <v>811</v>
      </c>
      <c r="B15" s="2506"/>
      <c r="C15" s="2506"/>
      <c r="D15" s="2505"/>
      <c r="E15" s="2505"/>
      <c r="F15" s="2505" t="e">
        <f t="shared" ref="F15:F23" si="0">ROUND(D15*10000/C15,0)</f>
        <v>#DIV/0!</v>
      </c>
      <c r="G15" s="2505"/>
      <c r="H15" s="2498"/>
      <c r="I15" s="2506"/>
      <c r="J15" s="2496"/>
      <c r="K15" s="2496"/>
    </row>
    <row r="16" spans="1:11" ht="16.5">
      <c r="A16" s="2504" t="s">
        <v>812</v>
      </c>
      <c r="B16" s="2506"/>
      <c r="C16" s="2506"/>
      <c r="D16" s="2505"/>
      <c r="E16" s="2505"/>
      <c r="F16" s="2505" t="e">
        <f t="shared" si="0"/>
        <v>#DIV/0!</v>
      </c>
      <c r="G16" s="2498"/>
      <c r="H16" s="2498"/>
      <c r="I16" s="2506"/>
      <c r="J16" s="2496"/>
      <c r="K16" s="2496"/>
    </row>
    <row r="17" spans="1:11" ht="16.5">
      <c r="A17" s="2504" t="s">
        <v>813</v>
      </c>
      <c r="B17" s="2506"/>
      <c r="C17" s="2506"/>
      <c r="D17" s="2506"/>
      <c r="E17" s="2505" t="e">
        <f t="shared" ref="E17:E23" si="1">ROUND(D17*10000/B17,0)</f>
        <v>#DIV/0!</v>
      </c>
      <c r="F17" s="2505" t="e">
        <f t="shared" si="0"/>
        <v>#DIV/0!</v>
      </c>
      <c r="G17" s="2498"/>
      <c r="H17" s="2498"/>
      <c r="I17" s="2506"/>
      <c r="J17" s="2496"/>
      <c r="K17" s="2496"/>
    </row>
    <row r="18" spans="1:11" ht="16.5">
      <c r="A18" s="2504" t="s">
        <v>814</v>
      </c>
      <c r="B18" s="2506"/>
      <c r="C18" s="2506"/>
      <c r="D18" s="2506"/>
      <c r="E18" s="2505" t="e">
        <f t="shared" si="1"/>
        <v>#DIV/0!</v>
      </c>
      <c r="F18" s="2505" t="e">
        <f t="shared" si="0"/>
        <v>#DIV/0!</v>
      </c>
      <c r="G18" s="2506"/>
      <c r="H18" s="2506"/>
      <c r="I18" s="2506"/>
      <c r="J18" s="2496"/>
      <c r="K18" s="2496"/>
    </row>
    <row r="19" spans="1:11" ht="16.5">
      <c r="A19" s="2504" t="s">
        <v>815</v>
      </c>
      <c r="B19" s="2506"/>
      <c r="C19" s="2506"/>
      <c r="D19" s="2506"/>
      <c r="E19" s="2505" t="e">
        <f t="shared" si="1"/>
        <v>#DIV/0!</v>
      </c>
      <c r="F19" s="2505" t="e">
        <f t="shared" si="0"/>
        <v>#DIV/0!</v>
      </c>
      <c r="G19" s="2506"/>
      <c r="H19" s="2506"/>
      <c r="I19" s="2506"/>
      <c r="J19" s="2496"/>
      <c r="K19" s="2496"/>
    </row>
    <row r="20" spans="1:11" ht="16.5">
      <c r="A20" s="2504" t="s">
        <v>816</v>
      </c>
      <c r="B20" s="2506"/>
      <c r="C20" s="2506"/>
      <c r="D20" s="2506"/>
      <c r="E20" s="2505" t="e">
        <f t="shared" si="1"/>
        <v>#DIV/0!</v>
      </c>
      <c r="F20" s="2505" t="e">
        <f t="shared" si="0"/>
        <v>#DIV/0!</v>
      </c>
      <c r="G20" s="2506"/>
      <c r="H20" s="2506"/>
      <c r="I20" s="2506"/>
      <c r="J20" s="2496"/>
      <c r="K20" s="2496"/>
    </row>
    <row r="21" spans="1:11" ht="16.5">
      <c r="A21" s="2504" t="s">
        <v>817</v>
      </c>
      <c r="B21" s="2506"/>
      <c r="C21" s="2506"/>
      <c r="D21" s="2506"/>
      <c r="E21" s="2505" t="e">
        <f t="shared" si="1"/>
        <v>#DIV/0!</v>
      </c>
      <c r="F21" s="2505" t="e">
        <f t="shared" si="0"/>
        <v>#DIV/0!</v>
      </c>
      <c r="G21" s="2506"/>
      <c r="H21" s="2506"/>
      <c r="I21" s="2506"/>
      <c r="J21" s="2496"/>
      <c r="K21" s="2496"/>
    </row>
    <row r="22" spans="1:11" ht="16.5">
      <c r="A22" s="2504" t="s">
        <v>818</v>
      </c>
      <c r="B22" s="2506"/>
      <c r="C22" s="2506"/>
      <c r="D22" s="2506"/>
      <c r="E22" s="2505" t="e">
        <f t="shared" si="1"/>
        <v>#DIV/0!</v>
      </c>
      <c r="F22" s="2505" t="e">
        <f t="shared" si="0"/>
        <v>#DIV/0!</v>
      </c>
      <c r="G22" s="2506"/>
      <c r="H22" s="2506"/>
      <c r="I22" s="2506"/>
      <c r="J22" s="2496"/>
      <c r="K22" s="2496"/>
    </row>
    <row r="23" spans="1:11" ht="16.5">
      <c r="A23" s="2504" t="s">
        <v>819</v>
      </c>
      <c r="B23" s="2506"/>
      <c r="C23" s="2506"/>
      <c r="D23" s="2506"/>
      <c r="E23" s="2498" t="e">
        <f t="shared" si="1"/>
        <v>#DIV/0!</v>
      </c>
      <c r="F23" s="2498" t="e">
        <f t="shared" si="0"/>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825</v>
      </c>
      <c r="D4" s="2090" t="s">
        <v>355</v>
      </c>
      <c r="E4" s="3270" t="s">
        <v>826</v>
      </c>
      <c r="F4" s="3271"/>
      <c r="G4" s="3271"/>
      <c r="H4" s="3271"/>
      <c r="I4" s="3272"/>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18" t="s">
        <v>827</v>
      </c>
      <c r="B5" s="3358">
        <v>25</v>
      </c>
      <c r="C5" s="3322"/>
      <c r="D5" s="3284"/>
      <c r="E5" s="1898" t="s">
        <v>828</v>
      </c>
      <c r="F5" s="2095"/>
      <c r="G5" s="2095"/>
      <c r="H5" s="2095"/>
      <c r="I5" s="2096"/>
    </row>
    <row r="6" spans="1:12" ht="12.75">
      <c r="A6" s="3318"/>
      <c r="B6" s="3358"/>
      <c r="C6" s="3323"/>
      <c r="D6" s="3284"/>
      <c r="E6" s="1898" t="s">
        <v>829</v>
      </c>
      <c r="F6" s="2095"/>
      <c r="G6" s="2095"/>
      <c r="H6" s="2095"/>
      <c r="I6" s="2096"/>
    </row>
    <row r="7" spans="1:12" ht="12.75">
      <c r="A7" s="3318"/>
      <c r="B7" s="3358"/>
      <c r="C7" s="3324"/>
      <c r="D7" s="3284"/>
      <c r="E7" s="1898" t="s">
        <v>830</v>
      </c>
      <c r="F7" s="2095"/>
      <c r="G7" s="2095"/>
      <c r="H7" s="2095"/>
      <c r="I7" s="2096"/>
    </row>
    <row r="8" spans="1:12" ht="12.75">
      <c r="A8" s="3318" t="s">
        <v>831</v>
      </c>
      <c r="B8" s="3358">
        <v>15</v>
      </c>
      <c r="C8" s="3322"/>
      <c r="D8" s="3284"/>
      <c r="E8" s="1898" t="s">
        <v>832</v>
      </c>
      <c r="F8" s="2095"/>
      <c r="G8" s="2095"/>
      <c r="H8" s="2095"/>
      <c r="I8" s="2096"/>
    </row>
    <row r="9" spans="1:12" ht="12.75">
      <c r="A9" s="3318"/>
      <c r="B9" s="3358"/>
      <c r="C9" s="3324"/>
      <c r="D9" s="3284"/>
      <c r="E9" s="1898" t="s">
        <v>833</v>
      </c>
      <c r="F9" s="2095"/>
      <c r="G9" s="2095"/>
      <c r="H9" s="2095"/>
      <c r="I9" s="2096"/>
    </row>
    <row r="10" spans="1:12" ht="12.75">
      <c r="A10" s="3318" t="s">
        <v>834</v>
      </c>
      <c r="B10" s="3358">
        <v>15</v>
      </c>
      <c r="C10" s="3322"/>
      <c r="D10" s="3284"/>
      <c r="E10" s="1898" t="s">
        <v>835</v>
      </c>
      <c r="F10" s="2095"/>
      <c r="G10" s="2095"/>
      <c r="H10" s="2095"/>
      <c r="I10" s="2096"/>
    </row>
    <row r="11" spans="1:12" ht="12.75">
      <c r="A11" s="3318"/>
      <c r="B11" s="3358"/>
      <c r="C11" s="3324"/>
      <c r="D11" s="3284"/>
      <c r="E11" s="1898" t="s">
        <v>836</v>
      </c>
      <c r="F11" s="2095"/>
      <c r="G11" s="2095"/>
      <c r="H11" s="2095"/>
      <c r="I11" s="2096"/>
    </row>
    <row r="12" spans="1:12" ht="12.75">
      <c r="A12" s="3318" t="s">
        <v>837</v>
      </c>
      <c r="B12" s="3358">
        <v>15</v>
      </c>
      <c r="C12" s="3322"/>
      <c r="D12" s="3284"/>
      <c r="E12" s="1898" t="s">
        <v>838</v>
      </c>
      <c r="F12" s="2095"/>
      <c r="G12" s="2095"/>
      <c r="H12" s="2095"/>
      <c r="I12" s="2096"/>
    </row>
    <row r="13" spans="1:12" ht="12.75">
      <c r="A13" s="3318"/>
      <c r="B13" s="3358"/>
      <c r="C13" s="3324"/>
      <c r="D13" s="3284"/>
      <c r="E13" s="1898" t="s">
        <v>839</v>
      </c>
      <c r="F13" s="2095"/>
      <c r="G13" s="2095"/>
      <c r="H13" s="2095"/>
      <c r="I13" s="2096"/>
    </row>
    <row r="14" spans="1:12" ht="12.75">
      <c r="A14" s="3318" t="s">
        <v>840</v>
      </c>
      <c r="B14" s="3358">
        <v>30</v>
      </c>
      <c r="C14" s="3322">
        <v>7</v>
      </c>
      <c r="D14" s="3284">
        <v>3</v>
      </c>
      <c r="E14" s="1898" t="s">
        <v>841</v>
      </c>
      <c r="F14" s="2095"/>
      <c r="G14" s="2095"/>
      <c r="H14" s="2095"/>
      <c r="I14" s="2096"/>
    </row>
    <row r="15" spans="1:12" ht="12.75">
      <c r="A15" s="3318"/>
      <c r="B15" s="3358"/>
      <c r="C15" s="3323"/>
      <c r="D15" s="3284"/>
      <c r="E15" s="1898" t="s">
        <v>842</v>
      </c>
      <c r="F15" s="2095"/>
      <c r="G15" s="2095"/>
      <c r="H15" s="2095"/>
      <c r="I15" s="2096"/>
    </row>
    <row r="16" spans="1:12" ht="12.75">
      <c r="A16" s="3318"/>
      <c r="B16" s="3358"/>
      <c r="C16" s="3324"/>
      <c r="D16" s="3284"/>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296</v>
      </c>
      <c r="M18" s="1837">
        <f>IF(C1="",'数据-汇总表'!E3,SUMIF(项目类型,C1,'数据-汇总表'!E17:E26))</f>
        <v>296</v>
      </c>
    </row>
    <row r="19" spans="1:36" ht="15">
      <c r="A19" s="1239" t="s">
        <v>849</v>
      </c>
      <c r="B19" s="2103" t="s">
        <v>850</v>
      </c>
      <c r="C19" s="2104">
        <f ca="1">SUMIF(INDIRECT("'"&amp;C4&amp;"'"&amp;"!A:A"),结果表!B19,INDIRECT("'"&amp;C4&amp;"'"&amp;"!B:B"))</f>
        <v>955.25120000000004</v>
      </c>
      <c r="D19" s="1354">
        <f ca="1">SUMIF(INDIRECT("'"&amp;D4&amp;"'"&amp;"!A:A"),结果表!B19,INDIRECT("'"&amp;D4&amp;"'"&amp;"!B:B"))</f>
        <v>310.52550000000002</v>
      </c>
      <c r="E19" s="1239" t="s">
        <v>851</v>
      </c>
      <c r="F19" s="2103" t="s">
        <v>850</v>
      </c>
      <c r="G19" s="2105">
        <f ca="1">ROUND(C19*$C$18+D19*$D$18,0)</f>
        <v>762</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SUMIF(INDIRECT("'"&amp;C4&amp;"'"&amp;"!A:A"),结果表!B20,INDIRECT("'"&amp;C4&amp;"'"&amp;"!B:B"))</f>
        <v>32272</v>
      </c>
      <c r="D20" s="1580">
        <f ca="1">SUMIF(INDIRECT("'"&amp;D4&amp;"'"&amp;"!A:A"),结果表!B20,INDIRECT("'"&amp;D4&amp;"'"&amp;"!B:B"))</f>
        <v>10491</v>
      </c>
      <c r="E20" s="2107"/>
      <c r="F20" s="2108" t="s">
        <v>853</v>
      </c>
      <c r="G20" s="2109">
        <f ca="1">ROUND(C20*$C$18+D20*$D$18,0)</f>
        <v>25738</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2.0762407596155548</v>
      </c>
      <c r="E22" s="983"/>
      <c r="F22" s="983"/>
      <c r="G22" s="983"/>
      <c r="H22" s="983"/>
      <c r="I22" s="983"/>
    </row>
    <row r="23" spans="1:36" ht="12.75">
      <c r="A23" s="1858"/>
      <c r="B23" s="1858"/>
      <c r="C23" s="1858"/>
      <c r="D23" s="1858"/>
      <c r="E23" s="983"/>
      <c r="F23" s="983"/>
      <c r="G23" s="983"/>
      <c r="H23" s="983"/>
      <c r="I23" s="983"/>
    </row>
    <row r="24" spans="1:36" ht="14.25">
      <c r="A24" s="3351" t="s">
        <v>857</v>
      </c>
      <c r="B24" s="2103" t="s">
        <v>850</v>
      </c>
      <c r="C24" s="2105">
        <f>IF(B30=0,0,D30)</f>
        <v>0</v>
      </c>
      <c r="D24" s="2119"/>
      <c r="E24" s="983"/>
      <c r="F24" s="983"/>
      <c r="G24" s="983"/>
      <c r="H24" s="983"/>
      <c r="I24" s="983"/>
    </row>
    <row r="25" spans="1:36" ht="14.25">
      <c r="A25" s="3352"/>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30280</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25738</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53" t="s">
        <v>874</v>
      </c>
      <c r="B36" s="2153" t="s">
        <v>875</v>
      </c>
      <c r="C36" s="2154"/>
      <c r="D36" s="2155"/>
      <c r="E36" s="2156"/>
      <c r="F36" s="2157"/>
      <c r="G36" s="983"/>
      <c r="H36" s="983"/>
      <c r="I36" s="983"/>
    </row>
    <row r="37" spans="1:15" ht="15">
      <c r="A37" s="3354"/>
      <c r="B37" s="2158" t="s">
        <v>876</v>
      </c>
      <c r="C37" s="2159"/>
      <c r="D37" s="2160"/>
      <c r="E37" s="2160"/>
      <c r="F37" s="2157"/>
      <c r="G37" s="983"/>
      <c r="H37" s="983"/>
      <c r="I37" s="983"/>
    </row>
    <row r="38" spans="1:15" ht="15">
      <c r="A38" s="3355"/>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762</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5">
        <f>'数据-取费表'!B2</f>
        <v>45981</v>
      </c>
      <c r="N47" s="3285"/>
      <c r="O47" s="3285"/>
    </row>
    <row r="48" spans="1:15" ht="25.5">
      <c r="A48" s="3286" t="s">
        <v>897</v>
      </c>
      <c r="B48" s="3287"/>
      <c r="C48" s="3287"/>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8">
        <f ca="1">H101</f>
        <v>762</v>
      </c>
      <c r="N48" s="3288"/>
      <c r="O48" s="3288"/>
    </row>
    <row r="49" spans="1:35" ht="25.5" customHeight="1">
      <c r="A49" s="2190" t="s">
        <v>900</v>
      </c>
      <c r="B49" s="3289" t="s">
        <v>901</v>
      </c>
      <c r="C49" s="3289"/>
      <c r="D49" s="2194">
        <v>0</v>
      </c>
      <c r="E49" s="1902" t="s">
        <v>902</v>
      </c>
      <c r="F49" s="2195" t="s">
        <v>124</v>
      </c>
      <c r="G49" s="3294"/>
      <c r="H49" s="2196" t="s">
        <v>903</v>
      </c>
      <c r="I49" s="2197"/>
      <c r="J49" s="627">
        <v>4</v>
      </c>
      <c r="K49" s="3282" t="str">
        <f>IF(项目基本情况!E8="房地产抵押价值","房地产抵押价值","抵押担保权已注销时的房地产抵押价值")</f>
        <v>房地产抵押价值</v>
      </c>
      <c r="L49" s="3282"/>
      <c r="M49" s="3288">
        <f ca="1">IF(项目基本情况!E8="房地产抵押价值",H107,H109)</f>
        <v>762</v>
      </c>
      <c r="N49" s="3288"/>
      <c r="O49" s="3288"/>
    </row>
    <row r="50" spans="1:35" ht="25.5" customHeight="1">
      <c r="A50" s="2198"/>
      <c r="B50" s="3289" t="s">
        <v>904</v>
      </c>
      <c r="C50" s="3289"/>
      <c r="D50" s="2199"/>
      <c r="E50" s="1918"/>
      <c r="F50" s="2195"/>
      <c r="G50" s="3295"/>
      <c r="H50" s="2200" t="s">
        <v>905</v>
      </c>
      <c r="I50" s="2197"/>
      <c r="J50" s="3278" t="s">
        <v>906</v>
      </c>
      <c r="K50" s="3278"/>
      <c r="L50" s="3278"/>
      <c r="M50" s="3278"/>
      <c r="N50" s="3278"/>
      <c r="O50" s="3278"/>
    </row>
    <row r="51" spans="1:35" ht="20.45" customHeight="1">
      <c r="A51" s="2201"/>
      <c r="B51" s="3289" t="s">
        <v>907</v>
      </c>
      <c r="C51" s="3289"/>
      <c r="D51" s="1874"/>
      <c r="E51" s="1907"/>
      <c r="F51" s="2195"/>
      <c r="G51" s="3296"/>
      <c r="H51" s="2200" t="s">
        <v>908</v>
      </c>
      <c r="I51" s="2197"/>
      <c r="J51" s="2183" t="s">
        <v>909</v>
      </c>
      <c r="K51" s="3282" t="s">
        <v>910</v>
      </c>
      <c r="L51" s="3282"/>
      <c r="M51" s="2183" t="s">
        <v>911</v>
      </c>
      <c r="N51" s="2183" t="s">
        <v>912</v>
      </c>
      <c r="O51" s="2183" t="s">
        <v>913</v>
      </c>
    </row>
    <row r="52" spans="1:35" ht="24" customHeight="1">
      <c r="A52" s="2202" t="s">
        <v>914</v>
      </c>
      <c r="B52" s="3289" t="s">
        <v>915</v>
      </c>
      <c r="C52" s="3289"/>
      <c r="D52" s="1874">
        <f ca="1">ROUND(D45*'数据-取费表'!B41/(1+'数据-取费表'!C42),0)</f>
        <v>41</v>
      </c>
      <c r="E52" s="1896" t="s">
        <v>916</v>
      </c>
      <c r="F52" s="2203">
        <f>'数据-取费表'!B41</f>
        <v>5.6000000000000001E-2</v>
      </c>
      <c r="G52" s="2204"/>
      <c r="H52" s="1941"/>
      <c r="I52" s="2205"/>
      <c r="J52" s="627">
        <v>1</v>
      </c>
      <c r="K52" s="3290" t="s">
        <v>917</v>
      </c>
      <c r="L52" s="3290"/>
      <c r="M52" s="2206" t="b">
        <f>D48</f>
        <v>0</v>
      </c>
      <c r="N52" s="627" t="str">
        <f>E48</f>
        <v>销售额×税（费）率</v>
      </c>
      <c r="O52" s="2207">
        <f>F48</f>
        <v>5.6000000000000001E-2</v>
      </c>
    </row>
    <row r="53" spans="1:35" ht="12" customHeight="1">
      <c r="A53" s="2202" t="s">
        <v>918</v>
      </c>
      <c r="B53" s="3291" t="s">
        <v>919</v>
      </c>
      <c r="C53" s="3292"/>
      <c r="D53" s="1874">
        <f ca="1">ROUND(D45*'数据-取费表'!B41/(1+'数据-取费表'!C42),0)</f>
        <v>41</v>
      </c>
      <c r="E53" s="1896" t="s">
        <v>916</v>
      </c>
      <c r="F53" s="2203">
        <f>'数据-取费表'!B41</f>
        <v>5.6000000000000001E-2</v>
      </c>
      <c r="G53" s="2204"/>
      <c r="H53" s="1941"/>
      <c r="I53" s="2205"/>
      <c r="J53" s="627">
        <v>2</v>
      </c>
      <c r="K53" s="3290" t="s">
        <v>920</v>
      </c>
      <c r="L53" s="3290"/>
      <c r="M53" s="2206">
        <f t="shared" ref="M53:O54" ca="1" si="0">D55</f>
        <v>0</v>
      </c>
      <c r="N53" s="627" t="str">
        <f t="shared" si="0"/>
        <v>销售额×税（费）率</v>
      </c>
      <c r="O53" s="2207" t="str">
        <f t="shared" si="0"/>
        <v>免征</v>
      </c>
    </row>
    <row r="54" spans="1:35" ht="12" customHeight="1">
      <c r="A54" s="2202" t="s">
        <v>921</v>
      </c>
      <c r="B54" s="3291" t="s">
        <v>922</v>
      </c>
      <c r="C54" s="3292"/>
      <c r="D54" s="1874">
        <f ca="1">C68</f>
        <v>41</v>
      </c>
      <c r="E54" s="1907" t="s">
        <v>923</v>
      </c>
      <c r="F54" s="2203">
        <f>'数据-取费表'!B41</f>
        <v>5.6000000000000001E-2</v>
      </c>
      <c r="G54" s="2204"/>
      <c r="H54" s="2208"/>
      <c r="I54" s="2205"/>
      <c r="J54" s="627">
        <v>3</v>
      </c>
      <c r="K54" s="3290" t="s">
        <v>924</v>
      </c>
      <c r="L54" s="3290"/>
      <c r="M54" s="2206">
        <f t="shared" ca="1" si="0"/>
        <v>432</v>
      </c>
      <c r="N54" s="627" t="str">
        <f t="shared" si="0"/>
        <v>增值额×税（费）率</v>
      </c>
      <c r="O54" s="2209" t="str">
        <f t="shared" si="0"/>
        <v>免征</v>
      </c>
    </row>
    <row r="55" spans="1:35" ht="24" customHeight="1">
      <c r="A55" s="3293" t="s">
        <v>925</v>
      </c>
      <c r="B55" s="3287"/>
      <c r="C55" s="3287"/>
      <c r="D55" s="1882">
        <f ca="1">IF(H55="个人住宅",0,ROUND(D45*I55,0))</f>
        <v>0</v>
      </c>
      <c r="E55" s="1896" t="s">
        <v>926</v>
      </c>
      <c r="F55" s="2203" t="str">
        <f>IF(H55="正常",I55,"免征")</f>
        <v>免征</v>
      </c>
      <c r="G55" s="2204"/>
      <c r="H55" s="2193"/>
      <c r="I55" s="2210">
        <f>'数据-取费表'!B49</f>
        <v>5.0000000000000001E-4</v>
      </c>
      <c r="J55" s="627">
        <f>IF(H59="非个人房产","",4)</f>
        <v>4</v>
      </c>
      <c r="K55" s="3290" t="str">
        <f>IF(H59="非个人房产","——","个人所得税")</f>
        <v>个人所得税</v>
      </c>
      <c r="L55" s="3290"/>
      <c r="M55" s="2211">
        <f ca="1">D59</f>
        <v>7</v>
      </c>
      <c r="N55" s="603" t="str">
        <f>E59</f>
        <v>差额计税</v>
      </c>
      <c r="O55" s="2212">
        <f>F59</f>
        <v>0.01</v>
      </c>
    </row>
    <row r="56" spans="1:35" ht="24.75">
      <c r="A56" s="3293" t="s">
        <v>927</v>
      </c>
      <c r="B56" s="3287"/>
      <c r="C56" s="3287"/>
      <c r="D56" s="1882">
        <f ca="1">IF(H56="个人住宅",D57,D58)</f>
        <v>432</v>
      </c>
      <c r="E56" s="1896" t="s">
        <v>928</v>
      </c>
      <c r="F56" s="2203" t="str">
        <f>IF(H56="正常",F58,"免征")</f>
        <v>免征</v>
      </c>
      <c r="G56" s="2213" t="s">
        <v>929</v>
      </c>
      <c r="H56" s="2214"/>
      <c r="I56" s="2215"/>
      <c r="J56" s="627" t="str">
        <f>IF(项目基本情况!K6="上海银行",IF(J55="",4,J55+1),"")</f>
        <v/>
      </c>
      <c r="K56" s="3306" t="str">
        <f>IF(项目基本情况!K6="上海银行","其他处置费用","")</f>
        <v/>
      </c>
      <c r="L56" s="3307"/>
      <c r="M56" s="2206" t="str">
        <f>IF(项目基本情况!K6="上海银行",M69,"")</f>
        <v/>
      </c>
      <c r="N56" s="3306" t="str">
        <f>IF(项目基本情况!K6="上海银行","包含处置中涉及的律师、诉讼、拍卖、评估等费用","")</f>
        <v/>
      </c>
      <c r="O56" s="3308"/>
    </row>
    <row r="57" spans="1:35" ht="12.75">
      <c r="A57" s="2202" t="s">
        <v>900</v>
      </c>
      <c r="B57" s="3291" t="s">
        <v>930</v>
      </c>
      <c r="C57" s="3292"/>
      <c r="D57" s="2194">
        <v>0</v>
      </c>
      <c r="E57" s="1902" t="s">
        <v>902</v>
      </c>
      <c r="F57" s="1837"/>
      <c r="G57" s="2204"/>
      <c r="H57" s="2217"/>
      <c r="I57" s="2215"/>
      <c r="J57" s="3290">
        <f>IF(AND(J55="",J56=""),4,IF(项目基本情况!K6="上海银行",结果表!J56+1,结果表!J55+1))</f>
        <v>5</v>
      </c>
      <c r="K57" s="3290" t="s">
        <v>931</v>
      </c>
      <c r="L57" s="2218" t="s">
        <v>932</v>
      </c>
      <c r="M57" s="2219"/>
      <c r="N57" s="2220">
        <f ca="1">SUMIF(M52:M56,"&lt;9e307")</f>
        <v>439</v>
      </c>
      <c r="O57" s="2221"/>
      <c r="P57" s="2222">
        <f ca="1">N57/M49</f>
        <v>0.57611548556430447</v>
      </c>
    </row>
    <row r="58" spans="1:35" ht="24.75">
      <c r="A58" s="2202" t="s">
        <v>914</v>
      </c>
      <c r="B58" s="3291" t="s">
        <v>933</v>
      </c>
      <c r="C58" s="3289"/>
      <c r="D58" s="1882">
        <f ca="1">IF(H58="转让取得",C81,C97)</f>
        <v>432</v>
      </c>
      <c r="E58" s="1896" t="s">
        <v>928</v>
      </c>
      <c r="F58" s="1837" t="s">
        <v>124</v>
      </c>
      <c r="G58" s="2204"/>
      <c r="H58" s="2214"/>
      <c r="I58" s="2215"/>
      <c r="J58" s="3290"/>
      <c r="K58" s="3290"/>
      <c r="L58" s="2218" t="s">
        <v>934</v>
      </c>
      <c r="M58" s="2223"/>
      <c r="N58" s="2224" t="str">
        <f ca="1">NUMBERSTRING(INT(N57*10000),2)&amp;"元整"</f>
        <v>肆佰叁拾玖万元整</v>
      </c>
      <c r="O58" s="2225"/>
    </row>
    <row r="59" spans="1:35" ht="24">
      <c r="A59" s="3309" t="s">
        <v>935</v>
      </c>
      <c r="B59" s="3310"/>
      <c r="C59" s="3310"/>
      <c r="D59" s="2226">
        <f ca="1">IF(H59="非个人房产","——",IF(H59="个人住宅（满五唯一有凭证）",0,IF(H59="个人其他（无凭证）",ROUND(D45/(1+'数据-取费表'!C42)*F59,0),ROUND(C67*F59,0))))</f>
        <v>7</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12">
        <f>J57+1</f>
        <v>6</v>
      </c>
      <c r="K59" s="3290" t="s">
        <v>937</v>
      </c>
      <c r="L59" s="627" t="s">
        <v>932</v>
      </c>
      <c r="M59" s="2232"/>
      <c r="N59" s="2233">
        <f ca="1">M49-N57</f>
        <v>323</v>
      </c>
      <c r="O59" s="2234"/>
    </row>
    <row r="60" spans="1:35" ht="12" customHeight="1">
      <c r="A60" s="2235"/>
      <c r="B60" s="1858"/>
      <c r="C60" s="1858"/>
      <c r="D60" s="1858"/>
      <c r="E60" s="2236"/>
      <c r="F60" s="2215"/>
      <c r="G60" s="2215"/>
      <c r="H60" s="984"/>
      <c r="I60" s="983"/>
      <c r="J60" s="3313"/>
      <c r="K60" s="3290"/>
      <c r="L60" s="2218" t="s">
        <v>934</v>
      </c>
      <c r="M60" s="2223"/>
      <c r="N60" s="2224" t="str">
        <f ca="1">NUMBERSTRING(INT(N59*10000),2)&amp;"元整"</f>
        <v>叁佰贰拾叁万元整</v>
      </c>
      <c r="O60" s="2225"/>
    </row>
    <row r="61" spans="1:35" ht="12.75">
      <c r="A61" s="3311" t="s">
        <v>938</v>
      </c>
      <c r="B61" s="3311"/>
      <c r="C61" s="3311"/>
      <c r="D61" s="3311"/>
      <c r="E61" s="3311"/>
      <c r="F61" s="2215"/>
      <c r="G61" s="2215"/>
      <c r="H61" s="984"/>
      <c r="I61" s="983"/>
      <c r="J61" s="627">
        <f>J59+1</f>
        <v>7</v>
      </c>
      <c r="K61" s="3290" t="s">
        <v>939</v>
      </c>
      <c r="L61" s="3290"/>
      <c r="M61" s="2237"/>
      <c r="N61" s="2238">
        <f ca="1">ROUND(N59*10000/'数据-汇总表'!E3,0)</f>
        <v>10912</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726</v>
      </c>
      <c r="D63" s="646"/>
      <c r="E63" s="2243"/>
      <c r="F63" s="2215"/>
      <c r="G63" s="2215"/>
      <c r="H63" s="984"/>
      <c r="I63" s="983"/>
      <c r="J63" s="3343" t="s">
        <v>944</v>
      </c>
      <c r="K63" s="2244" t="s">
        <v>945</v>
      </c>
      <c r="L63" s="2244">
        <f ca="1">IF(M49&gt;10000,M49*0.5%,IF(AND(M49&gt;1000,M49&lt;=10000),M49*1%,IF(AND(M49&gt;100,M49&lt;=1000),M49*3%,IF(AND(M49&gt;10,M49&lt;=100),M49*5%,M49*8%))))</f>
        <v>22.86</v>
      </c>
      <c r="M63" s="1837">
        <f ca="1">ROUND(L63,1)</f>
        <v>22.9</v>
      </c>
      <c r="N63" s="2245"/>
      <c r="Z63" s="2081"/>
      <c r="AI63" s="2082"/>
    </row>
    <row r="64" spans="1:35" ht="14.25" customHeight="1">
      <c r="A64" s="2246" t="s">
        <v>946</v>
      </c>
      <c r="B64" s="522" t="s">
        <v>947</v>
      </c>
      <c r="C64" s="2247">
        <f ca="1">D45</f>
        <v>762</v>
      </c>
      <c r="D64" s="522" t="s">
        <v>124</v>
      </c>
      <c r="E64" s="2248"/>
      <c r="F64" s="2215"/>
      <c r="G64" s="2215"/>
      <c r="H64" s="984"/>
      <c r="I64" s="983"/>
      <c r="J64" s="3343"/>
      <c r="K64" s="2244" t="s">
        <v>948</v>
      </c>
      <c r="L64" s="2244">
        <f ca="1">IF(M49&gt;2000,M49*0.5%,IF(AND(M49&gt;1000,M49&lt;=2000),M49*0.6%,IF(AND(M49&gt;500,M49&lt;=1000),M49*0.7%,IF(AND(M49&gt;200,M49&lt;=500),M49*0.8%,IF(AND(M49&gt;100,M49&lt;=200),M49*0.9%,IF(AND(M49&gt;50,M49&lt;=100),M49*1%,IF(AND(M49&gt;20,M49&lt;=50),M49*1.5%,IF(AND(M49&gt;10,M49&lt;=20),M49*2%,IF(AND(M49&gt;1,M49&lt;=10),M49*2.5%)))))))))</f>
        <v>5.3339999999999996</v>
      </c>
      <c r="M64" s="1837">
        <f t="shared" ref="M64:M65" ca="1" si="1">ROUND(L64,1)</f>
        <v>5.3</v>
      </c>
      <c r="N64" s="1941" t="s">
        <v>949</v>
      </c>
      <c r="Z64" s="2081"/>
      <c r="AI64" s="2082"/>
    </row>
    <row r="65" spans="1:35" ht="14.25" customHeight="1">
      <c r="A65" s="2246" t="s">
        <v>950</v>
      </c>
      <c r="B65" s="522" t="s">
        <v>951</v>
      </c>
      <c r="C65" s="2249"/>
      <c r="D65" s="522"/>
      <c r="E65" s="2248"/>
      <c r="F65" s="2215"/>
      <c r="G65" s="2215"/>
      <c r="H65" s="984"/>
      <c r="I65" s="983"/>
      <c r="J65" s="3343"/>
      <c r="K65" s="2244" t="s">
        <v>952</v>
      </c>
      <c r="L65" s="2244">
        <f ca="1">IF(M49&gt;1000,M49*0.1%,IF(AND(M49&gt;500,M49&lt;=1000),M49*0.5%,IF(AND(M49&gt;50,M49&lt;=500),M49*1%,IF(AND(M49&gt;1,M49&lt;=50),M49*1.5%))))</f>
        <v>3.81</v>
      </c>
      <c r="M65" s="1837">
        <f t="shared" ca="1" si="1"/>
        <v>3.8</v>
      </c>
      <c r="N65" s="1941" t="s">
        <v>949</v>
      </c>
      <c r="Z65" s="2081"/>
      <c r="AI65" s="2082"/>
    </row>
    <row r="66" spans="1:35" ht="14.25" customHeight="1">
      <c r="A66" s="2241" t="s">
        <v>953</v>
      </c>
      <c r="B66" s="2250" t="s">
        <v>954</v>
      </c>
      <c r="C66" s="2251"/>
      <c r="D66" s="2250" t="s">
        <v>124</v>
      </c>
      <c r="E66" s="2252" t="s">
        <v>955</v>
      </c>
      <c r="F66" s="2215"/>
      <c r="G66" s="2215"/>
      <c r="H66" s="984"/>
      <c r="I66" s="983"/>
      <c r="J66" s="3343"/>
      <c r="K66" s="2244" t="s">
        <v>956</v>
      </c>
      <c r="L66" s="2244">
        <f ca="1">M49*0.5%</f>
        <v>3.81</v>
      </c>
      <c r="M66" s="1837">
        <f ca="1">IF(L66&gt;0.5,0.5,ROUND(L66,0))</f>
        <v>0.5</v>
      </c>
      <c r="N66" s="1941" t="s">
        <v>957</v>
      </c>
      <c r="Z66" s="2081"/>
      <c r="AI66" s="2082"/>
    </row>
    <row r="67" spans="1:35" ht="14.25" customHeight="1">
      <c r="A67" s="2241" t="s">
        <v>958</v>
      </c>
      <c r="B67" s="2250" t="s">
        <v>959</v>
      </c>
      <c r="C67" s="2253">
        <f ca="1">C63-C66</f>
        <v>726</v>
      </c>
      <c r="D67" s="522" t="s">
        <v>124</v>
      </c>
      <c r="E67" s="2248"/>
      <c r="F67" s="2215"/>
      <c r="G67" s="2215"/>
      <c r="H67" s="984"/>
      <c r="I67" s="983"/>
      <c r="J67" s="3343"/>
      <c r="K67" s="2244" t="s">
        <v>960</v>
      </c>
      <c r="L67" s="2244">
        <f ca="1">IF(M49&gt;=10000,(8.25+(M49-10000)*0.01%),IF(AND(M49&gt;=8000,M49&lt;10000),(7.85+(M49-8000)*0.02%),IF(AND(M49&gt;=5000,M49&lt;8000),(6.65+(M49-5000)*0.04%),IF(AND(M49&gt;=2000,M49&lt;5000),(4.25+(PM49-2000)*0.08%),IF(AND(M49&gt;=1000,M49&lt;2000),(2.75+(M49-1000)*0.15%),IF(AND(M49&gt;=100,M49&lt;1000),(0.5+(M49-100)*0.25%),IF(AND(M49&gt;0,M49&lt;100),M49*0.5%)))))))</f>
        <v>2.1550000000000002</v>
      </c>
      <c r="M67" s="1837">
        <f ca="1">ROUND(L67*0.9,1)</f>
        <v>1.9</v>
      </c>
      <c r="N67" s="2245"/>
      <c r="Z67" s="2081"/>
      <c r="AI67" s="2082"/>
    </row>
    <row r="68" spans="1:35" ht="14.25" customHeight="1">
      <c r="A68" s="2254" t="s">
        <v>961</v>
      </c>
      <c r="B68" s="2255" t="s">
        <v>962</v>
      </c>
      <c r="C68" s="2256">
        <f ca="1">IF(C67&lt;=0,0,ROUND(C67*D68,0))</f>
        <v>41</v>
      </c>
      <c r="D68" s="747">
        <f>'数据-取费表'!B41</f>
        <v>5.6000000000000001E-2</v>
      </c>
      <c r="E68" s="2257"/>
      <c r="F68" s="2215"/>
      <c r="G68" s="2215"/>
      <c r="H68" s="984"/>
      <c r="I68" s="983"/>
      <c r="J68" s="3343"/>
      <c r="K68" s="2244" t="s">
        <v>963</v>
      </c>
      <c r="L68" s="2244">
        <f ca="1">IF(M49&gt;10000,M49*0.5%,IF(AND(M49&gt;5000,M49&lt;=10000),M49*1%,IF(AND(M49&gt;1000,M49&lt;=5000),M49*2%,IF(AND(M49&gt;200,M49&lt;=1000),M49*3%,M49*5%))))</f>
        <v>22.86</v>
      </c>
      <c r="M68" s="1837">
        <f ca="1">ROUND(L68,1)</f>
        <v>22.9</v>
      </c>
      <c r="N68" s="2245"/>
      <c r="Z68" s="2081"/>
      <c r="AI68" s="2082"/>
    </row>
    <row r="69" spans="1:35" ht="16.5" customHeight="1">
      <c r="A69" s="2258"/>
      <c r="B69" s="2259"/>
      <c r="C69" s="2260"/>
      <c r="D69" s="813"/>
      <c r="E69" s="2261"/>
      <c r="F69" s="2236"/>
      <c r="G69" s="2236"/>
      <c r="H69" s="2173"/>
      <c r="I69" s="1858"/>
      <c r="J69" s="3343"/>
      <c r="K69" s="2244" t="s">
        <v>964</v>
      </c>
      <c r="L69" s="2244"/>
      <c r="M69" s="1837">
        <f ca="1">ROUND(SUM(M63:M68),0)</f>
        <v>57</v>
      </c>
      <c r="N69" s="2262">
        <f ca="1">M69/M49</f>
        <v>7.4803149606299218E-2</v>
      </c>
      <c r="Z69" s="2081"/>
      <c r="AI69" s="2082"/>
    </row>
    <row r="70" spans="1:35" s="881" customFormat="1" ht="14.25">
      <c r="A70" s="3297" t="s">
        <v>965</v>
      </c>
      <c r="B70" s="3298"/>
      <c r="C70" s="3298"/>
      <c r="D70" s="3298"/>
      <c r="E70" s="3298"/>
      <c r="F70" s="3298"/>
      <c r="G70" s="3298"/>
      <c r="H70" s="3298"/>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726</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4</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1" t="s">
        <v>975</v>
      </c>
      <c r="F76" s="3289"/>
      <c r="G76" s="3289"/>
      <c r="H76" s="3342"/>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4</v>
      </c>
      <c r="D78" s="2281">
        <f>'数据-取费表'!B43</f>
        <v>6.0000000000000001E-3</v>
      </c>
      <c r="E78" s="3303" t="s">
        <v>980</v>
      </c>
      <c r="F78" s="3304"/>
      <c r="G78" s="3304"/>
      <c r="H78" s="3305"/>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722</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180.5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432</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297" t="s">
        <v>985</v>
      </c>
      <c r="B83" s="3298"/>
      <c r="C83" s="3298"/>
      <c r="D83" s="3298"/>
      <c r="E83" s="3298"/>
      <c r="F83" s="3298"/>
      <c r="G83" s="3298"/>
      <c r="H83" s="3298"/>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726</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4</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1" t="s">
        <v>993</v>
      </c>
      <c r="H90" s="3302"/>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3" t="s">
        <v>997</v>
      </c>
      <c r="F91" s="3304"/>
      <c r="G91" s="3304"/>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3" t="s">
        <v>1000</v>
      </c>
      <c r="F92" s="3304"/>
      <c r="G92" s="3304"/>
      <c r="H92" s="3305"/>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4</v>
      </c>
      <c r="D93" s="2281">
        <f>'数据-取费表'!B43</f>
        <v>6.0000000000000001E-3</v>
      </c>
      <c r="E93" s="3303" t="s">
        <v>980</v>
      </c>
      <c r="F93" s="3304"/>
      <c r="G93" s="3304"/>
      <c r="H93" s="3305"/>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27" t="s">
        <v>1005</v>
      </c>
      <c r="F94" s="3328"/>
      <c r="G94" s="3328"/>
      <c r="H94" s="3329"/>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722</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180.5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432</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9" t="s">
        <v>1007</v>
      </c>
      <c r="B100" s="3260"/>
      <c r="C100" s="3260"/>
      <c r="D100" s="3330"/>
      <c r="E100" s="3260" t="s">
        <v>1008</v>
      </c>
      <c r="F100" s="3260"/>
      <c r="G100" s="3260"/>
      <c r="H100" s="3330"/>
      <c r="I100" s="983"/>
    </row>
    <row r="101" spans="1:35" ht="18.75" customHeight="1">
      <c r="A101" s="3331" t="s">
        <v>1009</v>
      </c>
      <c r="B101" s="3332"/>
      <c r="C101" s="2307" t="str">
        <f>C4</f>
        <v>比较法-办公</v>
      </c>
      <c r="D101" s="2308" t="str">
        <f>D4</f>
        <v>收益法 (元)办公</v>
      </c>
      <c r="E101" s="3349" t="s">
        <v>1010</v>
      </c>
      <c r="F101" s="3345"/>
      <c r="G101" s="2310" t="s">
        <v>1011</v>
      </c>
      <c r="H101" s="2311">
        <f ca="1">H118</f>
        <v>762</v>
      </c>
      <c r="I101" s="983"/>
    </row>
    <row r="102" spans="1:35" ht="18.75" customHeight="1">
      <c r="A102" s="3356" t="s">
        <v>1012</v>
      </c>
      <c r="B102" s="2312" t="s">
        <v>1011</v>
      </c>
      <c r="C102" s="2307">
        <f ca="1">IF(D32="楼面单价",ROUND(C19,0),C19)</f>
        <v>955</v>
      </c>
      <c r="D102" s="2308">
        <f ca="1">IF(D32="楼面单价",ROUND(D19,0),D19)</f>
        <v>311</v>
      </c>
      <c r="E102" s="3349"/>
      <c r="F102" s="3345"/>
      <c r="G102" s="2310" t="s">
        <v>99</v>
      </c>
      <c r="H102" s="2204">
        <f ca="1">I118</f>
        <v>25738</v>
      </c>
      <c r="I102" s="983"/>
    </row>
    <row r="103" spans="1:35" ht="42.75" customHeight="1">
      <c r="A103" s="3356"/>
      <c r="B103" s="2312" t="s">
        <v>99</v>
      </c>
      <c r="C103" s="2313">
        <f ca="1">C20</f>
        <v>32272</v>
      </c>
      <c r="D103" s="2314">
        <f ca="1">D20</f>
        <v>10491</v>
      </c>
      <c r="E103" s="3333" t="s">
        <v>1013</v>
      </c>
      <c r="F103" s="3334"/>
      <c r="G103" s="2315" t="s">
        <v>102</v>
      </c>
      <c r="H103" s="2311">
        <f>IF(D36="正常操作",H104+H105+H106,H105+H106)</f>
        <v>0</v>
      </c>
      <c r="I103" s="983"/>
    </row>
    <row r="104" spans="1:35" ht="18.75" customHeight="1">
      <c r="A104" s="3356" t="s">
        <v>1014</v>
      </c>
      <c r="B104" s="2316" t="s">
        <v>1011</v>
      </c>
      <c r="C104" s="2317">
        <f ca="1">H118</f>
        <v>762</v>
      </c>
      <c r="D104" s="2318"/>
      <c r="E104" s="2158" t="s">
        <v>1015</v>
      </c>
      <c r="F104" s="2319"/>
      <c r="G104" s="2315" t="s">
        <v>102</v>
      </c>
      <c r="H104" s="2320">
        <f>IF(D36="同一抵押权人同一抵押物续贷",C36&amp;"（续贷，未扣减，详见特别提示）",C36)</f>
        <v>0</v>
      </c>
      <c r="I104" s="983"/>
    </row>
    <row r="105" spans="1:35" ht="18.75" customHeight="1">
      <c r="A105" s="3357"/>
      <c r="B105" s="2321" t="s">
        <v>99</v>
      </c>
      <c r="C105" s="2322">
        <f ca="1">I118</f>
        <v>25738</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7618448</v>
      </c>
      <c r="E107" s="3344" t="str">
        <f>IF(项目基本情况!E8="已注销","——","3.房地产抵押价值")</f>
        <v>3.房地产抵押价值</v>
      </c>
      <c r="F107" s="3345"/>
      <c r="G107" s="2310" t="s">
        <v>1011</v>
      </c>
      <c r="H107" s="2311">
        <f ca="1">IF(E107="——","——",H101-H103)</f>
        <v>762</v>
      </c>
      <c r="I107" s="983"/>
    </row>
    <row r="108" spans="1:35" ht="18.75" customHeight="1">
      <c r="A108" s="983"/>
      <c r="B108" s="983"/>
      <c r="C108" s="983"/>
      <c r="D108" s="983"/>
      <c r="E108" s="3344"/>
      <c r="F108" s="3345"/>
      <c r="G108" s="2310" t="s">
        <v>99</v>
      </c>
      <c r="H108" s="2204">
        <f ca="1">IF(H107=H101,H102,ROUND(H107*10000/'数据-汇总表'!E3,0))</f>
        <v>25738</v>
      </c>
      <c r="I108" s="983"/>
    </row>
    <row r="109" spans="1:35" ht="18.75" customHeight="1">
      <c r="A109" s="983"/>
      <c r="B109" s="983"/>
      <c r="C109" s="983"/>
      <c r="D109" s="983"/>
      <c r="E109" s="3344" t="str">
        <f>IF(项目基本情况!E8="已注销及未注销","4.抵押担保权已注销时的房地产抵押价值",IF(项目基本情况!E8="已注销","3.抵押担保权已注销时的房地产抵押价值","——"))</f>
        <v>——</v>
      </c>
      <c r="F109" s="3345"/>
      <c r="G109" s="2310" t="s">
        <v>1011</v>
      </c>
      <c r="H109" s="2326" t="str">
        <f>IF(E109="——","——",H101-H105-H106)</f>
        <v>——</v>
      </c>
      <c r="I109" s="983"/>
    </row>
    <row r="110" spans="1:35" ht="18.75" customHeight="1">
      <c r="A110" s="983"/>
      <c r="B110" s="983"/>
      <c r="C110" s="983"/>
      <c r="D110" s="983"/>
      <c r="E110" s="3344"/>
      <c r="F110" s="3345"/>
      <c r="G110" s="2310" t="s">
        <v>99</v>
      </c>
      <c r="H110" s="2204" t="str">
        <f>IF(H109="——","——",ROUND(H109*10000/'数据-汇总表'!E3,0))</f>
        <v>——</v>
      </c>
      <c r="I110" s="983"/>
    </row>
    <row r="111" spans="1:35" ht="18.75" customHeight="1">
      <c r="A111" s="983"/>
      <c r="B111" s="983"/>
      <c r="C111" s="983"/>
      <c r="D111" s="983"/>
      <c r="E111" s="3346" t="str">
        <f>IF(项目基本情况!E9="抵押净值",IF(OR(项目基本情况!E8="已注销",项目基本情况!E8="房地产抵押价值"),"4.抵押净值","5.抵押净值"),"——")</f>
        <v>——</v>
      </c>
      <c r="F111" s="3314"/>
      <c r="G111" s="2310" t="s">
        <v>1011</v>
      </c>
      <c r="H111" s="2311" t="str">
        <f>IF(E111="——","——",N59)</f>
        <v>——</v>
      </c>
      <c r="I111" s="983"/>
    </row>
    <row r="112" spans="1:35" ht="18.75" customHeight="1">
      <c r="A112" s="983"/>
      <c r="B112" s="983"/>
      <c r="C112" s="983"/>
      <c r="D112" s="983"/>
      <c r="E112" s="3347"/>
      <c r="F112" s="3348"/>
      <c r="G112" s="2327" t="s">
        <v>99</v>
      </c>
      <c r="H112" s="2328" t="str">
        <f>IF(E111="——","——",N61)</f>
        <v>——</v>
      </c>
      <c r="I112" s="983"/>
    </row>
    <row r="113" spans="1:27" ht="18.75" customHeight="1">
      <c r="A113" s="983"/>
      <c r="B113" s="983"/>
      <c r="C113" s="983"/>
      <c r="D113" s="983"/>
      <c r="E113" s="3335" t="s">
        <v>1017</v>
      </c>
      <c r="F113" s="3335"/>
      <c r="G113" s="3335"/>
      <c r="H113" s="3335"/>
      <c r="I113" s="983"/>
    </row>
    <row r="114" spans="1:27" ht="3.75" customHeight="1">
      <c r="A114" s="1858"/>
      <c r="B114" s="1858"/>
      <c r="C114" s="1858"/>
      <c r="D114" s="1858"/>
      <c r="E114" s="2235"/>
      <c r="F114" s="2235"/>
      <c r="G114" s="2235"/>
      <c r="H114" s="2235"/>
      <c r="I114" s="1858"/>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4" t="s">
        <v>1026</v>
      </c>
      <c r="E117" s="844" t="s">
        <v>853</v>
      </c>
      <c r="F117" s="844" t="s">
        <v>1026</v>
      </c>
      <c r="G117" s="844" t="s">
        <v>853</v>
      </c>
      <c r="H117" s="844" t="s">
        <v>1026</v>
      </c>
      <c r="I117" s="844" t="s">
        <v>853</v>
      </c>
    </row>
    <row r="118" spans="1:27" ht="24.75" customHeight="1">
      <c r="A118" s="2329" t="str">
        <f>项目基本情况!S2</f>
        <v>北京市房地产</v>
      </c>
      <c r="B118" s="844">
        <f>M18</f>
        <v>296</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762</v>
      </c>
      <c r="I118" s="844">
        <f ca="1">ROUND(IF(D32="楼面单价",C32,H118*10000/B118),0)</f>
        <v>25738</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柒佰陆拾贰万元整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19" t="s">
        <v>1027</v>
      </c>
      <c r="B121" s="3320"/>
      <c r="C121" s="3321"/>
      <c r="D121" s="3319" t="str">
        <f>IF(D120=0,"零元整",NUMBERSTRING(INT(D120*10000),2)&amp;"元整")</f>
        <v>零元整</v>
      </c>
      <c r="E121" s="3320"/>
      <c r="F121" s="3320"/>
      <c r="G121" s="3320"/>
      <c r="H121" s="3320"/>
      <c r="I121" s="3321"/>
      <c r="AA121" s="899"/>
    </row>
    <row r="122" spans="1:27" ht="18.75" customHeight="1">
      <c r="A122" s="3314" t="str">
        <f>IF(项目基本情况!B9="房地产市场价值","",MID(E107,3,LEN(E107)-2))</f>
        <v>房地产抵押价值</v>
      </c>
      <c r="B122" s="3314"/>
      <c r="C122" s="3314"/>
      <c r="D122" s="3315">
        <f ca="1">H107</f>
        <v>762</v>
      </c>
      <c r="E122" s="3316"/>
      <c r="F122" s="3316"/>
      <c r="G122" s="3316"/>
      <c r="H122" s="3316"/>
      <c r="I122" s="3317"/>
      <c r="AA122" s="899"/>
    </row>
    <row r="123" spans="1:27" ht="18.75" customHeight="1">
      <c r="A123" s="3318" t="s">
        <v>1027</v>
      </c>
      <c r="B123" s="3318"/>
      <c r="C123" s="3318"/>
      <c r="D123" s="3319" t="str">
        <f ca="1">NUMBERSTRING(INT(D122*10000),2)&amp;"元整"</f>
        <v>柒佰陆拾贰万元整</v>
      </c>
      <c r="E123" s="3320"/>
      <c r="F123" s="3320"/>
      <c r="G123" s="3320"/>
      <c r="H123" s="3320"/>
      <c r="I123" s="3321"/>
      <c r="AA123" s="899"/>
    </row>
    <row r="124" spans="1:27" ht="18.75" customHeight="1">
      <c r="A124" s="3314" t="str">
        <f>IF(项目基本情况!B9="房地产市场价值","",MID(E109,3,LEN(E109)-2))</f>
        <v/>
      </c>
      <c r="B124" s="3314"/>
      <c r="C124" s="3314"/>
      <c r="D124" s="3315" t="str">
        <f>H109</f>
        <v>——</v>
      </c>
      <c r="E124" s="3316"/>
      <c r="F124" s="3316"/>
      <c r="G124" s="3316"/>
      <c r="H124" s="3316"/>
      <c r="I124" s="3317"/>
      <c r="AA124" s="899"/>
    </row>
    <row r="125" spans="1:27" ht="18.75" customHeight="1">
      <c r="A125" s="3318" t="s">
        <v>1027</v>
      </c>
      <c r="B125" s="3318"/>
      <c r="C125" s="3318"/>
      <c r="D125" s="3319" t="e">
        <f>NUMBERSTRING(INT(D124*10000),2)&amp;"元整"</f>
        <v>#VALUE!</v>
      </c>
      <c r="E125" s="3320"/>
      <c r="F125" s="3320"/>
      <c r="G125" s="3320"/>
      <c r="H125" s="3320"/>
      <c r="I125" s="3321"/>
      <c r="AA125" s="899"/>
    </row>
    <row r="126" spans="1:27" ht="18.75" customHeight="1">
      <c r="A126" s="3314" t="str">
        <f>IF(项目基本情况!B9="房地产市场价值","",MID(E111,3,LEN(E111)-2))</f>
        <v/>
      </c>
      <c r="B126" s="3314"/>
      <c r="C126" s="3314"/>
      <c r="D126" s="3315" t="str">
        <f>H111</f>
        <v>——</v>
      </c>
      <c r="E126" s="3316"/>
      <c r="F126" s="3316"/>
      <c r="G126" s="3316"/>
      <c r="H126" s="3316"/>
      <c r="I126" s="3317"/>
      <c r="AA126" s="899"/>
    </row>
    <row r="127" spans="1:27" ht="18.75" customHeight="1">
      <c r="A127" s="3318" t="s">
        <v>1027</v>
      </c>
      <c r="B127" s="3318"/>
      <c r="C127" s="3318"/>
      <c r="D127" s="3319" t="e">
        <f>NUMBERSTRING(INT(D126*10000),2)&amp;"元整"</f>
        <v>#VALUE!</v>
      </c>
      <c r="E127" s="3320"/>
      <c r="F127" s="3320"/>
      <c r="G127" s="3320"/>
      <c r="H127" s="3320"/>
      <c r="I127" s="3321"/>
      <c r="AA127" s="899"/>
    </row>
    <row r="128" spans="1:27" ht="21.75" customHeight="1">
      <c r="A128" s="3350" t="s">
        <v>113</v>
      </c>
      <c r="B128" s="3350"/>
      <c r="C128" s="3350"/>
      <c r="D128" s="3350"/>
      <c r="E128" s="3350"/>
      <c r="F128" s="3350"/>
      <c r="G128" s="3350"/>
      <c r="H128" s="3350"/>
      <c r="I128" s="3350"/>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071"/>
      <c r="C1" s="342"/>
      <c r="D1" s="342"/>
      <c r="E1" s="342"/>
      <c r="F1" s="342"/>
      <c r="G1" s="2073">
        <f>MATCH(B1,'数据-取费表'!A6:A16,0)+5</f>
        <v>7</v>
      </c>
    </row>
    <row r="2" spans="1:9" s="332" customFormat="1" ht="18" customHeight="1">
      <c r="A2" s="344" t="s">
        <v>1036</v>
      </c>
      <c r="B2" s="345">
        <f ca="1">IF(D2="——",C52,C52-E2)</f>
        <v>81301</v>
      </c>
      <c r="C2" s="343" t="s">
        <v>1037</v>
      </c>
      <c r="D2" s="2075" t="s">
        <v>124</v>
      </c>
      <c r="E2" s="2076" t="e">
        <f ca="1">SUMIF(INDIRECT("'"&amp;G2&amp;"'"&amp;"!A:A"),"承租人权益价值",INDIRECT("'"&amp;G2&amp;"'"&amp;"!c:c"))</f>
        <v>#REF!</v>
      </c>
      <c r="F2" s="2077" t="s">
        <v>1037</v>
      </c>
      <c r="G2" s="2078"/>
    </row>
    <row r="3" spans="1:9" s="332" customFormat="1" ht="18" customHeight="1">
      <c r="A3" s="347" t="s">
        <v>1038</v>
      </c>
      <c r="B3" s="348">
        <f ca="1">ROUND(B2*10000/(IF(B1="",'数据-汇总表'!E3,INDIRECT("'数据-取费表'!k"&amp;$G$1))),0)</f>
        <v>2746655</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59200</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59200</v>
      </c>
      <c r="D8" s="365"/>
      <c r="E8" s="363"/>
      <c r="F8" s="364"/>
      <c r="G8" s="2079"/>
    </row>
    <row r="9" spans="1:9" s="334" customFormat="1" ht="13.5" customHeight="1">
      <c r="A9" s="367" t="s">
        <v>1051</v>
      </c>
      <c r="B9" s="368" t="s">
        <v>1052</v>
      </c>
      <c r="C9" s="369">
        <f ca="1">ROUND(D9*E9/10000,0)</f>
        <v>0</v>
      </c>
      <c r="D9" s="370">
        <f ca="1">IF(B1="",'数据-汇总表'!E5,IF(INDIRECT("'数据-取费表'!c"&amp;$G$1)="住宅",INDIRECT("'数据-取费表'!k"&amp;$G$1),0))</f>
        <v>0</v>
      </c>
      <c r="E9" s="369">
        <f>'数据-取费表'!B27</f>
        <v>0</v>
      </c>
      <c r="F9" s="364"/>
      <c r="G9" s="2490"/>
      <c r="H9" s="2491"/>
      <c r="I9" s="2492" t="s">
        <v>1053</v>
      </c>
    </row>
    <row r="10" spans="1:9" s="334" customFormat="1" ht="13.5" customHeight="1">
      <c r="A10" s="367" t="s">
        <v>1054</v>
      </c>
      <c r="B10" s="368" t="s">
        <v>1055</v>
      </c>
      <c r="C10" s="369">
        <f ca="1">ROUND(D10*E10/10000,0)</f>
        <v>6</v>
      </c>
      <c r="D10" s="370">
        <f ca="1">IF(B1="",'数据-汇总表'!E6,IF(INDIRECT("'数据-取费表'!c"&amp;$G$1)="住宅",INDIRECT("'数据-取费表'!s"&amp;$G$1),INDIRECT("'数据-取费表'!k"&amp;$G$1)+INDIRECT("'数据-取费表'!s"&amp;$G$1)))</f>
        <v>296</v>
      </c>
      <c r="E10" s="369">
        <f>'数据-取费表'!B28</f>
        <v>200</v>
      </c>
      <c r="F10" s="364"/>
      <c r="G10" s="371"/>
    </row>
    <row r="11" spans="1:9" s="334" customFormat="1" ht="13.5" hidden="1" customHeight="1">
      <c r="A11" s="372" t="s">
        <v>1056</v>
      </c>
      <c r="B11" s="358" t="s">
        <v>1057</v>
      </c>
      <c r="C11" s="354"/>
      <c r="D11" s="361"/>
      <c r="E11" s="361"/>
      <c r="F11" s="361"/>
      <c r="G11" s="362"/>
    </row>
    <row r="12" spans="1:9" s="334" customFormat="1" ht="13.5" hidden="1" customHeight="1">
      <c r="A12" s="372" t="s">
        <v>1058</v>
      </c>
      <c r="B12" s="358" t="s">
        <v>977</v>
      </c>
      <c r="C12" s="354">
        <v>0</v>
      </c>
      <c r="D12" s="361"/>
      <c r="E12" s="373"/>
      <c r="F12" s="364">
        <v>3.0499999999999999E-2</v>
      </c>
      <c r="G12" s="362"/>
    </row>
    <row r="13" spans="1:9" s="334" customFormat="1" ht="13.5" hidden="1" customHeight="1">
      <c r="A13" s="372" t="s">
        <v>1059</v>
      </c>
      <c r="B13" s="358" t="s">
        <v>1060</v>
      </c>
      <c r="C13" s="354"/>
      <c r="D13" s="361"/>
      <c r="E13" s="361"/>
      <c r="F13" s="361"/>
      <c r="G13" s="362"/>
    </row>
    <row r="14" spans="1:9" s="334" customFormat="1" ht="13.5" hidden="1" customHeight="1">
      <c r="A14" s="372" t="s">
        <v>1061</v>
      </c>
      <c r="B14" s="358" t="s">
        <v>1050</v>
      </c>
      <c r="C14" s="354"/>
      <c r="D14" s="361"/>
      <c r="E14" s="361"/>
      <c r="F14" s="361"/>
      <c r="G14" s="362" t="s">
        <v>1062</v>
      </c>
    </row>
    <row r="15" spans="1:9" s="334" customFormat="1" ht="13.5" hidden="1" customHeight="1">
      <c r="A15" s="372" t="s">
        <v>1063</v>
      </c>
      <c r="B15" s="358" t="s">
        <v>1064</v>
      </c>
      <c r="C15" s="363"/>
      <c r="D15" s="361"/>
      <c r="E15" s="361"/>
      <c r="F15" s="361"/>
      <c r="G15" s="362" t="s">
        <v>1065</v>
      </c>
    </row>
    <row r="16" spans="1:9"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f ca="1">IF(G19="已包含在土地取得成本中","0",ROUND(D19*E19/10000,0))</f>
        <v>6</v>
      </c>
      <c r="D19" s="355">
        <f ca="1">D9+D10</f>
        <v>296</v>
      </c>
      <c r="E19" s="354">
        <f>'数据-取费表'!B31</f>
        <v>200</v>
      </c>
      <c r="F19" s="376"/>
      <c r="G19" s="2079"/>
    </row>
    <row r="20" spans="1:7" s="334" customFormat="1" ht="13.5" customHeight="1">
      <c r="A20" s="352" t="s">
        <v>1074</v>
      </c>
      <c r="B20" s="353" t="s">
        <v>1075</v>
      </c>
      <c r="C20" s="377">
        <f ca="1">ROUND((C5+C19)*F20,0)</f>
        <v>1776</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83">
        <f ca="1">ROUND(SUM(C23:C25),0)</f>
        <v>3820</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6">
        <f ca="1">ROUND(IF('数据-取费表'!B22&lt;=1,C5*F22*'数据-取费表'!B23,C5*(POWER((1+F22),'数据-取费表'!B23)-1)),0)</f>
        <v>3764</v>
      </c>
      <c r="D23" s="387"/>
      <c r="E23" s="387"/>
      <c r="F23" s="388"/>
      <c r="G23" s="389" t="s">
        <v>1084</v>
      </c>
    </row>
    <row r="24" spans="1:7" s="334" customFormat="1" ht="13.5" customHeight="1">
      <c r="A24" s="385" t="s">
        <v>1047</v>
      </c>
      <c r="B24" s="358" t="s">
        <v>1085</v>
      </c>
      <c r="C24" s="386">
        <f ca="1">ROUND(IF('数据-取费表'!B22&lt;=1,C19*F22*('数据-取费表'!B19/2+'数据-取费表'!B21),C19*(POWER((1+F22),('数据-取费表'!B19/2+'数据-取费表'!B21))-1)),0)</f>
        <v>0</v>
      </c>
      <c r="D24" s="387"/>
      <c r="E24" s="387"/>
      <c r="F24" s="388"/>
      <c r="G24" s="389" t="s">
        <v>1086</v>
      </c>
    </row>
    <row r="25" spans="1:7" s="334" customFormat="1" ht="24">
      <c r="A25" s="385" t="s">
        <v>1049</v>
      </c>
      <c r="B25" s="358" t="s">
        <v>1087</v>
      </c>
      <c r="C25" s="386">
        <f ca="1">ROUND(IF('数据-取费表'!B22&lt;=1,C20*F22*'数据-取费表'!B23/2,C20*(POWER((1+F22),'数据-取费表'!B23/2)-1)),0)</f>
        <v>56</v>
      </c>
      <c r="D25" s="387"/>
      <c r="E25" s="390"/>
      <c r="F25" s="388"/>
      <c r="G25" s="391" t="s">
        <v>1088</v>
      </c>
    </row>
    <row r="26" spans="1:7" s="334" customFormat="1">
      <c r="A26" s="385" t="s">
        <v>1089</v>
      </c>
      <c r="B26" s="358" t="s">
        <v>1090</v>
      </c>
      <c r="C26" s="387">
        <f ca="1">ROUND(IF('数据-取费表'!B22&lt;=1,F21*F22*'数据-取费表'!B23/2,F21*(POWER((1+F22),'数据-取费表'!B23/2)-1)),4)</f>
        <v>8.9999999999999998E-4</v>
      </c>
      <c r="D26" s="387"/>
      <c r="E26" s="390"/>
      <c r="F26" s="388"/>
      <c r="G26" s="392"/>
    </row>
    <row r="27" spans="1:7" s="334" customFormat="1" ht="24.75">
      <c r="A27" s="352" t="s">
        <v>1091</v>
      </c>
      <c r="B27" s="393" t="s">
        <v>1092</v>
      </c>
      <c r="C27" s="394">
        <f ca="1">C28</f>
        <v>9147</v>
      </c>
      <c r="D27" s="380">
        <f ca="1">C29</f>
        <v>4.4999999999999997E-3</v>
      </c>
      <c r="E27" s="381" t="s">
        <v>1079</v>
      </c>
      <c r="F27" s="395">
        <f ca="1">IF(B1="",'数据-取费表'!Q16,INDIRECT("'数据-取费表'!q"&amp;$G$1))</f>
        <v>0.15</v>
      </c>
      <c r="G27" s="396" t="s">
        <v>1093</v>
      </c>
    </row>
    <row r="28" spans="1:7" s="334" customFormat="1" ht="13.5" customHeight="1">
      <c r="A28" s="385" t="s">
        <v>1045</v>
      </c>
      <c r="B28" s="397" t="s">
        <v>1094</v>
      </c>
      <c r="C28" s="398">
        <f ca="1">ROUND((C5+C19+C20)*F27*'数据-取费表'!B21/'数据-取费表'!B20,0)</f>
        <v>9147</v>
      </c>
      <c r="D28" s="380"/>
      <c r="E28" s="381"/>
      <c r="F28" s="395"/>
      <c r="G28" s="396"/>
    </row>
    <row r="29" spans="1:7" s="334" customFormat="1" ht="13.5" customHeight="1">
      <c r="A29" s="385" t="s">
        <v>1047</v>
      </c>
      <c r="B29" s="397" t="s">
        <v>1095</v>
      </c>
      <c r="C29" s="387">
        <f ca="1">ROUND(C21*F27*'数据-取费表'!B21/'数据-取费表'!B20,4)</f>
        <v>4.4999999999999997E-3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81147</v>
      </c>
      <c r="D31" s="400"/>
      <c r="E31" s="354"/>
      <c r="F31" s="401"/>
      <c r="G31" s="382" t="s">
        <v>1100</v>
      </c>
    </row>
    <row r="32" spans="1:7" s="333" customFormat="1" ht="15.75">
      <c r="A32" s="402" t="s">
        <v>1101</v>
      </c>
      <c r="B32" s="403"/>
      <c r="C32" s="403"/>
      <c r="D32" s="403"/>
      <c r="E32" s="403"/>
      <c r="F32" s="403"/>
      <c r="G32" s="404"/>
    </row>
    <row r="33" spans="1:7" s="334" customFormat="1" ht="13.5" customHeight="1">
      <c r="A33" s="352" t="s">
        <v>1041</v>
      </c>
      <c r="B33" s="353" t="s">
        <v>1102</v>
      </c>
      <c r="C33" s="405">
        <f ca="1">SUM(C34:C38)</f>
        <v>153</v>
      </c>
      <c r="D33" s="377"/>
      <c r="E33" s="355"/>
      <c r="F33" s="390"/>
      <c r="G33" s="382"/>
    </row>
    <row r="34" spans="1:7" s="336" customFormat="1" ht="13.5" customHeight="1">
      <c r="A34" s="385" t="s">
        <v>1045</v>
      </c>
      <c r="B34" s="358" t="s">
        <v>1103</v>
      </c>
      <c r="C34" s="363">
        <f ca="1">IF(B1="",IF(F34=100%,'数据-取费表'!M16,'数据-取费表'!O16),IF(F34=100%,INDIRECT("'数据-取费表'!m"&amp;$G$1)+INDIRECT("'数据-取费表'!t"&amp;$G$1),INDIRECT("'数据-取费表'!o"&amp;$G$1)+INDIRECT("'数据-取费表'!aq"&amp;$G$1)))</f>
        <v>133</v>
      </c>
      <c r="D34" s="360"/>
      <c r="E34" s="363"/>
      <c r="F34" s="406">
        <f ca="1">IF('数据-取费表'!B24=0,1,IF(B1="",'数据-取费表'!N16,INDIRECT("'数据-取费表'!n"&amp;$G$1)))</f>
        <v>1</v>
      </c>
      <c r="G34" s="362" t="s">
        <v>1104</v>
      </c>
    </row>
    <row r="35" spans="1:7" ht="13.5" customHeight="1">
      <c r="A35" s="385" t="s">
        <v>1047</v>
      </c>
      <c r="B35" s="358" t="s">
        <v>1105</v>
      </c>
      <c r="C35" s="363">
        <f ca="1">ROUND(C34*F35,0)</f>
        <v>11</v>
      </c>
      <c r="D35" s="363"/>
      <c r="E35" s="363"/>
      <c r="F35" s="407">
        <f>'数据-取费表'!B33</f>
        <v>0.08</v>
      </c>
      <c r="G35" s="362" t="s">
        <v>1106</v>
      </c>
    </row>
    <row r="36" spans="1:7" ht="24">
      <c r="A36" s="385" t="s">
        <v>1049</v>
      </c>
      <c r="B36" s="358" t="s">
        <v>1107</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1108</v>
      </c>
    </row>
    <row r="37" spans="1:7" s="336" customFormat="1" ht="13.5" customHeight="1">
      <c r="A37" s="385" t="s">
        <v>1089</v>
      </c>
      <c r="B37" s="358" t="s">
        <v>1109</v>
      </c>
      <c r="C37" s="398">
        <f ca="1">ROUND(E37*D37*F34/10000,0)</f>
        <v>6</v>
      </c>
      <c r="D37" s="360">
        <f ca="1">D19</f>
        <v>296</v>
      </c>
      <c r="E37" s="398">
        <f>'数据-取费表'!B35</f>
        <v>200</v>
      </c>
      <c r="F37" s="407"/>
      <c r="G37" s="409" t="s">
        <v>1110</v>
      </c>
    </row>
    <row r="38" spans="1:7" ht="13.5" customHeight="1">
      <c r="A38" s="385" t="s">
        <v>1111</v>
      </c>
      <c r="B38" s="358" t="s">
        <v>977</v>
      </c>
      <c r="C38" s="363">
        <f ca="1">ROUND(C34*F38,0)</f>
        <v>3</v>
      </c>
      <c r="D38" s="363"/>
      <c r="E38" s="363"/>
      <c r="F38" s="407">
        <f>'数据-取费表'!B36</f>
        <v>0.02</v>
      </c>
      <c r="G38" s="362" t="s">
        <v>1106</v>
      </c>
    </row>
    <row r="39" spans="1:7" s="334" customFormat="1" ht="13.5" customHeight="1">
      <c r="A39" s="352" t="s">
        <v>1072</v>
      </c>
      <c r="B39" s="353" t="s">
        <v>1075</v>
      </c>
      <c r="C39" s="377">
        <f ca="1">ROUND(C33*F20,0)</f>
        <v>5</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5</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ROUND(IF('数据-取费表'!B22&lt;=1,C33*F22*'数据-取费表'!B21/2,C33*(POWER((1+F22),'数据-取费表'!B21/2)-1)),0)</f>
        <v>5</v>
      </c>
      <c r="D42" s="387"/>
      <c r="E42" s="387"/>
      <c r="F42" s="388"/>
      <c r="G42" s="3359" t="s">
        <v>1115</v>
      </c>
    </row>
    <row r="43" spans="1:7" ht="13.5" customHeight="1">
      <c r="A43" s="385" t="s">
        <v>1047</v>
      </c>
      <c r="B43" s="358" t="s">
        <v>1085</v>
      </c>
      <c r="C43" s="387">
        <f ca="1">ROUND(IF('数据-取费表'!B22&lt;=1,C39*F22*'数据-取费表'!B21/2,C39*(POWER((1+F22),'数据-取费表'!B21/2)-1)),0)</f>
        <v>0</v>
      </c>
      <c r="D43" s="387"/>
      <c r="E43" s="387"/>
      <c r="F43" s="388"/>
      <c r="G43" s="3360"/>
    </row>
    <row r="44" spans="1:7" ht="13.5" customHeight="1">
      <c r="A44" s="385" t="s">
        <v>1049</v>
      </c>
      <c r="B44" s="358" t="s">
        <v>1087</v>
      </c>
      <c r="C44" s="387">
        <f ca="1">ROUND(IF('数据-取费表'!B22&lt;=1,C40*F22*'数据-取费表'!B21/2,C40*(POWER((1+F22),'数据-取费表'!B21/2)-1)),4)</f>
        <v>8.9999999999999998E-4</v>
      </c>
      <c r="D44" s="387"/>
      <c r="E44" s="387"/>
      <c r="F44" s="388"/>
      <c r="G44" s="3361"/>
    </row>
    <row r="45" spans="1:7" s="334" customFormat="1" ht="13.5" customHeight="1">
      <c r="A45" s="352" t="s">
        <v>1081</v>
      </c>
      <c r="B45" s="393" t="s">
        <v>1092</v>
      </c>
      <c r="C45" s="394">
        <f ca="1">C46</f>
        <v>24</v>
      </c>
      <c r="D45" s="380">
        <f ca="1">C47</f>
        <v>4.4999999999999997E-3</v>
      </c>
      <c r="E45" s="381" t="s">
        <v>1113</v>
      </c>
      <c r="F45" s="395">
        <f ca="1">F27</f>
        <v>0.15</v>
      </c>
      <c r="G45" s="396" t="s">
        <v>1116</v>
      </c>
    </row>
    <row r="46" spans="1:7" s="334" customFormat="1" ht="13.5" customHeight="1">
      <c r="A46" s="385" t="s">
        <v>1045</v>
      </c>
      <c r="B46" s="397" t="s">
        <v>1117</v>
      </c>
      <c r="C46" s="398">
        <f ca="1">ROUND((C33+C39)*F27,0)</f>
        <v>24</v>
      </c>
      <c r="D46" s="411"/>
      <c r="E46" s="381"/>
      <c r="F46" s="395"/>
      <c r="G46" s="396"/>
    </row>
    <row r="47" spans="1:7" s="334" customFormat="1" ht="13.5" customHeight="1">
      <c r="A47" s="385" t="s">
        <v>1047</v>
      </c>
      <c r="B47" s="397" t="s">
        <v>1118</v>
      </c>
      <c r="C47" s="387">
        <f ca="1">ROUND(C40*F27,4)</f>
        <v>4.4999999999999997E-3</v>
      </c>
      <c r="D47" s="411"/>
      <c r="E47" s="381"/>
      <c r="F47" s="395"/>
      <c r="G47" s="396"/>
    </row>
    <row r="48" spans="1:7" s="334" customFormat="1" ht="13.5" customHeight="1">
      <c r="A48" s="352" t="s">
        <v>1091</v>
      </c>
      <c r="B48" s="353" t="s">
        <v>1097</v>
      </c>
      <c r="C48" s="380">
        <f>ROUND(F30/(1+'数据-取费表'!C42),4)</f>
        <v>5.33E-2</v>
      </c>
      <c r="D48" s="381" t="s">
        <v>1113</v>
      </c>
      <c r="E48" s="377"/>
      <c r="F48" s="384">
        <f>F30</f>
        <v>5.6000000000000001E-2</v>
      </c>
      <c r="G48" s="382" t="s">
        <v>1119</v>
      </c>
    </row>
    <row r="49" spans="1:7" ht="16.5" customHeight="1">
      <c r="A49" s="352" t="s">
        <v>1096</v>
      </c>
      <c r="B49" s="353" t="s">
        <v>1120</v>
      </c>
      <c r="C49" s="377">
        <f ca="1">ROUND((C33+C39+C41+C45)/(1-C40-D41-D45-C48),0)</f>
        <v>205</v>
      </c>
      <c r="D49" s="377"/>
      <c r="E49" s="377"/>
      <c r="F49" s="412"/>
      <c r="G49" s="382" t="s">
        <v>1121</v>
      </c>
    </row>
    <row r="50" spans="1:7" s="336" customFormat="1" ht="24">
      <c r="A50" s="352" t="s">
        <v>1122</v>
      </c>
      <c r="B50" s="353" t="s">
        <v>1123</v>
      </c>
      <c r="C50" s="377"/>
      <c r="D50" s="377"/>
      <c r="E50" s="377"/>
      <c r="F50" s="412">
        <f>IF('数据-取费表'!B24=0,'数据-取费表'!N16,1)</f>
        <v>0.75</v>
      </c>
      <c r="G50" s="396" t="s">
        <v>1124</v>
      </c>
    </row>
    <row r="51" spans="1:7" ht="16.5" customHeight="1">
      <c r="A51" s="352" t="s">
        <v>1125</v>
      </c>
      <c r="B51" s="353" t="s">
        <v>1126</v>
      </c>
      <c r="C51" s="377">
        <f ca="1">ROUND(C49*F50,0)</f>
        <v>154</v>
      </c>
      <c r="D51" s="377"/>
      <c r="E51" s="377"/>
      <c r="F51" s="412"/>
      <c r="G51" s="382" t="s">
        <v>1127</v>
      </c>
    </row>
    <row r="52" spans="1:7" s="333" customFormat="1" ht="15.75">
      <c r="A52" s="413" t="s">
        <v>1128</v>
      </c>
      <c r="B52" s="414"/>
      <c r="C52" s="415">
        <f ca="1">C31+C51</f>
        <v>81301</v>
      </c>
      <c r="D52" s="414"/>
      <c r="E52" s="414"/>
      <c r="F52" s="414"/>
      <c r="G52" s="416"/>
    </row>
    <row r="55" spans="1:7" ht="15">
      <c r="B55" s="417" t="s">
        <v>1129</v>
      </c>
      <c r="C55" s="418"/>
    </row>
    <row r="56" spans="1:7">
      <c r="B56" s="419" t="s">
        <v>1130</v>
      </c>
      <c r="C56" s="421">
        <f ca="1">1-C57</f>
        <v>0.998</v>
      </c>
    </row>
    <row r="57" spans="1:7">
      <c r="B57" s="419" t="s">
        <v>1131</v>
      </c>
      <c r="C57" s="420">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408" customWidth="1"/>
    <col min="3" max="3" width="10.375" style="2409" customWidth="1"/>
    <col min="4" max="4" width="9.875" style="2408" customWidth="1"/>
    <col min="5" max="5" width="9.5" style="934"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spans="1:33" ht="20.25">
      <c r="A1" s="340" t="s">
        <v>1132</v>
      </c>
      <c r="B1" s="983"/>
      <c r="C1" s="2410"/>
      <c r="D1" s="2411"/>
      <c r="E1" s="2412"/>
      <c r="F1" s="2412"/>
      <c r="G1" s="2413"/>
      <c r="H1" s="2412"/>
      <c r="I1" s="2412"/>
      <c r="J1" s="2412"/>
      <c r="K1" s="2414">
        <f>MATCH(C1,'数据-取费表'!A6:A16,0)+5</f>
        <v>7</v>
      </c>
    </row>
    <row r="2" spans="1:33" ht="18" customHeight="1">
      <c r="A2" s="344" t="s">
        <v>1036</v>
      </c>
      <c r="B2" s="348">
        <f ca="1">C32</f>
        <v>68140</v>
      </c>
      <c r="C2" s="2415" t="s">
        <v>1133</v>
      </c>
      <c r="D2" s="2415"/>
      <c r="E2" s="2412"/>
      <c r="F2" s="2412"/>
      <c r="G2" s="2412"/>
      <c r="H2" s="2412"/>
      <c r="I2" s="2412"/>
      <c r="J2" s="2412"/>
      <c r="K2" s="2412"/>
    </row>
    <row r="3" spans="1:33" ht="18" customHeight="1">
      <c r="A3" s="347" t="s">
        <v>1038</v>
      </c>
      <c r="B3" s="348">
        <f ca="1">ROUND(B2*10000/IF(C1="",'数据-汇总表'!E3,INDIRECT("'数据-取费表'!K"&amp;$K$1)),0)</f>
        <v>2302027</v>
      </c>
      <c r="C3" s="2415" t="s">
        <v>1134</v>
      </c>
      <c r="D3" s="2415"/>
      <c r="E3" s="2412"/>
      <c r="F3" s="2412"/>
      <c r="G3" s="2412"/>
      <c r="H3" s="2412"/>
      <c r="I3" s="2412"/>
      <c r="J3" s="2412"/>
      <c r="K3" s="2412"/>
    </row>
    <row r="4" spans="1:33" s="2400" customFormat="1" ht="16.5" customHeight="1">
      <c r="A4" s="2416" t="s">
        <v>1135</v>
      </c>
      <c r="B4" s="2417"/>
      <c r="C4" s="2418">
        <f>SUM(C8:K8)</f>
        <v>0</v>
      </c>
      <c r="D4" s="2417"/>
      <c r="E4" s="2417"/>
      <c r="F4" s="2417"/>
      <c r="G4" s="2417"/>
      <c r="H4" s="2417"/>
      <c r="I4" s="2417"/>
      <c r="J4" s="2417"/>
      <c r="K4" s="2419"/>
    </row>
    <row r="5" spans="1:33" s="2401" customFormat="1" ht="15">
      <c r="A5" s="2136" t="s">
        <v>1136</v>
      </c>
      <c r="B5" s="2420" t="s">
        <v>1137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pans="1:33" s="898" customFormat="1" ht="13.5" customHeight="1">
      <c r="A6" s="2423" t="s">
        <v>946</v>
      </c>
      <c r="B6" s="1898" t="s">
        <v>1138</v>
      </c>
      <c r="C6" s="2424"/>
      <c r="D6" s="2424"/>
      <c r="E6" s="2424"/>
      <c r="F6" s="2424"/>
      <c r="G6" s="2424"/>
      <c r="H6" s="2424"/>
      <c r="I6" s="2424"/>
      <c r="J6" s="2424"/>
      <c r="K6" s="2425"/>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423" t="s">
        <v>950</v>
      </c>
      <c r="B7" s="1898"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428" t="s">
        <v>995</v>
      </c>
      <c r="B8" s="2429" t="s">
        <v>1139</v>
      </c>
      <c r="C8" s="2430"/>
      <c r="D8" s="2430"/>
      <c r="E8" s="2430"/>
      <c r="F8" s="2431"/>
      <c r="G8" s="2431"/>
      <c r="H8" s="2431"/>
      <c r="I8" s="2431"/>
      <c r="J8" s="2431"/>
      <c r="K8" s="2432"/>
      <c r="L8" s="899"/>
      <c r="M8" s="899"/>
      <c r="N8" s="899"/>
      <c r="O8" s="899"/>
      <c r="P8" s="899"/>
      <c r="Q8" s="899"/>
      <c r="R8" s="899"/>
      <c r="S8" s="899"/>
      <c r="T8" s="899"/>
      <c r="U8" s="899"/>
      <c r="V8" s="899"/>
      <c r="W8" s="899"/>
      <c r="X8" s="899"/>
      <c r="Y8" s="899"/>
      <c r="Z8" s="899"/>
      <c r="AA8" s="899"/>
      <c r="AB8" s="899"/>
      <c r="AC8" s="899"/>
      <c r="AD8" s="899"/>
      <c r="AE8" s="899"/>
      <c r="AF8" s="899"/>
      <c r="AG8" s="899"/>
    </row>
    <row r="9" spans="1:33" s="2400" customFormat="1" ht="16.5" customHeight="1">
      <c r="A9" s="2416" t="s">
        <v>1140</v>
      </c>
      <c r="B9" s="2417"/>
      <c r="C9" s="2417"/>
      <c r="D9" s="2417"/>
      <c r="E9" s="2417"/>
      <c r="F9" s="2417"/>
      <c r="G9" s="2417"/>
      <c r="H9" s="2417"/>
      <c r="I9" s="2417"/>
      <c r="J9" s="2417"/>
      <c r="K9" s="2419"/>
    </row>
    <row r="10" spans="1:33" s="2402" customFormat="1" ht="13.5" customHeight="1">
      <c r="A10" s="2136" t="s">
        <v>1136</v>
      </c>
      <c r="B10" s="2433" t="s">
        <v>1137</v>
      </c>
      <c r="C10" s="2434" t="s">
        <v>1141</v>
      </c>
      <c r="D10" s="2435" t="s">
        <v>1142</v>
      </c>
      <c r="E10" s="2435" t="s">
        <v>1143</v>
      </c>
      <c r="F10" s="2435" t="s">
        <v>1144</v>
      </c>
      <c r="G10" s="2433"/>
      <c r="H10" s="2436"/>
      <c r="I10" s="2436"/>
      <c r="J10" s="2436"/>
      <c r="K10" s="2437"/>
    </row>
    <row r="11" spans="1:33" s="2403" customFormat="1" ht="13.5" customHeight="1">
      <c r="A11" s="2438" t="s">
        <v>1051</v>
      </c>
      <c r="B11" s="2439" t="s">
        <v>1145</v>
      </c>
      <c r="C11" s="2440">
        <f ca="1">IF(C1="",'数据-取费表'!P16,INDIRECT("'数据-取费表'!p"&amp;$K$1)+INDIRECT("'数据-取费表'!ar"&amp;$K$1))</f>
        <v>0</v>
      </c>
      <c r="D11" s="2441"/>
      <c r="E11" s="900"/>
      <c r="F11" s="2442">
        <f ca="1">1-IF('数据-取费表'!B24=0,1,IF(C1="",'数据-取费表'!N16,INDIRECT("'数据-取费表'!n"&amp;$K$1)))</f>
        <v>0</v>
      </c>
      <c r="G11" s="2433"/>
      <c r="H11" s="2436"/>
      <c r="I11" s="2436"/>
      <c r="J11" s="2436"/>
      <c r="K11" s="2437"/>
    </row>
    <row r="12" spans="1:33" s="2403" customFormat="1" ht="13.5" customHeight="1">
      <c r="A12" s="2438" t="s">
        <v>1054</v>
      </c>
      <c r="B12" s="2439" t="s">
        <v>1146</v>
      </c>
      <c r="C12" s="994">
        <f ca="1">ROUND(C11*F12,0)</f>
        <v>0</v>
      </c>
      <c r="D12" s="2441"/>
      <c r="E12" s="900"/>
      <c r="F12" s="2442">
        <f>'数据-取费表'!B33</f>
        <v>0.08</v>
      </c>
      <c r="G12" s="2433" t="s">
        <v>1147</v>
      </c>
      <c r="H12" s="2436"/>
      <c r="I12" s="2436"/>
      <c r="J12" s="2436"/>
      <c r="K12" s="2437"/>
    </row>
    <row r="13" spans="1:33" s="2403" customFormat="1" ht="13.5" customHeight="1">
      <c r="A13" s="2438" t="s">
        <v>1148</v>
      </c>
      <c r="B13" s="2439" t="s">
        <v>1149</v>
      </c>
      <c r="C13" s="994">
        <f ca="1">ROUND(IF(C1="",SUMIF('数据-取费表'!C:C,"住宅",'数据-取费表'!P:P)*F13,IF(INDIRECT("'数据-取费表'!c"&amp;$K$1)="住宅",INDIRECT("'数据-取费表'!P"&amp;$K$1)*F13,0)),0)</f>
        <v>0</v>
      </c>
      <c r="D13" s="2443"/>
      <c r="E13" s="900"/>
      <c r="F13" s="2442">
        <f>'数据-取费表'!B34</f>
        <v>0</v>
      </c>
      <c r="G13" s="2433" t="s">
        <v>1150</v>
      </c>
      <c r="H13" s="2436"/>
      <c r="I13" s="2436"/>
      <c r="J13" s="2436"/>
      <c r="K13" s="2437"/>
    </row>
    <row r="14" spans="1:33" s="2404" customFormat="1" ht="13.5" customHeight="1">
      <c r="A14" s="2438" t="s">
        <v>1151</v>
      </c>
      <c r="B14" s="2439" t="s">
        <v>1152</v>
      </c>
      <c r="C14" s="994">
        <f ca="1">ROUND(D14*E14*F11/10000,0)</f>
        <v>0</v>
      </c>
      <c r="D14" s="2443">
        <f ca="1">IF(C1="",'数据-汇总表'!E3,INDIRECT("'数据-取费表'!K"&amp;$K$1)+INDIRECT("'数据-取费表'!S"&amp;$K$1))</f>
        <v>296</v>
      </c>
      <c r="E14" s="994">
        <f>'数据-取费表'!B35</f>
        <v>200</v>
      </c>
      <c r="F14" s="2444"/>
      <c r="G14" s="2433" t="s">
        <v>1153</v>
      </c>
      <c r="H14" s="2436"/>
      <c r="I14" s="2436"/>
      <c r="J14" s="2436"/>
      <c r="K14" s="2437"/>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pans="1:33" s="2404" customFormat="1" ht="13.5" customHeight="1">
      <c r="A15" s="2438" t="s">
        <v>1154</v>
      </c>
      <c r="B15" s="2439" t="s">
        <v>1155</v>
      </c>
      <c r="C15" s="2445">
        <f ca="1">ROUND(C11*F15,0)</f>
        <v>0</v>
      </c>
      <c r="D15" s="2446"/>
      <c r="E15" s="2445"/>
      <c r="F15" s="2442">
        <f>'数据-取费表'!B36</f>
        <v>0.02</v>
      </c>
      <c r="G15" s="1898" t="s">
        <v>1156</v>
      </c>
      <c r="H15" s="1883"/>
      <c r="I15" s="1883"/>
      <c r="J15" s="1883"/>
      <c r="K15" s="1884"/>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pans="1:33" s="2404" customFormat="1" ht="13.5" customHeight="1">
      <c r="A16" s="2438" t="s">
        <v>969</v>
      </c>
      <c r="B16" s="2439" t="s">
        <v>1157</v>
      </c>
      <c r="C16" s="2445">
        <f ca="1">SUM(C11:C15)</f>
        <v>0</v>
      </c>
      <c r="D16" s="2446"/>
      <c r="E16" s="2445"/>
      <c r="F16" s="2442"/>
      <c r="G16" s="1898"/>
      <c r="H16" s="2447"/>
      <c r="I16" s="1883"/>
      <c r="J16" s="1883"/>
      <c r="K16" s="1884"/>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pans="1:33" s="2404" customFormat="1" ht="13.5" customHeight="1">
      <c r="A17" s="2438" t="s">
        <v>973</v>
      </c>
      <c r="B17" s="2439" t="s">
        <v>1158</v>
      </c>
      <c r="C17" s="994">
        <f ca="1">ROUND(D17*E17/10000,0)</f>
        <v>0</v>
      </c>
      <c r="D17" s="2443">
        <f ca="1">D14</f>
        <v>296</v>
      </c>
      <c r="E17" s="994">
        <f>'数据-取费表'!B32</f>
        <v>0</v>
      </c>
      <c r="F17" s="2446"/>
      <c r="G17" s="1898" t="s">
        <v>1159</v>
      </c>
      <c r="H17" s="2447"/>
      <c r="I17" s="1883"/>
      <c r="J17" s="1883"/>
      <c r="K17" s="1884"/>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pans="1:33" s="2403" customFormat="1" ht="13.5" customHeight="1">
      <c r="A18" s="2438" t="s">
        <v>1160</v>
      </c>
      <c r="B18" s="2439" t="s">
        <v>1161</v>
      </c>
      <c r="C18" s="994">
        <f ca="1">C19+C20-IF(C1="",'数据-取费表'!B29,IF(G18="已全部缴纳",C19+C20,H18))</f>
        <v>-59194</v>
      </c>
      <c r="D18" s="2443"/>
      <c r="E18" s="994"/>
      <c r="F18" s="2444"/>
      <c r="G18" s="2448"/>
      <c r="H18" s="2449"/>
      <c r="I18" s="2450" t="s">
        <v>1162</v>
      </c>
      <c r="J18" s="1883"/>
      <c r="K18" s="1884"/>
    </row>
    <row r="19" spans="1:33" s="2403" customFormat="1" ht="13.5" customHeight="1">
      <c r="A19" s="2438" t="s">
        <v>1051</v>
      </c>
      <c r="B19" s="2439" t="s">
        <v>494</v>
      </c>
      <c r="C19" s="994">
        <f ca="1">ROUND(D19*E19/10000,0)</f>
        <v>0</v>
      </c>
      <c r="D19" s="2443">
        <f ca="1">IF(C1="",'数据-汇总表'!E5,IF(INDIRECT("'数据-取费表'!c"&amp;$K$1)="住宅",INDIRECT("'数据-取费表'!k"&amp;$K$1),0))</f>
        <v>0</v>
      </c>
      <c r="E19" s="994">
        <f>'数据-取费表'!B27</f>
        <v>0</v>
      </c>
      <c r="F19" s="2444"/>
      <c r="G19" s="1882"/>
      <c r="H19" s="2451"/>
      <c r="I19" s="2216"/>
      <c r="J19" s="2216"/>
      <c r="K19" s="2452"/>
    </row>
    <row r="20" spans="1:33" s="2403" customFormat="1" ht="13.5" customHeight="1">
      <c r="A20" s="2438" t="s">
        <v>1054</v>
      </c>
      <c r="B20" s="2439" t="s">
        <v>1163</v>
      </c>
      <c r="C20" s="994">
        <f ca="1">ROUND(D20*E20/10000,0)</f>
        <v>6</v>
      </c>
      <c r="D20" s="2443">
        <f ca="1">IF(C1="",'数据-汇总表'!E6,IF(INDIRECT("'数据-取费表'!c"&amp;$K$1)="住宅",INDIRECT("'数据-取费表'!s"&amp;$K$1),INDIRECT("'数据-取费表'!k"&amp;$K$1)+INDIRECT("'数据-取费表'!s"&amp;$K$1)))</f>
        <v>296</v>
      </c>
      <c r="E20" s="994">
        <f>'数据-取费表'!B28</f>
        <v>200</v>
      </c>
      <c r="F20" s="2444"/>
      <c r="G20" s="1882"/>
      <c r="H20" s="2216"/>
      <c r="I20" s="2216"/>
      <c r="J20" s="2216"/>
      <c r="K20" s="2452"/>
    </row>
    <row r="21" spans="1:33" s="2403" customFormat="1" ht="13.5" customHeight="1">
      <c r="A21" s="2423" t="s">
        <v>946</v>
      </c>
      <c r="B21" s="2453" t="s">
        <v>1164</v>
      </c>
      <c r="C21" s="2454">
        <f ca="1">C16+C17+C18</f>
        <v>-59194</v>
      </c>
      <c r="D21" s="2455"/>
      <c r="E21" s="2456"/>
      <c r="F21" s="2456"/>
      <c r="G21" s="1898" t="s">
        <v>1165</v>
      </c>
      <c r="H21" s="1883"/>
      <c r="I21" s="1883"/>
      <c r="J21" s="1883"/>
      <c r="K21" s="1884"/>
    </row>
    <row r="22" spans="1:33" s="2403" customFormat="1" ht="13.5" customHeight="1">
      <c r="A22" s="2423" t="s">
        <v>950</v>
      </c>
      <c r="B22" s="2453" t="s">
        <v>1166</v>
      </c>
      <c r="C22" s="2454">
        <f ca="1">ROUND(C21*F22,0)</f>
        <v>-1776</v>
      </c>
      <c r="D22" s="2456"/>
      <c r="E22" s="2456"/>
      <c r="F22" s="2457">
        <f>'数据-取费表'!B37</f>
        <v>0.03</v>
      </c>
      <c r="G22" s="2433" t="s">
        <v>1167</v>
      </c>
      <c r="H22" s="2436"/>
      <c r="I22" s="2436"/>
      <c r="J22" s="2436"/>
      <c r="K22" s="2437"/>
    </row>
    <row r="23" spans="1:33" s="2403" customFormat="1" ht="13.5" customHeight="1">
      <c r="A23" s="2423" t="s">
        <v>995</v>
      </c>
      <c r="B23" s="2453" t="s">
        <v>1168</v>
      </c>
      <c r="C23" s="2454">
        <f ca="1">ROUND(C4*F23*F11,0)</f>
        <v>0</v>
      </c>
      <c r="D23" s="2456"/>
      <c r="E23" s="2456"/>
      <c r="F23" s="2457">
        <f>'数据-取费表'!B38</f>
        <v>0.03</v>
      </c>
      <c r="G23" s="2433" t="s">
        <v>1169</v>
      </c>
      <c r="H23" s="2436"/>
      <c r="I23" s="2436"/>
      <c r="J23" s="2436"/>
      <c r="K23" s="2437"/>
    </row>
    <row r="24" spans="1:33" s="2403" customFormat="1" ht="13.5" customHeight="1">
      <c r="A24" s="2423" t="s">
        <v>998</v>
      </c>
      <c r="B24" s="2453" t="s">
        <v>1170</v>
      </c>
      <c r="C24" s="2458">
        <f>ROUND(F24/(1+'数据-取费表'!C42),4)</f>
        <v>2.9000000000000001E-2</v>
      </c>
      <c r="D24" s="2456" t="s">
        <v>1171</v>
      </c>
      <c r="E24" s="2456"/>
      <c r="F24" s="2457">
        <f>IF(项目基本情况!B8="出让",0,'数据-取费表'!B48+'数据-取费表'!B49)</f>
        <v>3.0499999999999999E-2</v>
      </c>
      <c r="G24" s="2433" t="s">
        <v>1172</v>
      </c>
      <c r="H24" s="2459"/>
      <c r="I24" s="2459"/>
      <c r="J24" s="2459"/>
      <c r="K24" s="2460"/>
    </row>
    <row r="25" spans="1:33" s="2403" customFormat="1" ht="13.5" customHeight="1">
      <c r="A25" s="2423" t="s">
        <v>1002</v>
      </c>
      <c r="B25" s="2455" t="s">
        <v>1173</v>
      </c>
      <c r="C25" s="2461">
        <f ca="1">C27</f>
        <v>0</v>
      </c>
      <c r="D25" s="2458">
        <f ca="1">C26</f>
        <v>0</v>
      </c>
      <c r="E25" s="2462" t="s">
        <v>1171</v>
      </c>
      <c r="F25" s="2463">
        <f ca="1">'数据-取费表'!B40</f>
        <v>3.1300000000000001E-2</v>
      </c>
      <c r="G25" s="1898" t="str">
        <f>IF('数据-取费表'!B22&lt;=1,"单利计息。","复利计息。")&amp;"后续开发成本、管理费用及销售费用产生的利息。"</f>
        <v>复利计息。后续开发成本、管理费用及销售费用产生的利息。</v>
      </c>
      <c r="H25" s="2459"/>
      <c r="I25" s="2459"/>
      <c r="J25" s="2459"/>
      <c r="K25" s="2460"/>
    </row>
    <row r="26" spans="1:33" s="2405" customFormat="1" ht="13.5" customHeight="1">
      <c r="A26" s="2438" t="s">
        <v>969</v>
      </c>
      <c r="B26" s="2464" t="s">
        <v>1174</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883"/>
      <c r="I26" s="1883"/>
      <c r="J26" s="1883"/>
      <c r="K26" s="1884"/>
    </row>
    <row r="27" spans="1:33" s="2405" customFormat="1" ht="13.5" customHeight="1">
      <c r="A27" s="2438" t="s">
        <v>973</v>
      </c>
      <c r="B27" s="2464" t="s">
        <v>1175</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883"/>
      <c r="I27" s="1883"/>
      <c r="J27" s="1883"/>
      <c r="K27" s="1884"/>
    </row>
    <row r="28" spans="1:33" s="2406" customFormat="1" ht="13.5" customHeight="1">
      <c r="A28" s="2423" t="s">
        <v>1003</v>
      </c>
      <c r="B28" s="2471" t="s">
        <v>1176</v>
      </c>
      <c r="C28" s="2472">
        <f ca="1">C30</f>
        <v>-9146</v>
      </c>
      <c r="D28" s="2458">
        <f ca="1">C29</f>
        <v>0</v>
      </c>
      <c r="E28" s="2462" t="s">
        <v>1171</v>
      </c>
      <c r="F28" s="1244">
        <f ca="1">IF(C1="",'数据-取费表'!Q16,INDIRECT("'数据-取费表'!q"&amp;$K$1))</f>
        <v>0.15</v>
      </c>
      <c r="G28" s="2473"/>
      <c r="H28" s="2459"/>
      <c r="I28" s="2459"/>
      <c r="J28" s="2459"/>
      <c r="K28" s="2460"/>
    </row>
    <row r="29" spans="1:33" s="2407" customFormat="1" ht="13.5" customHeight="1">
      <c r="A29" s="2438" t="s">
        <v>969</v>
      </c>
      <c r="B29" s="2474" t="s">
        <v>1177</v>
      </c>
      <c r="C29" s="2466">
        <f ca="1">ROUND((1+C24)*F28*'数据-取费表'!B24/'数据-取费表'!B20,4)</f>
        <v>0</v>
      </c>
      <c r="D29" s="2466"/>
      <c r="E29" s="2467"/>
      <c r="F29" s="2475"/>
      <c r="G29" s="1898" t="s">
        <v>1178</v>
      </c>
      <c r="H29" s="1883"/>
      <c r="I29" s="1883"/>
      <c r="J29" s="1883"/>
      <c r="K29" s="1884"/>
    </row>
    <row r="30" spans="1:33" s="2407" customFormat="1" ht="13.5" customHeight="1">
      <c r="A30" s="2438" t="s">
        <v>973</v>
      </c>
      <c r="B30" s="2474" t="s">
        <v>1179</v>
      </c>
      <c r="C30" s="2476">
        <f ca="1">ROUND((C21+C22+C23)*F28,0)</f>
        <v>-9146</v>
      </c>
      <c r="D30" s="2466"/>
      <c r="E30" s="2467"/>
      <c r="F30" s="2475"/>
      <c r="G30" s="1898"/>
      <c r="H30" s="1883"/>
      <c r="I30" s="1883"/>
      <c r="J30" s="1883"/>
      <c r="K30" s="1884"/>
    </row>
    <row r="31" spans="1:33" s="2403" customFormat="1" ht="13.5" customHeight="1">
      <c r="A31" s="2477" t="s">
        <v>1180</v>
      </c>
      <c r="B31" s="2478" t="s">
        <v>1181</v>
      </c>
      <c r="C31" s="2479">
        <f>ROUND(C4*F31/(1+'数据-取费表'!C42),0)</f>
        <v>0</v>
      </c>
      <c r="D31" s="2480"/>
      <c r="E31" s="2481"/>
      <c r="F31" s="2482">
        <f>'数据-取费表'!B41</f>
        <v>5.6000000000000001E-2</v>
      </c>
      <c r="G31" s="2483" t="s">
        <v>1182</v>
      </c>
      <c r="H31" s="2484"/>
      <c r="I31" s="2484"/>
      <c r="J31" s="2484"/>
      <c r="K31" s="2485"/>
    </row>
    <row r="32" spans="1:33" s="2402" customFormat="1" ht="13.5" customHeight="1">
      <c r="A32" s="1247" t="s">
        <v>1183</v>
      </c>
      <c r="B32" s="2486"/>
      <c r="C32" s="2487">
        <f ca="1">ROUND((C4-C21-C22-C23-C25-C28-C31)/(1+C24+D25+D28),0)</f>
        <v>68140</v>
      </c>
      <c r="D32" s="2486"/>
      <c r="E32" s="2486"/>
      <c r="F32" s="2486"/>
      <c r="G32" s="2488" t="s">
        <v>1184</v>
      </c>
      <c r="H32" s="2486"/>
      <c r="I32" s="2486"/>
      <c r="J32" s="2486"/>
      <c r="K32" s="248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c r="D1" s="1803" t="s">
        <v>124</v>
      </c>
      <c r="E1" s="1804" t="s">
        <v>1186</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2393" t="e">
        <f ca="1">C40+J29+L46</f>
        <v>#DIV/0!</v>
      </c>
      <c r="C2" s="1812" t="s">
        <v>1188</v>
      </c>
      <c r="D2" s="1812"/>
      <c r="E2" s="1814"/>
      <c r="F2" s="1815"/>
      <c r="G2" s="1816"/>
      <c r="H2" s="1817"/>
      <c r="I2" s="1817"/>
      <c r="J2" s="1817"/>
      <c r="K2" s="1818"/>
      <c r="L2" s="1817"/>
      <c r="M2" s="1817"/>
    </row>
    <row r="3" spans="1:37" ht="18" customHeight="1">
      <c r="A3" s="1819" t="s">
        <v>1189</v>
      </c>
      <c r="B3" s="1820">
        <f ca="1">IF(ISERROR(B2*10000/F43),0,ROUND(B2*10000/F43,0))</f>
        <v>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0</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ROUND(F6*F8*F7*(1-F9)/10000,0)</f>
        <v>0</v>
      </c>
      <c r="D6" s="1836" t="s">
        <v>1200</v>
      </c>
      <c r="E6" s="1837" t="s">
        <v>1201</v>
      </c>
      <c r="F6" s="1838">
        <f ca="1">INDIRECT("'数据-取费表'!u"&amp;$G$1)</f>
        <v>0</v>
      </c>
      <c r="G6" s="551"/>
      <c r="H6" s="1834" t="s">
        <v>946</v>
      </c>
      <c r="I6" s="3364" t="s">
        <v>1199</v>
      </c>
      <c r="J6" s="1839">
        <f ca="1">ROUND(M6*M8*M7*(1-M9)/10000,0)</f>
        <v>0</v>
      </c>
      <c r="K6" s="1836" t="s">
        <v>1202</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0</v>
      </c>
      <c r="G7" s="551"/>
      <c r="H7" s="1845"/>
      <c r="I7" s="3365"/>
      <c r="J7" s="1846"/>
      <c r="K7" s="1843"/>
      <c r="L7" s="1837" t="s">
        <v>1203</v>
      </c>
      <c r="M7" s="1838">
        <f ca="1">F7</f>
        <v>0</v>
      </c>
    </row>
    <row r="8" spans="1:37" ht="18" customHeight="1">
      <c r="A8" s="1845"/>
      <c r="B8" s="3365"/>
      <c r="C8" s="1846"/>
      <c r="D8" s="1843"/>
      <c r="E8" s="1837" t="s">
        <v>1204</v>
      </c>
      <c r="F8" s="1838">
        <f ca="1">INDIRECT("'数据-取费表'!ai"&amp;$G$1)</f>
        <v>0</v>
      </c>
      <c r="G8" s="551"/>
      <c r="H8" s="1845"/>
      <c r="I8" s="3365"/>
      <c r="J8" s="1846"/>
      <c r="K8" s="1843"/>
      <c r="L8" s="1837" t="s">
        <v>1204</v>
      </c>
      <c r="M8" s="1838">
        <f ca="1">INDIRECT("'数据-取费表'!ai"&amp;$G$1)</f>
        <v>0</v>
      </c>
    </row>
    <row r="9" spans="1:37" ht="18" customHeight="1">
      <c r="A9" s="1845"/>
      <c r="B9" s="3366"/>
      <c r="C9" s="1846"/>
      <c r="D9" s="1843"/>
      <c r="E9" s="1837" t="s">
        <v>1205</v>
      </c>
      <c r="F9" s="1847">
        <f ca="1">INDIRECT("'数据-取费表'!w"&amp;$G$1)</f>
        <v>0</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0</v>
      </c>
      <c r="D10" s="1851" t="s">
        <v>1207</v>
      </c>
      <c r="E10" s="1848" t="s">
        <v>1208</v>
      </c>
      <c r="F10" s="1852"/>
      <c r="G10" s="551"/>
      <c r="H10" s="1834" t="s">
        <v>950</v>
      </c>
      <c r="I10" s="1850" t="s">
        <v>1206</v>
      </c>
      <c r="J10" s="1839">
        <f ca="1">ROUND(IF(M10="押一",J6/12*M11,IF(M10="押二",J6/12*2*M11,IF(M10="押三",J6/12*3*M11,J11*M11))),0)</f>
        <v>0</v>
      </c>
      <c r="K10" s="1851" t="s">
        <v>1207</v>
      </c>
      <c r="L10" s="1848" t="s">
        <v>1208</v>
      </c>
      <c r="M10" s="1852"/>
    </row>
    <row r="11" spans="1:37" ht="18" customHeight="1">
      <c r="A11" s="1854"/>
      <c r="B11" s="1855" t="s">
        <v>1209</v>
      </c>
      <c r="C11" s="1856"/>
      <c r="D11" s="2394"/>
      <c r="E11" s="1848" t="s">
        <v>1210</v>
      </c>
      <c r="F11" s="1849">
        <f ca="1">'数据-取费表'!B39</f>
        <v>1.4999999999999999E-2</v>
      </c>
      <c r="G11" s="551"/>
      <c r="H11" s="1857"/>
      <c r="I11" s="1855" t="s">
        <v>1209</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0</v>
      </c>
      <c r="D13" s="1871" t="s">
        <v>1213</v>
      </c>
      <c r="E13" s="1871" t="s">
        <v>1214</v>
      </c>
      <c r="F13" s="1872">
        <f ca="1">INDIRECT("'数据-取费表'!y"&amp;$G$1)</f>
        <v>0</v>
      </c>
      <c r="G13" s="551"/>
      <c r="H13" s="1868">
        <v>2</v>
      </c>
      <c r="I13" s="1869" t="s">
        <v>1212</v>
      </c>
      <c r="J13" s="1873">
        <f ca="1">ROUND(J14*J15,0)</f>
        <v>0</v>
      </c>
      <c r="K13" s="1874" t="s">
        <v>1213</v>
      </c>
      <c r="L13" s="1875"/>
      <c r="M13" s="1876"/>
    </row>
    <row r="14" spans="1:37" ht="18" customHeight="1">
      <c r="A14" s="1877" t="s">
        <v>969</v>
      </c>
      <c r="B14" s="1837" t="s">
        <v>1215</v>
      </c>
      <c r="C14" s="1878">
        <f ca="1">INDIRECT("'数据-取费表'!m"&amp;$G$1)+INDIRECT("'数据-取费表'!t"&amp;$G$1)</f>
        <v>0</v>
      </c>
      <c r="D14" s="1879" t="s">
        <v>1216</v>
      </c>
      <c r="E14" s="1880"/>
      <c r="F14" s="1881"/>
      <c r="G14" s="551"/>
      <c r="H14" s="1877" t="s">
        <v>946</v>
      </c>
      <c r="I14" s="1837" t="s">
        <v>1217</v>
      </c>
      <c r="J14" s="994">
        <f ca="1">C29</f>
        <v>0</v>
      </c>
      <c r="K14" s="1882"/>
      <c r="L14" s="1883"/>
      <c r="M14" s="1884"/>
    </row>
    <row r="15" spans="1:37" s="1799" customFormat="1" ht="18" customHeight="1">
      <c r="A15" s="1877" t="s">
        <v>973</v>
      </c>
      <c r="B15" s="1837" t="s">
        <v>1146</v>
      </c>
      <c r="C15" s="994">
        <f ca="1">ROUND(C14*F15,0)</f>
        <v>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ROUND(INDIRECT("'数据-取费表'!m"&amp;$G$1)*F16,0)</f>
        <v>0</v>
      </c>
      <c r="D16" s="1837" t="s">
        <v>1218</v>
      </c>
      <c r="E16" s="1837" t="s">
        <v>1219</v>
      </c>
      <c r="F16" s="1892">
        <f ca="1">IF(INDIRECT("'数据-取费表'!c"&amp;$G$1)="住宅",'数据-取费表'!B34,0)</f>
        <v>0</v>
      </c>
      <c r="G16" s="551"/>
      <c r="H16" s="1868" t="s">
        <v>1220</v>
      </c>
      <c r="I16" s="1869" t="s">
        <v>1221</v>
      </c>
      <c r="J16" s="1870">
        <f ca="1">ROUND(J17+J22+J23+J24,0)</f>
        <v>0</v>
      </c>
      <c r="K16" s="1874" t="s">
        <v>1222</v>
      </c>
      <c r="L16" s="1893"/>
      <c r="M16" s="1833"/>
    </row>
    <row r="17" spans="1:37" s="1799" customFormat="1" ht="18" customHeight="1">
      <c r="A17" s="1877" t="s">
        <v>1223</v>
      </c>
      <c r="B17" s="1837" t="s">
        <v>1224</v>
      </c>
      <c r="C17" s="994">
        <f ca="1">ROUND(F17*(F43+INDIRECT("'数据-取费表'!S"&amp;$G$1))/10000,0)</f>
        <v>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ROUND(IF(AND(项目基本情况!B11="自然人",项目基本情况!B10="北京市"),J6*M17/(1+'数据-取费表'!C42),J18+J19+J20),2)</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0</v>
      </c>
      <c r="D18" s="1837" t="s">
        <v>1218</v>
      </c>
      <c r="E18" s="1837" t="s">
        <v>1219</v>
      </c>
      <c r="F18" s="1892">
        <f>'数据-取费表'!B36</f>
        <v>0.02</v>
      </c>
      <c r="G18" s="1887"/>
      <c r="H18" s="1877" t="s">
        <v>969</v>
      </c>
      <c r="I18" s="1837" t="s">
        <v>1231</v>
      </c>
      <c r="J18" s="994">
        <f ca="1">ROUND(J6*M18/(1+'数据-取费表'!C42),2)</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0</v>
      </c>
      <c r="D19" s="1898" t="s">
        <v>1234</v>
      </c>
      <c r="E19" s="996"/>
      <c r="F19" s="1894"/>
      <c r="G19" s="551"/>
      <c r="H19" s="1877" t="s">
        <v>973</v>
      </c>
      <c r="I19" s="1837" t="s">
        <v>1235</v>
      </c>
      <c r="J19" s="994">
        <f ca="1">IF(K19="按租金收入计税",ROUND(J6*M19/(1+'数据-取费表'!C42),2),ROUND(C29*M19*0.7,2))</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0</v>
      </c>
      <c r="D20" s="1900" t="s">
        <v>1238</v>
      </c>
      <c r="E20" s="1837" t="s">
        <v>1219</v>
      </c>
      <c r="F20" s="1892">
        <f>'数据-取费表'!B37</f>
        <v>0.03</v>
      </c>
      <c r="G20" s="1887"/>
      <c r="H20" s="1877" t="s">
        <v>976</v>
      </c>
      <c r="I20" s="1836" t="s">
        <v>1239</v>
      </c>
      <c r="J20" s="1901">
        <f ca="1">ROUND(M20*M21/10000,2)</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ROUND(J14*M22,2)</f>
        <v>0</v>
      </c>
      <c r="K22" s="1896" t="s">
        <v>1248</v>
      </c>
      <c r="L22" s="1837" t="s">
        <v>1219</v>
      </c>
      <c r="M22" s="1908">
        <f ca="1">INDIRECT("'数据-取费表'!Ak"&amp;$G$1)</f>
        <v>0</v>
      </c>
    </row>
    <row r="23" spans="1:37" s="1799" customFormat="1" ht="18" customHeight="1">
      <c r="A23" s="1877" t="s">
        <v>969</v>
      </c>
      <c r="B23" s="1837" t="s">
        <v>1249</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ROUND(J13*M23,2)</f>
        <v>0</v>
      </c>
      <c r="K23" s="1896" t="s">
        <v>1252</v>
      </c>
      <c r="L23" s="1837" t="s">
        <v>1219</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ROUND(J5*M24,2)</f>
        <v>0</v>
      </c>
      <c r="K24" s="1912" t="s">
        <v>1255</v>
      </c>
      <c r="L24" s="1864" t="s">
        <v>1219</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1256</v>
      </c>
      <c r="C25" s="994"/>
      <c r="D25" s="1898" t="s">
        <v>1257</v>
      </c>
      <c r="E25" s="996"/>
      <c r="F25" s="1894"/>
      <c r="G25" s="551"/>
      <c r="H25" s="1868" t="s">
        <v>1258</v>
      </c>
      <c r="I25" s="1913" t="s">
        <v>1259</v>
      </c>
      <c r="J25" s="1870">
        <f ca="1">J5-J16</f>
        <v>0</v>
      </c>
      <c r="K25" s="1914" t="s">
        <v>1260</v>
      </c>
      <c r="L25" s="1915"/>
      <c r="M25" s="1916"/>
    </row>
    <row r="26" spans="1:37">
      <c r="A26" s="1877" t="s">
        <v>969</v>
      </c>
      <c r="B26" s="1837" t="s">
        <v>1261</v>
      </c>
      <c r="C26" s="994">
        <f ca="1">ROUND((C19+C20)*F26,0)</f>
        <v>0</v>
      </c>
      <c r="D26" s="1900" t="s">
        <v>1262</v>
      </c>
      <c r="E26" s="1848" t="s">
        <v>1263</v>
      </c>
      <c r="F26" s="1847">
        <f ca="1">INDIRECT("'数据-取费表'!q"&amp;$G$1)</f>
        <v>0</v>
      </c>
      <c r="G26" s="551"/>
      <c r="H26" s="1828" t="s">
        <v>1264</v>
      </c>
      <c r="I26" s="1829" t="s">
        <v>1265</v>
      </c>
      <c r="J26" s="1839">
        <f ca="1">IF(J5&lt;&gt;0,ROUND(J25*(1-((1+M28)/(1+M26))^M27)/(M26-M28),0),0)</f>
        <v>0</v>
      </c>
      <c r="K26" s="1902" t="s">
        <v>1266</v>
      </c>
      <c r="L26" s="1837" t="s">
        <v>1267</v>
      </c>
      <c r="M26" s="1847">
        <f ca="1">INDIRECT("'数据-取费表'!I"&amp;$G$1)</f>
        <v>0</v>
      </c>
    </row>
    <row r="27" spans="1:37" ht="18" customHeight="1">
      <c r="A27" s="1877" t="s">
        <v>973</v>
      </c>
      <c r="B27" s="1837" t="s">
        <v>1268</v>
      </c>
      <c r="C27" s="994">
        <f ca="1">ROUND(F21*F26,4)</f>
        <v>0</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0</v>
      </c>
      <c r="D29" s="1912"/>
      <c r="E29" s="1864"/>
      <c r="F29" s="1921"/>
      <c r="G29" s="1887"/>
      <c r="H29" s="1922" t="s">
        <v>1276</v>
      </c>
      <c r="I29" s="1923" t="s">
        <v>1277</v>
      </c>
      <c r="J29" s="1924">
        <f ca="1">ROUND(J26/(1+F40)^F41,0)</f>
        <v>0</v>
      </c>
      <c r="K29" s="1925" t="s">
        <v>1278</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0</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ROUND(IF(AND(项目基本情况!B11="自然人",项目基本情况!B10="北京市"),C6*F31/(1+'数据-取费表'!C42),C32+C33+C34),2)</f>
        <v>0</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IF(项目基本情况!B11="自然人","——",ROUND(C6*F32/(1+'数据-取费表'!C42),2))</f>
        <v>0</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IF(项目基本情况!B11="自然人","——",IF(D33="按租金收入计税",ROUND(C6*F33/(1+'数据-取费表'!C42),2),IF(D33="按房产原值计税",ROUND(C29*F33*0.7,2),INDIRECT("'数据-取费表'!Aj"&amp;$G$1))))</f>
        <v>0</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IF(项目基本情况!B11="自然人","——",ROUND(F34*F35/10000,2))</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ROUND(C29*F36,2)</f>
        <v>0</v>
      </c>
      <c r="D36" s="1896" t="s">
        <v>1280</v>
      </c>
      <c r="E36" s="1837" t="s">
        <v>1219</v>
      </c>
      <c r="F36" s="1908">
        <f ca="1">INDIRECT("'数据-取费表'!Ak"&amp;$G$1)</f>
        <v>0</v>
      </c>
      <c r="G36" s="551"/>
      <c r="H36" s="1934"/>
      <c r="I36" s="1929"/>
      <c r="J36" s="1930"/>
      <c r="K36" s="1941"/>
      <c r="L36" s="1934"/>
      <c r="M36" s="1934"/>
    </row>
    <row r="37" spans="1:18" ht="18" customHeight="1">
      <c r="A37" s="1877" t="s">
        <v>995</v>
      </c>
      <c r="B37" s="1837" t="s">
        <v>1251</v>
      </c>
      <c r="C37" s="994">
        <f ca="1">ROUND(C13*F37,2)</f>
        <v>0</v>
      </c>
      <c r="D37" s="1896" t="s">
        <v>1252</v>
      </c>
      <c r="E37" s="1837" t="s">
        <v>1219</v>
      </c>
      <c r="F37" s="1909">
        <f ca="1">INDIRECT("'数据-取费表'!Al"&amp;$G$1)</f>
        <v>0</v>
      </c>
      <c r="G37" s="551"/>
      <c r="H37" s="1934"/>
      <c r="I37" s="1929"/>
      <c r="J37" s="1930"/>
      <c r="K37" s="1941"/>
      <c r="L37" s="1934"/>
      <c r="M37" s="1934"/>
    </row>
    <row r="38" spans="1:18" ht="18" customHeight="1">
      <c r="A38" s="1888" t="s">
        <v>998</v>
      </c>
      <c r="B38" s="1864" t="s">
        <v>1237</v>
      </c>
      <c r="C38" s="1911">
        <f ca="1">ROUND(C5*F38,2)</f>
        <v>0</v>
      </c>
      <c r="D38" s="1912" t="s">
        <v>1255</v>
      </c>
      <c r="E38" s="1864" t="s">
        <v>1219</v>
      </c>
      <c r="F38" s="1865">
        <f ca="1">INDIRECT("'数据-取费表'!Am"&amp;$G$1)</f>
        <v>0</v>
      </c>
      <c r="G38" s="551"/>
      <c r="H38" s="1934"/>
      <c r="I38" s="1929"/>
      <c r="J38" s="1930"/>
      <c r="K38" s="1931"/>
      <c r="L38" s="1934"/>
      <c r="M38" s="1934"/>
    </row>
    <row r="39" spans="1:18" ht="24.6" customHeight="1">
      <c r="A39" s="1868" t="s">
        <v>1258</v>
      </c>
      <c r="B39" s="1913" t="s">
        <v>1259</v>
      </c>
      <c r="C39" s="1870">
        <f ca="1">C5-C30</f>
        <v>0</v>
      </c>
      <c r="D39" s="1914" t="s">
        <v>1260</v>
      </c>
      <c r="E39" s="1915"/>
      <c r="F39" s="1916"/>
      <c r="G39" s="551"/>
      <c r="H39" s="1934"/>
      <c r="I39" s="1929"/>
      <c r="J39" s="1930"/>
      <c r="K39" s="1931"/>
      <c r="L39" s="1934"/>
      <c r="M39" s="1934"/>
    </row>
    <row r="40" spans="1:18" ht="18" customHeight="1">
      <c r="A40" s="1828" t="s">
        <v>1264</v>
      </c>
      <c r="B40" s="1829" t="s">
        <v>1281</v>
      </c>
      <c r="C40" s="1839" t="e">
        <f ca="1">ROUND(C39*(1-((1+F42)/(1+F40))^F41)/(F40-F42),0)</f>
        <v>#DIV/0!</v>
      </c>
      <c r="D40" s="1902" t="s">
        <v>1266</v>
      </c>
      <c r="E40" s="1837" t="s">
        <v>1267</v>
      </c>
      <c r="F40" s="1847">
        <f ca="1">INDIRECT("'数据-取费表'!I"&amp;$G$1)</f>
        <v>0</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1274</v>
      </c>
      <c r="F42" s="1847">
        <f ca="1">INDIRECT("'数据-取费表'!v"&amp;$G$1)</f>
        <v>0</v>
      </c>
      <c r="G42" s="551"/>
      <c r="H42" s="983"/>
      <c r="I42" s="1929"/>
      <c r="J42" s="1930"/>
      <c r="K42" s="1941"/>
      <c r="L42" s="983"/>
      <c r="M42" s="983"/>
    </row>
    <row r="43" spans="1:18" ht="18" customHeight="1">
      <c r="A43" s="1922" t="s">
        <v>1276</v>
      </c>
      <c r="B43" s="1923" t="s">
        <v>1282</v>
      </c>
      <c r="C43" s="1924" t="e">
        <f ca="1">ROUND(C40*10000/F43,0)</f>
        <v>#DIV/0!</v>
      </c>
      <c r="D43" s="1925" t="s">
        <v>1283</v>
      </c>
      <c r="E43" s="1926" t="s">
        <v>1284</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395" t="s">
        <v>1285</v>
      </c>
      <c r="P45" s="1942"/>
      <c r="Q45" s="1942"/>
      <c r="R45" s="1942"/>
    </row>
    <row r="46" spans="1:18" s="551" customFormat="1">
      <c r="A46" s="1950" t="s">
        <v>1286</v>
      </c>
      <c r="C46" s="1951" t="e">
        <f ca="1">C68-C40</f>
        <v>#DIV/0!</v>
      </c>
      <c r="D46" s="1952" t="str">
        <f>C2</f>
        <v>万元</v>
      </c>
      <c r="E46" s="1943"/>
      <c r="F46" s="1943"/>
      <c r="I46" s="1953" t="s">
        <v>1287</v>
      </c>
      <c r="J46" s="1954"/>
      <c r="K46" s="1955"/>
      <c r="L46" s="1956" t="e">
        <f ca="1">IF(M47="住宅",0,IF(L48&gt;J51,L60,J60))</f>
        <v>#DIV/0!</v>
      </c>
      <c r="O46" s="1957" t="s">
        <v>1288</v>
      </c>
      <c r="P46" s="1958" t="s">
        <v>1289</v>
      </c>
      <c r="Q46" s="1959" t="s">
        <v>1290</v>
      </c>
      <c r="R46" s="1959" t="s">
        <v>1291</v>
      </c>
    </row>
    <row r="47" spans="1:18" s="551" customFormat="1">
      <c r="A47" s="1960" t="s">
        <v>1192</v>
      </c>
      <c r="B47" s="1961" t="s">
        <v>1193</v>
      </c>
      <c r="C47" s="2396" t="s">
        <v>1194</v>
      </c>
      <c r="D47" s="1961" t="s">
        <v>1195</v>
      </c>
      <c r="E47" s="1962" t="s">
        <v>1196</v>
      </c>
      <c r="F47" s="987"/>
      <c r="G47" s="1963"/>
      <c r="I47" s="1964" t="s">
        <v>1292</v>
      </c>
      <c r="J47" s="1965"/>
      <c r="K47" s="1966" t="s">
        <v>1293</v>
      </c>
      <c r="L47" s="1967">
        <f ca="1">INDIRECT("'数据-取费表'!d"&amp;$G$1)</f>
        <v>0</v>
      </c>
      <c r="M47" s="1968" t="str">
        <f>IF(ISNUMBER(FIND("住宅",C1)),"住宅","非住宅")</f>
        <v>非住宅</v>
      </c>
      <c r="O47" s="1969" t="s">
        <v>1051</v>
      </c>
      <c r="P47" s="1970" t="s">
        <v>1294</v>
      </c>
      <c r="Q47" s="1971" t="e">
        <f ca="1">C40+J29</f>
        <v>#DIV/0!</v>
      </c>
      <c r="R47" s="1971" t="s">
        <v>1295</v>
      </c>
    </row>
    <row r="48" spans="1:18" s="551" customFormat="1" ht="27.75">
      <c r="A48" s="1972" t="s">
        <v>1296</v>
      </c>
      <c r="B48" s="1829" t="s">
        <v>1197</v>
      </c>
      <c r="C48" s="995">
        <f ca="1">C49+C53+C55</f>
        <v>0</v>
      </c>
      <c r="D48" s="1973"/>
      <c r="E48" s="1974"/>
      <c r="F48" s="1975"/>
      <c r="G48" s="1963"/>
      <c r="H48" s="1976"/>
      <c r="I48" s="1977" t="s">
        <v>1297</v>
      </c>
      <c r="J48" s="1978"/>
      <c r="K48" s="1979" t="s">
        <v>1298</v>
      </c>
      <c r="L48" s="1980">
        <f ca="1">INDIRECT("'数据-取费表'!f"&amp;$G$1)</f>
        <v>0</v>
      </c>
      <c r="O48" s="1969" t="s">
        <v>1054</v>
      </c>
      <c r="P48" s="1970" t="s">
        <v>1299</v>
      </c>
      <c r="Q48" s="1971" t="e">
        <f ca="1">J60</f>
        <v>#DIV/0!</v>
      </c>
      <c r="R48" s="1971" t="s">
        <v>1300</v>
      </c>
    </row>
    <row r="49" spans="1:18" s="551" customFormat="1">
      <c r="A49" s="1981" t="s">
        <v>1301</v>
      </c>
      <c r="B49" s="1982" t="s">
        <v>1302</v>
      </c>
      <c r="C49" s="1983">
        <f ca="1">ROUND(F49*F51*F50*(1-F52)/10000,0)</f>
        <v>0</v>
      </c>
      <c r="D49" s="1984" t="s">
        <v>1202</v>
      </c>
      <c r="E49" s="1985" t="s">
        <v>1303</v>
      </c>
      <c r="F49" s="1986"/>
      <c r="H49" s="1976"/>
      <c r="I49" s="1977" t="s">
        <v>1304</v>
      </c>
      <c r="J49" s="1987"/>
      <c r="K49" s="1979" t="s">
        <v>1305</v>
      </c>
      <c r="L49" s="1988"/>
      <c r="O49" s="1989" t="s">
        <v>1306</v>
      </c>
      <c r="P49" s="1970" t="s">
        <v>1307</v>
      </c>
      <c r="Q49" s="1971">
        <f ca="1">C29</f>
        <v>0</v>
      </c>
      <c r="R49" s="1971" t="s">
        <v>1295</v>
      </c>
    </row>
    <row r="50" spans="1:18" s="551" customFormat="1">
      <c r="A50" s="1990"/>
      <c r="B50" s="925"/>
      <c r="C50" s="2397"/>
      <c r="D50" s="1992"/>
      <c r="E50" s="1993" t="s">
        <v>1203</v>
      </c>
      <c r="F50" s="1994">
        <f ca="1">F7</f>
        <v>0</v>
      </c>
      <c r="H50" s="1976"/>
      <c r="I50" s="1977" t="s">
        <v>1308</v>
      </c>
      <c r="J50" s="1995">
        <f>SUMPRODUCT((I63:I65=J47)*(J62:L62=J48)*(J63:L65))</f>
        <v>0</v>
      </c>
      <c r="K50" s="1979" t="s">
        <v>1309</v>
      </c>
      <c r="L50" s="1988"/>
      <c r="M50" s="1996"/>
      <c r="O50" s="1989" t="s">
        <v>1310</v>
      </c>
      <c r="P50" s="1970" t="s">
        <v>1311</v>
      </c>
      <c r="Q50" s="1997" t="e">
        <f ca="1">J58</f>
        <v>#DIV/0!</v>
      </c>
      <c r="R50" s="1971"/>
    </row>
    <row r="51" spans="1:18" s="551" customFormat="1">
      <c r="A51" s="1998"/>
      <c r="B51" s="925"/>
      <c r="C51" s="1991"/>
      <c r="D51" s="1992"/>
      <c r="E51" s="1999" t="s">
        <v>1204</v>
      </c>
      <c r="F51" s="1838">
        <f ca="1">F8</f>
        <v>0</v>
      </c>
      <c r="I51" s="2000" t="s">
        <v>1312</v>
      </c>
      <c r="J51" s="1980">
        <f>IF(J49="",J50,J49+J50-YEAR('数据-取费表'!B2))</f>
        <v>0</v>
      </c>
      <c r="K51" s="2001" t="s">
        <v>1313</v>
      </c>
      <c r="L51" s="2002">
        <f ca="1">ROUND(-PV(INDIRECT("'数据-取费表'!h"&amp;$G$1),J51,(C39-C13*C76),0),0)</f>
        <v>0</v>
      </c>
      <c r="M51" s="2003"/>
      <c r="O51" s="1989" t="s">
        <v>1314</v>
      </c>
      <c r="P51" s="1970" t="s">
        <v>1315</v>
      </c>
      <c r="Q51" s="1997">
        <f>J52</f>
        <v>0</v>
      </c>
      <c r="R51" s="1971"/>
    </row>
    <row r="52" spans="1:18" s="551" customFormat="1">
      <c r="A52" s="1998"/>
      <c r="B52" s="925"/>
      <c r="C52" s="1991"/>
      <c r="D52" s="1992"/>
      <c r="E52" s="1999" t="s">
        <v>1205</v>
      </c>
      <c r="F52" s="2004"/>
      <c r="I52" s="2005" t="s">
        <v>1316</v>
      </c>
      <c r="J52" s="2006"/>
      <c r="K52" s="2005" t="s">
        <v>1317</v>
      </c>
      <c r="L52" s="2006"/>
      <c r="O52" s="1989" t="s">
        <v>1318</v>
      </c>
      <c r="P52" s="1970" t="s">
        <v>1319</v>
      </c>
      <c r="Q52" s="1971">
        <f ca="1">J53</f>
        <v>0</v>
      </c>
      <c r="R52" s="1971" t="s">
        <v>1320</v>
      </c>
    </row>
    <row r="53" spans="1:18" s="551" customFormat="1" ht="24">
      <c r="A53" s="2398" t="s">
        <v>1321</v>
      </c>
      <c r="B53" s="2096" t="s">
        <v>1206</v>
      </c>
      <c r="C53" s="993">
        <f ca="1">ROUND(IF(F53="押一",C49/12*F11,IF(F53="押二",C49/12*2*F11,IF(F53="押三",C49/12*3*F11,C54*F11))),0)</f>
        <v>0</v>
      </c>
      <c r="D53" s="1851" t="s">
        <v>1207</v>
      </c>
      <c r="E53" s="1848" t="s">
        <v>1208</v>
      </c>
      <c r="F53" s="1852"/>
      <c r="I53" s="2008" t="s">
        <v>1322</v>
      </c>
      <c r="J53" s="2009">
        <f ca="1">IF(M47="住宅",IF(D1="——",MAX(J51,L48),MAX(J51,L48-'数据-取费表'!B24)),IF(D1="——",MIN(J51,L48),MIN(J51,L48-'数据-取费表'!B24)))</f>
        <v>0</v>
      </c>
      <c r="K53" s="3362" t="s">
        <v>1323</v>
      </c>
      <c r="L53" s="3363"/>
      <c r="O53" s="1969" t="s">
        <v>1148</v>
      </c>
      <c r="P53" s="1970" t="s">
        <v>1324</v>
      </c>
      <c r="Q53" s="1971" t="e">
        <f ca="1">Q47+Q48</f>
        <v>#DIV/0!</v>
      </c>
      <c r="R53" s="1971" t="s">
        <v>1325</v>
      </c>
    </row>
    <row r="54" spans="1:18" s="551" customFormat="1">
      <c r="A54" s="2399"/>
      <c r="B54" s="1855" t="s">
        <v>1209</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t="e">
        <f ca="1">ROUND(IF(J47="钢混",J57/J50,1-(1-2%)*(J50-J57)/J50),3)</f>
        <v>#DIV/0!</v>
      </c>
      <c r="K55" s="2017" t="s">
        <v>1328</v>
      </c>
      <c r="L55" s="2018"/>
      <c r="O55" s="1957" t="s">
        <v>1288</v>
      </c>
      <c r="P55" s="1958" t="s">
        <v>1289</v>
      </c>
      <c r="Q55" s="1959" t="s">
        <v>1290</v>
      </c>
      <c r="R55" s="1959" t="s">
        <v>1291</v>
      </c>
    </row>
    <row r="56" spans="1:18" s="551" customFormat="1" ht="24">
      <c r="A56" s="2019">
        <v>2</v>
      </c>
      <c r="B56" s="2020" t="s">
        <v>1212</v>
      </c>
      <c r="C56" s="377">
        <f ca="1">C13</f>
        <v>0</v>
      </c>
      <c r="D56" s="2021"/>
      <c r="E56" s="2022"/>
      <c r="F56" s="2012"/>
      <c r="I56" s="2023" t="s">
        <v>1329</v>
      </c>
      <c r="J56" s="2024"/>
      <c r="K56" s="1977" t="s">
        <v>1330</v>
      </c>
      <c r="L56" s="1980">
        <f ca="1">IF(L48&lt;J51,"——",L48-J53)</f>
        <v>0</v>
      </c>
      <c r="O56" s="1969" t="s">
        <v>1051</v>
      </c>
      <c r="P56" s="1970" t="s">
        <v>1294</v>
      </c>
      <c r="Q56" s="1971" t="e">
        <f ca="1">C40+J29</f>
        <v>#DIV/0!</v>
      </c>
      <c r="R56" s="1971" t="s">
        <v>1295</v>
      </c>
    </row>
    <row r="57" spans="1:18" s="551" customFormat="1" ht="24">
      <c r="A57" s="2025"/>
      <c r="B57" s="2026" t="s">
        <v>1275</v>
      </c>
      <c r="C57" s="387">
        <f ca="1">C29</f>
        <v>0</v>
      </c>
      <c r="D57" s="2027"/>
      <c r="E57" s="2028"/>
      <c r="F57" s="2029"/>
      <c r="I57" s="2030" t="s">
        <v>1331</v>
      </c>
      <c r="J57" s="2031">
        <f ca="1">IF(OR(M47="住宅",J51&lt;L48,J56="是"),"——",J51-L48)</f>
        <v>0</v>
      </c>
      <c r="K57" s="1977" t="s">
        <v>1332</v>
      </c>
      <c r="L57" s="1980">
        <f ca="1">IF(L48&lt;J51,"——",IF(L55="比较法",L49,IF(L55="基准地价",L50,L51)))</f>
        <v>0</v>
      </c>
      <c r="O57" s="1969" t="s">
        <v>1054</v>
      </c>
      <c r="P57" s="1970" t="s">
        <v>1333</v>
      </c>
      <c r="Q57" s="1971" t="e">
        <f ca="1">L60</f>
        <v>#DIV/0!</v>
      </c>
      <c r="R57" s="1971" t="s">
        <v>1334</v>
      </c>
    </row>
    <row r="58" spans="1:18" s="551" customFormat="1" ht="24">
      <c r="A58" s="2032" t="s">
        <v>1220</v>
      </c>
      <c r="B58" s="2020" t="s">
        <v>1221</v>
      </c>
      <c r="C58" s="993">
        <f ca="1">ROUND(C59+C64+C65+C66,0)</f>
        <v>0</v>
      </c>
      <c r="D58" s="2033" t="s">
        <v>1222</v>
      </c>
      <c r="E58" s="2034"/>
      <c r="F58" s="1975"/>
      <c r="I58" s="2030" t="s">
        <v>1335</v>
      </c>
      <c r="J58" s="2035" t="e">
        <f ca="1">IF(J55&lt;0.4,0.4,J55)</f>
        <v>#DIV/0!</v>
      </c>
      <c r="K58" s="2001" t="s">
        <v>1336</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IF(项目基本情况!B11="自然人","——",ROUND(C48*F60/(1+'数据-取费表'!C42),2))</f>
        <v>0</v>
      </c>
      <c r="D60" s="2037" t="s">
        <v>1232</v>
      </c>
      <c r="E60" s="2026" t="s">
        <v>1219</v>
      </c>
      <c r="F60" s="1910">
        <f t="shared" ref="F60:F66" si="0">F32</f>
        <v>5.6000000000000001E-2</v>
      </c>
      <c r="I60" s="2038" t="s">
        <v>1340</v>
      </c>
      <c r="J60" s="2039" t="e">
        <f ca="1">IF(OR(M47="住宅",J51&lt;L48,J56="是"),"0",ROUND(J59/(1+J52)^J53,0))</f>
        <v>#DIV/0!</v>
      </c>
      <c r="K60" s="2040" t="s">
        <v>1341</v>
      </c>
      <c r="L60" s="2039" t="e">
        <f ca="1">IF(OR(M47="住宅",L48&lt;J51),0,ROUND(L57*(L58/L59-1),0))</f>
        <v>#DIV/0!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IF(项目基本情况!B11="自然人","——",IF(D61="按租金收入计税",ROUND(C49*F61/(1+'数据-取费表'!C42),2),IF(D61="按房产原值计税",ROUND(C57*F61*0.7,2),INDIRECT("'数据-取费表'!Aj"&amp;$G$1))))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IF(项目基本情况!B11="自然人","——",ROUND(F62*F63/10000,2))</f>
        <v>0</v>
      </c>
      <c r="D62" s="2042" t="s">
        <v>1240</v>
      </c>
      <c r="E62" s="2026" t="s">
        <v>1241</v>
      </c>
      <c r="F62" s="1903">
        <f t="shared" si="0"/>
        <v>0</v>
      </c>
      <c r="I62" s="2043" t="s">
        <v>1345</v>
      </c>
      <c r="J62" s="1205" t="s">
        <v>1346</v>
      </c>
      <c r="K62" s="1205" t="s">
        <v>1347</v>
      </c>
      <c r="L62" s="1205" t="s">
        <v>1348</v>
      </c>
      <c r="M62" s="2044" t="s">
        <v>1349</v>
      </c>
      <c r="O62" s="1969" t="s">
        <v>1148</v>
      </c>
      <c r="P62" s="1970" t="s">
        <v>1324</v>
      </c>
      <c r="Q62" s="1971" t="e">
        <f ca="1">Q56+Q57</f>
        <v>#DIV/0!</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ROUND(C57*F64,2)</f>
        <v>0</v>
      </c>
      <c r="D64" s="2037" t="s">
        <v>1280</v>
      </c>
      <c r="E64" s="2026" t="s">
        <v>1219</v>
      </c>
      <c r="F64" s="1908">
        <f t="shared" ca="1" si="0"/>
        <v>0</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ROUND(C56*F65,2)</f>
        <v>0</v>
      </c>
      <c r="D65" s="2037" t="s">
        <v>1252</v>
      </c>
      <c r="E65" s="2026" t="s">
        <v>1219</v>
      </c>
      <c r="F65" s="1909">
        <f t="shared" ca="1" si="0"/>
        <v>0</v>
      </c>
      <c r="I65" s="2043" t="s">
        <v>1353</v>
      </c>
      <c r="J65" s="1205">
        <v>40</v>
      </c>
      <c r="K65" s="1205">
        <v>30</v>
      </c>
      <c r="L65" s="1205">
        <v>50</v>
      </c>
      <c r="M65" s="2047">
        <v>0.02</v>
      </c>
      <c r="O65" s="1969" t="s">
        <v>1051</v>
      </c>
      <c r="P65" s="1970" t="s">
        <v>1294</v>
      </c>
      <c r="Q65" s="1971" t="e">
        <f ca="1">C40+J29</f>
        <v>#DIV/0!</v>
      </c>
      <c r="R65" s="1971" t="s">
        <v>1295</v>
      </c>
    </row>
    <row r="66" spans="1:18" s="551" customFormat="1" ht="15.75">
      <c r="A66" s="1877" t="s">
        <v>998</v>
      </c>
      <c r="B66" s="2026" t="s">
        <v>1237</v>
      </c>
      <c r="C66" s="994">
        <f ca="1">ROUND(C48*F66,2)</f>
        <v>0</v>
      </c>
      <c r="D66" s="2037" t="s">
        <v>1255</v>
      </c>
      <c r="E66" s="2026" t="s">
        <v>1219</v>
      </c>
      <c r="F66" s="1847">
        <f t="shared" ca="1" si="0"/>
        <v>0</v>
      </c>
      <c r="O66" s="1969" t="s">
        <v>1054</v>
      </c>
      <c r="P66" s="1970" t="s">
        <v>1333</v>
      </c>
      <c r="Q66" s="1971" t="e">
        <f ca="1">L60</f>
        <v>#DIV/0!</v>
      </c>
      <c r="R66" s="1971" t="s">
        <v>1334</v>
      </c>
    </row>
    <row r="67" spans="1:18" s="551" customFormat="1" ht="15.75">
      <c r="A67" s="2019" t="s">
        <v>1258</v>
      </c>
      <c r="B67" s="2048" t="s">
        <v>1259</v>
      </c>
      <c r="C67" s="993">
        <f ca="1">C48-C58</f>
        <v>0</v>
      </c>
      <c r="D67" s="2036" t="s">
        <v>1260</v>
      </c>
      <c r="E67" s="2049"/>
      <c r="F67" s="2050"/>
      <c r="O67" s="1989" t="s">
        <v>1306</v>
      </c>
      <c r="P67" s="1970" t="s">
        <v>1337</v>
      </c>
      <c r="Q67" s="2051">
        <f ca="1">L51</f>
        <v>0</v>
      </c>
      <c r="R67" s="1971" t="s">
        <v>1354</v>
      </c>
    </row>
    <row r="68" spans="1:18" s="551" customFormat="1" ht="15.75">
      <c r="A68" s="2052" t="s">
        <v>1264</v>
      </c>
      <c r="B68" s="2053" t="s">
        <v>1281</v>
      </c>
      <c r="C68" s="1839" t="e">
        <f ca="1">ROUND(C67*(1-((1+F70)/(1+F68))^F69)/(F68-F70),0)</f>
        <v>#DIV/0!</v>
      </c>
      <c r="D68" s="2042" t="s">
        <v>1266</v>
      </c>
      <c r="E68" s="2026" t="s">
        <v>1267</v>
      </c>
      <c r="F68" s="1847">
        <f ca="1">F40</f>
        <v>0</v>
      </c>
      <c r="O68" s="1989" t="s">
        <v>1310</v>
      </c>
      <c r="P68" s="2054" t="s">
        <v>1355</v>
      </c>
      <c r="Q68" s="1971">
        <f ca="1">ROUND(Q69-Q70*Q71,0)</f>
        <v>0</v>
      </c>
      <c r="R68" s="1971" t="s">
        <v>1356</v>
      </c>
    </row>
    <row r="69" spans="1:18" s="551" customFormat="1">
      <c r="A69" s="2055"/>
      <c r="B69" s="2056"/>
      <c r="C69" s="1846"/>
      <c r="D69" s="2057" t="s">
        <v>1270</v>
      </c>
      <c r="E69" s="2026" t="s">
        <v>1271</v>
      </c>
      <c r="F69" s="1919">
        <f ca="1">F41</f>
        <v>0</v>
      </c>
      <c r="O69" s="1989" t="s">
        <v>1357</v>
      </c>
      <c r="P69" s="2054" t="s">
        <v>1358</v>
      </c>
      <c r="Q69" s="1971">
        <f ca="1">C39</f>
        <v>0</v>
      </c>
      <c r="R69" s="1971" t="s">
        <v>1295</v>
      </c>
    </row>
    <row r="70" spans="1:18" s="551" customFormat="1">
      <c r="A70" s="2058"/>
      <c r="B70" s="2059"/>
      <c r="C70" s="1870"/>
      <c r="D70" s="2046"/>
      <c r="E70" s="2026" t="s">
        <v>1274</v>
      </c>
      <c r="F70" s="2004"/>
      <c r="O70" s="1989" t="s">
        <v>1359</v>
      </c>
      <c r="P70" s="2054" t="s">
        <v>1360</v>
      </c>
      <c r="Q70" s="1971">
        <f ca="1">C13</f>
        <v>0</v>
      </c>
      <c r="R70" s="1971" t="s">
        <v>1295</v>
      </c>
    </row>
    <row r="71" spans="1:18" s="551" customFormat="1">
      <c r="A71" s="2060" t="s">
        <v>1276</v>
      </c>
      <c r="B71" s="2061" t="s">
        <v>1282</v>
      </c>
      <c r="C71" s="1924" t="e">
        <f ca="1">ROUND(C68*10000/F71,0)</f>
        <v>#DIV/0!</v>
      </c>
      <c r="D71" s="2062" t="s">
        <v>1283</v>
      </c>
      <c r="E71" s="2063" t="s">
        <v>1284</v>
      </c>
      <c r="F71" s="1927">
        <f ca="1">F43</f>
        <v>0</v>
      </c>
      <c r="O71" s="1989" t="s">
        <v>1361</v>
      </c>
      <c r="P71" s="2054" t="s">
        <v>1362</v>
      </c>
      <c r="Q71" s="1997">
        <f ca="1">C76</f>
        <v>0</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0</v>
      </c>
      <c r="D75" s="551"/>
      <c r="E75" s="551"/>
      <c r="F75" s="551"/>
      <c r="K75" s="1945"/>
      <c r="L75" s="551"/>
      <c r="O75" s="1969" t="s">
        <v>1148</v>
      </c>
      <c r="P75" s="1970" t="s">
        <v>1324</v>
      </c>
      <c r="Q75" s="1971" t="e">
        <f ca="1">Q65+Q66</f>
        <v>#DIV/0!</v>
      </c>
      <c r="R75" s="1971" t="s">
        <v>1325</v>
      </c>
    </row>
    <row r="76" spans="1:18">
      <c r="B76" s="511" t="s">
        <v>1366</v>
      </c>
      <c r="C76" s="2067">
        <f ca="1">INDIRECT("'数据-取费表'!j"&amp;$G$1)</f>
        <v>0</v>
      </c>
      <c r="I76" s="551"/>
      <c r="J76" s="551"/>
      <c r="K76" s="1945"/>
      <c r="L76" s="551"/>
    </row>
    <row r="77" spans="1:18">
      <c r="B77" s="2068" t="s">
        <v>1367</v>
      </c>
      <c r="C77" s="2069"/>
      <c r="I77" s="551"/>
      <c r="J77" s="551"/>
      <c r="K77" s="1945"/>
      <c r="L77" s="551"/>
    </row>
    <row r="78" spans="1:18">
      <c r="B78" s="417" t="s">
        <v>1368</v>
      </c>
      <c r="C78" s="2070"/>
    </row>
    <row r="79" spans="1:18">
      <c r="B79" s="2065" t="s">
        <v>1369</v>
      </c>
      <c r="C79" s="420" t="e">
        <f ca="1">1-C80</f>
        <v>#DIV/0!</v>
      </c>
    </row>
    <row r="80" spans="1:18">
      <c r="B80" s="2065" t="s">
        <v>1370</v>
      </c>
      <c r="C80" s="420" t="e">
        <f ca="1">ROUND(C75/C39,3)</f>
        <v>#DIV/0!</v>
      </c>
    </row>
    <row r="81" spans="2:3">
      <c r="B81" s="417" t="s">
        <v>1371</v>
      </c>
      <c r="C81" s="387"/>
    </row>
    <row r="82" spans="2:3">
      <c r="B82" s="419" t="s">
        <v>1130</v>
      </c>
      <c r="C82" s="421" t="e">
        <f ca="1">1-C83</f>
        <v>#DIV/0!</v>
      </c>
    </row>
    <row r="83" spans="2:3">
      <c r="B83" s="419" t="s">
        <v>1131</v>
      </c>
      <c r="C83" s="42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workbookViewId="0">
      <selection activeCell="M17" sqref="M17"/>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6.125" style="1015" customWidth="1"/>
    <col min="6" max="6" width="12.25" style="1015" customWidth="1"/>
    <col min="7" max="7" width="15.7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t="s">
        <v>229</v>
      </c>
      <c r="E1" s="1374" t="s">
        <v>1375</v>
      </c>
      <c r="F1" s="1375" t="s">
        <v>1376</v>
      </c>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955.25120000000004</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32272</v>
      </c>
      <c r="C3" s="1387" t="s">
        <v>1378</v>
      </c>
      <c r="D3" s="1388">
        <f>IF(D1="",'数据-汇总表'!E3,SUMIF('数据-汇总表'!$C19:$C33,D1,'数据-汇总表'!$E19:$E33))</f>
        <v>296</v>
      </c>
      <c r="E3" s="235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02" t="s">
        <v>1385</v>
      </c>
      <c r="Q4" s="3403"/>
      <c r="R4" s="3408" t="s">
        <v>1381</v>
      </c>
      <c r="S4" s="3409"/>
      <c r="T4" s="3408" t="s">
        <v>1382</v>
      </c>
      <c r="U4" s="3409"/>
      <c r="V4" s="3414" t="s">
        <v>1383</v>
      </c>
      <c r="W4" s="3414"/>
      <c r="X4" s="2382"/>
      <c r="Y4" s="3408" t="s">
        <v>1385</v>
      </c>
      <c r="Z4" s="3409"/>
      <c r="AA4" s="3396" t="s">
        <v>1381</v>
      </c>
      <c r="AB4" s="3396" t="s">
        <v>1382</v>
      </c>
      <c r="AC4" s="3399" t="s">
        <v>1383</v>
      </c>
    </row>
    <row r="5" spans="1:29" ht="15">
      <c r="A5" s="1047"/>
      <c r="B5" s="1048"/>
      <c r="C5" s="3371" t="s">
        <v>1386</v>
      </c>
      <c r="D5" s="3372"/>
      <c r="E5" s="3371" t="s">
        <v>1387</v>
      </c>
      <c r="F5" s="3372"/>
      <c r="G5" s="3371" t="s">
        <v>1387</v>
      </c>
      <c r="H5" s="3372"/>
      <c r="I5" s="3371" t="s">
        <v>1388</v>
      </c>
      <c r="J5" s="3372"/>
      <c r="K5" s="1040"/>
      <c r="L5" s="1041"/>
      <c r="M5" s="1042"/>
      <c r="N5" s="1042"/>
      <c r="O5" s="1042"/>
      <c r="P5" s="3404"/>
      <c r="Q5" s="3405"/>
      <c r="R5" s="3410"/>
      <c r="S5" s="3411"/>
      <c r="T5" s="3410"/>
      <c r="U5" s="3411"/>
      <c r="V5" s="3383"/>
      <c r="W5" s="3383"/>
      <c r="X5" s="1046"/>
      <c r="Y5" s="3410"/>
      <c r="Z5" s="3411"/>
      <c r="AA5" s="3397"/>
      <c r="AB5" s="3397"/>
      <c r="AC5" s="3400"/>
    </row>
    <row r="6" spans="1:29" ht="15">
      <c r="A6" s="1050"/>
      <c r="B6" s="1051"/>
      <c r="C6" s="3373" t="s">
        <v>1389</v>
      </c>
      <c r="D6" s="3374"/>
      <c r="E6" s="3375" t="s">
        <v>1389</v>
      </c>
      <c r="F6" s="3376"/>
      <c r="G6" s="3373" t="s">
        <v>1389</v>
      </c>
      <c r="H6" s="3374"/>
      <c r="I6" s="3373" t="s">
        <v>1389</v>
      </c>
      <c r="J6" s="3374"/>
      <c r="K6" s="1040" t="s">
        <v>1390</v>
      </c>
      <c r="L6" s="1041"/>
      <c r="M6" s="1042"/>
      <c r="N6" s="1042"/>
      <c r="O6" s="1042"/>
      <c r="P6" s="3406"/>
      <c r="Q6" s="3407"/>
      <c r="R6" s="3410"/>
      <c r="S6" s="3411"/>
      <c r="T6" s="3412"/>
      <c r="U6" s="3413"/>
      <c r="V6" s="3383"/>
      <c r="W6" s="3383"/>
      <c r="X6" s="1046"/>
      <c r="Y6" s="3412"/>
      <c r="Z6" s="3413"/>
      <c r="AA6" s="3398"/>
      <c r="AB6" s="3398"/>
      <c r="AC6" s="3401"/>
    </row>
    <row r="7" spans="1:29" s="1009" customFormat="1" ht="15">
      <c r="A7" s="1054" t="s">
        <v>1391</v>
      </c>
      <c r="B7" s="1055"/>
      <c r="C7" s="1056">
        <f>'数据-取费表'!B2</f>
        <v>45981</v>
      </c>
      <c r="D7" s="1057">
        <v>100</v>
      </c>
      <c r="E7" s="1058">
        <v>45931</v>
      </c>
      <c r="F7" s="1059">
        <f>SUMIF(59:59,YEAR(E7)&amp;"-"&amp;MONTH(E7),60:60)</f>
        <v>100</v>
      </c>
      <c r="G7" s="1058">
        <v>45931</v>
      </c>
      <c r="H7" s="1057">
        <f>SUMIF(59:59,YEAR(G7)&amp;"-"&amp;MONTH(G7),60:60)</f>
        <v>100</v>
      </c>
      <c r="I7" s="1058">
        <v>45962</v>
      </c>
      <c r="J7" s="1057">
        <f>SUMIF(59:59,YEAR(I7)&amp;"-"&amp;MONTH(I7),60:60)</f>
        <v>100</v>
      </c>
      <c r="K7" s="1061"/>
      <c r="L7" s="1062"/>
      <c r="M7" s="1063"/>
      <c r="N7" s="1063"/>
      <c r="O7" s="1063"/>
      <c r="P7" s="3377" t="s">
        <v>1392</v>
      </c>
      <c r="Q7" s="3378"/>
      <c r="R7" s="1065" t="s">
        <v>1393</v>
      </c>
      <c r="S7" s="1066">
        <f t="shared" ref="S7:S15" si="0">F7</f>
        <v>100</v>
      </c>
      <c r="T7" s="1065" t="s">
        <v>1393</v>
      </c>
      <c r="U7" s="1066">
        <f t="shared" ref="U7:U15" si="1">H7</f>
        <v>100</v>
      </c>
      <c r="V7" s="1065" t="s">
        <v>1393</v>
      </c>
      <c r="W7" s="1066">
        <f t="shared" ref="W7:W15" si="2">J7</f>
        <v>100</v>
      </c>
      <c r="X7" s="1067"/>
      <c r="Y7" s="3379" t="s">
        <v>1392</v>
      </c>
      <c r="Z7" s="3380"/>
      <c r="AA7" s="1069">
        <f>D7/F7</f>
        <v>1</v>
      </c>
      <c r="AB7" s="1069">
        <f>D7/H7</f>
        <v>1</v>
      </c>
      <c r="AC7" s="2383">
        <f>D7/J7</f>
        <v>1</v>
      </c>
    </row>
    <row r="8" spans="1:29" s="1009" customFormat="1" ht="15">
      <c r="A8" s="1054" t="s">
        <v>1394</v>
      </c>
      <c r="B8" s="1055"/>
      <c r="C8" s="1070" t="s">
        <v>1395</v>
      </c>
      <c r="D8" s="1057">
        <v>100</v>
      </c>
      <c r="E8" s="1070" t="s">
        <v>1395</v>
      </c>
      <c r="F8" s="1059">
        <f>SUMIF(62:62,E8,63:63)-SUMIF(62:62,C8,63:63)+100</f>
        <v>100</v>
      </c>
      <c r="G8" s="1070" t="s">
        <v>1395</v>
      </c>
      <c r="H8" s="1057">
        <f>SUMIF(62:62,G8,63:63)-SUMIF(62:62,C8,63:63)+100</f>
        <v>100</v>
      </c>
      <c r="I8" s="1070" t="s">
        <v>1396</v>
      </c>
      <c r="J8" s="1057">
        <f>SUMIF(62:62,I8,63:63)-SUMIF(62:62,C8,63:63)+100</f>
        <v>103</v>
      </c>
      <c r="K8" s="1061"/>
      <c r="L8" s="1062"/>
      <c r="M8" s="1063"/>
      <c r="N8" s="1063"/>
      <c r="O8" s="1063"/>
      <c r="P8" s="3377" t="s">
        <v>1397</v>
      </c>
      <c r="Q8" s="3380"/>
      <c r="R8" s="1065" t="s">
        <v>1393</v>
      </c>
      <c r="S8" s="1066">
        <f t="shared" si="0"/>
        <v>100</v>
      </c>
      <c r="T8" s="1065" t="s">
        <v>1393</v>
      </c>
      <c r="U8" s="1066">
        <f t="shared" si="1"/>
        <v>100</v>
      </c>
      <c r="V8" s="1065" t="s">
        <v>1393</v>
      </c>
      <c r="W8" s="1066">
        <f t="shared" si="2"/>
        <v>103</v>
      </c>
      <c r="X8" s="1067"/>
      <c r="Y8" s="3379" t="s">
        <v>1397</v>
      </c>
      <c r="Z8" s="3380"/>
      <c r="AA8" s="1069">
        <f t="shared" ref="AA8:AA47" si="3">D8/F8</f>
        <v>1</v>
      </c>
      <c r="AB8" s="1069">
        <f t="shared" ref="AB8:AB47" si="4">D8/H8</f>
        <v>1</v>
      </c>
      <c r="AC8" s="2383">
        <f t="shared" ref="AC8:AC47" si="5">D8/J8</f>
        <v>0.970873786407767</v>
      </c>
    </row>
    <row r="9" spans="1:29" s="1009" customFormat="1" ht="15">
      <c r="A9" s="1071" t="s">
        <v>1398</v>
      </c>
      <c r="B9" s="1072" t="s">
        <v>1399</v>
      </c>
      <c r="C9" s="2356" t="s">
        <v>229</v>
      </c>
      <c r="D9" s="1074">
        <v>100</v>
      </c>
      <c r="E9" s="1390" t="s">
        <v>230</v>
      </c>
      <c r="F9" s="1074">
        <f>SUMIF(64:64,E9,65:65)-SUMIF(64:64,C9,65:65)+100</f>
        <v>101</v>
      </c>
      <c r="G9" s="1390" t="s">
        <v>230</v>
      </c>
      <c r="H9" s="1074">
        <f>SUMIF(64:64,G9,65:65)-SUMIF(64:64,C9,65:65)+100</f>
        <v>101</v>
      </c>
      <c r="I9" s="1390" t="s">
        <v>230</v>
      </c>
      <c r="J9" s="1074">
        <f>SUMIF(64:64,I9,65:65)-SUMIF(64:64,C9,65:65)+100</f>
        <v>101</v>
      </c>
      <c r="K9" s="1061"/>
      <c r="L9" s="1062"/>
      <c r="M9" s="1063"/>
      <c r="N9" s="1063"/>
      <c r="O9" s="1063"/>
      <c r="P9" s="3381" t="s">
        <v>1400</v>
      </c>
      <c r="Q9" s="809" t="str">
        <f t="shared" ref="Q9:Q15" si="6">B9</f>
        <v>用途</v>
      </c>
      <c r="R9" s="1065" t="s">
        <v>1393</v>
      </c>
      <c r="S9" s="1066">
        <f t="shared" si="0"/>
        <v>101</v>
      </c>
      <c r="T9" s="1065" t="s">
        <v>1393</v>
      </c>
      <c r="U9" s="1066">
        <f t="shared" si="1"/>
        <v>101</v>
      </c>
      <c r="V9" s="1065" t="s">
        <v>1393</v>
      </c>
      <c r="W9" s="1066">
        <f t="shared" si="2"/>
        <v>101</v>
      </c>
      <c r="X9" s="1067"/>
      <c r="Y9" s="3358" t="s">
        <v>1401</v>
      </c>
      <c r="Z9" s="1069" t="str">
        <f t="shared" ref="Z9:Z15" si="7">Q9</f>
        <v>用途</v>
      </c>
      <c r="AA9" s="1069">
        <f t="shared" si="3"/>
        <v>0.99009900990098998</v>
      </c>
      <c r="AB9" s="1069">
        <f t="shared" si="4"/>
        <v>0.99009900990098998</v>
      </c>
      <c r="AC9" s="2383">
        <f t="shared" si="5"/>
        <v>0.99009900990098998</v>
      </c>
    </row>
    <row r="10" spans="1:29" s="1010" customFormat="1" ht="27">
      <c r="A10" s="1076"/>
      <c r="B10" s="1077" t="s">
        <v>1402</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1"/>
      <c r="Q10" s="809" t="str">
        <f t="shared" si="6"/>
        <v>土地使用年限（年）</v>
      </c>
      <c r="R10" s="1065" t="s">
        <v>1393</v>
      </c>
      <c r="S10" s="1066">
        <f t="shared" si="0"/>
        <v>100</v>
      </c>
      <c r="T10" s="1065" t="s">
        <v>1393</v>
      </c>
      <c r="U10" s="1066">
        <f t="shared" si="1"/>
        <v>100</v>
      </c>
      <c r="V10" s="1065" t="s">
        <v>1393</v>
      </c>
      <c r="W10" s="1066">
        <f t="shared" si="2"/>
        <v>100</v>
      </c>
      <c r="X10" s="1067"/>
      <c r="Y10" s="3358"/>
      <c r="Z10" s="1069" t="str">
        <f t="shared" si="7"/>
        <v>土地使用年限（年）</v>
      </c>
      <c r="AA10" s="1069">
        <f t="shared" si="3"/>
        <v>1</v>
      </c>
      <c r="AB10" s="1069">
        <f t="shared" si="4"/>
        <v>1</v>
      </c>
      <c r="AC10" s="2383">
        <f t="shared" si="5"/>
        <v>1</v>
      </c>
    </row>
    <row r="11" spans="1:29" ht="15">
      <c r="A11" s="1084"/>
      <c r="B11" s="1077" t="s">
        <v>1403</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1"/>
      <c r="Q11" s="809" t="str">
        <f t="shared" si="6"/>
        <v>容积率</v>
      </c>
      <c r="R11" s="1065" t="s">
        <v>1393</v>
      </c>
      <c r="S11" s="1066">
        <f t="shared" si="0"/>
        <v>100</v>
      </c>
      <c r="T11" s="1065" t="s">
        <v>1393</v>
      </c>
      <c r="U11" s="1066">
        <f t="shared" si="1"/>
        <v>100</v>
      </c>
      <c r="V11" s="1065" t="s">
        <v>1393</v>
      </c>
      <c r="W11" s="1066">
        <f t="shared" si="2"/>
        <v>100</v>
      </c>
      <c r="X11" s="1067"/>
      <c r="Y11" s="3358"/>
      <c r="Z11" s="1069" t="str">
        <f t="shared" si="7"/>
        <v>容积率</v>
      </c>
      <c r="AA11" s="1069">
        <f t="shared" si="3"/>
        <v>1</v>
      </c>
      <c r="AB11" s="1069">
        <f t="shared" si="4"/>
        <v>1</v>
      </c>
      <c r="AC11" s="2383">
        <f t="shared" si="5"/>
        <v>1</v>
      </c>
    </row>
    <row r="12" spans="1:29" s="1009" customFormat="1" ht="15">
      <c r="A12" s="1090"/>
      <c r="B12" s="1091">
        <v>111</v>
      </c>
      <c r="C12" s="1078"/>
      <c r="D12" s="1092">
        <v>100</v>
      </c>
      <c r="E12" s="1078"/>
      <c r="F12" s="1079">
        <f>SUMIF(71:71,E12,72:72)-SUMIF(71:71,C12,72:72)+100</f>
        <v>100</v>
      </c>
      <c r="G12" s="2384"/>
      <c r="H12" s="1079">
        <f>SUMIF(71:71,G12,72:72)-SUMIF(71:71,C12,72:72)+100</f>
        <v>100</v>
      </c>
      <c r="I12" s="1078"/>
      <c r="J12" s="1079">
        <f>SUMIF(71:71,I12,72:72)-SUMIF(71:71,C12,72:72)+100</f>
        <v>100</v>
      </c>
      <c r="K12" s="1131"/>
      <c r="L12" s="1062"/>
      <c r="M12" s="1063"/>
      <c r="N12" s="1063"/>
      <c r="O12" s="1063"/>
      <c r="P12" s="3381"/>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2383">
        <f t="shared" si="5"/>
        <v>1</v>
      </c>
    </row>
    <row r="13" spans="1:29" ht="15">
      <c r="A13" s="1084"/>
      <c r="B13" s="1091">
        <v>111</v>
      </c>
      <c r="C13" s="1095"/>
      <c r="D13" s="706">
        <v>100</v>
      </c>
      <c r="E13" s="1078"/>
      <c r="F13" s="1079">
        <f>SUMIF(73:73,E13,74:74)-SUMIF(73:73,C13,74:74)+100</f>
        <v>100</v>
      </c>
      <c r="G13" s="2384"/>
      <c r="H13" s="706">
        <f>SUMIF(73:73,G13,74:74)-SUMIF(73:73,C13,74:74)+100</f>
        <v>100</v>
      </c>
      <c r="I13" s="1078"/>
      <c r="J13" s="706">
        <f>SUMIF(73:73,I13,74:74)-SUMIF(73:73,C13,74:74)+100</f>
        <v>100</v>
      </c>
      <c r="K13" s="1131"/>
      <c r="L13" s="1096"/>
      <c r="M13" s="1042"/>
      <c r="N13" s="1042"/>
      <c r="O13" s="1042"/>
      <c r="P13" s="3381"/>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2383">
        <f t="shared" si="5"/>
        <v>1</v>
      </c>
    </row>
    <row r="14" spans="1:29" ht="15">
      <c r="A14" s="1097"/>
      <c r="B14" s="1098">
        <v>111</v>
      </c>
      <c r="C14" s="1099"/>
      <c r="D14" s="1100">
        <v>100</v>
      </c>
      <c r="E14" s="1452"/>
      <c r="F14" s="1100">
        <f>SUMIF(75:75,E14,76:76)-SUMIF(75:75,C14,76:76)+100</f>
        <v>100</v>
      </c>
      <c r="G14" s="2384"/>
      <c r="H14" s="1100">
        <f>SUMIF(75:75,G14,76:76)-SUMIF(75:75,C14,76:76)+100</f>
        <v>100</v>
      </c>
      <c r="I14" s="1078"/>
      <c r="J14" s="1100">
        <f>SUMIF(75:75,I14,76:76)-SUMIF(75:75,C14,76:76)+100</f>
        <v>100</v>
      </c>
      <c r="K14" s="1131"/>
      <c r="L14" s="1096"/>
      <c r="M14" s="1042"/>
      <c r="N14" s="1042"/>
      <c r="O14" s="1042"/>
      <c r="P14" s="3381"/>
      <c r="Q14" s="809">
        <f t="shared" si="6"/>
        <v>111</v>
      </c>
      <c r="R14" s="1065" t="s">
        <v>1393</v>
      </c>
      <c r="S14" s="1066">
        <f t="shared" si="0"/>
        <v>100</v>
      </c>
      <c r="T14" s="1065" t="s">
        <v>1393</v>
      </c>
      <c r="U14" s="1066">
        <f t="shared" si="1"/>
        <v>100</v>
      </c>
      <c r="V14" s="1065" t="s">
        <v>1393</v>
      </c>
      <c r="W14" s="1066">
        <f t="shared" si="2"/>
        <v>100</v>
      </c>
      <c r="X14" s="1067"/>
      <c r="Y14" s="3358"/>
      <c r="Z14" s="1069">
        <f t="shared" si="7"/>
        <v>111</v>
      </c>
      <c r="AA14" s="1069">
        <f t="shared" si="3"/>
        <v>1</v>
      </c>
      <c r="AB14" s="1069">
        <f t="shared" si="4"/>
        <v>1</v>
      </c>
      <c r="AC14" s="2383">
        <f t="shared" si="5"/>
        <v>1</v>
      </c>
    </row>
    <row r="15" spans="1:29" ht="15">
      <c r="A15" s="1101" t="s">
        <v>1404</v>
      </c>
      <c r="B15" s="1102" t="s">
        <v>1405</v>
      </c>
      <c r="C15" s="238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84" t="s">
        <v>1406</v>
      </c>
      <c r="Q15" s="705" t="str">
        <f t="shared" si="6"/>
        <v>办公集聚程度</v>
      </c>
      <c r="R15" s="1107" t="s">
        <v>1393</v>
      </c>
      <c r="S15" s="1108">
        <f t="shared" si="0"/>
        <v>100</v>
      </c>
      <c r="T15" s="1107" t="s">
        <v>1393</v>
      </c>
      <c r="U15" s="1108">
        <f t="shared" si="1"/>
        <v>100</v>
      </c>
      <c r="V15" s="1107" t="s">
        <v>1393</v>
      </c>
      <c r="W15" s="1108">
        <f t="shared" si="2"/>
        <v>100</v>
      </c>
      <c r="X15" s="1046"/>
      <c r="Y15" s="3389" t="s">
        <v>1406</v>
      </c>
      <c r="Z15" s="1045" t="str">
        <f t="shared" si="7"/>
        <v>办公集聚程度</v>
      </c>
      <c r="AA15" s="1045">
        <f t="shared" si="3"/>
        <v>1</v>
      </c>
      <c r="AB15" s="1045">
        <f t="shared" si="4"/>
        <v>1</v>
      </c>
      <c r="AC15" s="2386">
        <f t="shared" si="5"/>
        <v>1</v>
      </c>
    </row>
    <row r="16" spans="1:29" ht="15">
      <c r="A16" s="1084"/>
      <c r="B16" s="1109"/>
      <c r="C16" s="1112" t="s">
        <v>1407</v>
      </c>
      <c r="D16" s="1111"/>
      <c r="E16" s="1112" t="s">
        <v>1407</v>
      </c>
      <c r="F16" s="1111"/>
      <c r="G16" s="1112" t="s">
        <v>1407</v>
      </c>
      <c r="H16" s="1113"/>
      <c r="I16" s="1112" t="s">
        <v>1407</v>
      </c>
      <c r="J16" s="1111"/>
      <c r="K16" s="1396"/>
      <c r="L16" s="1096"/>
      <c r="M16" s="1042"/>
      <c r="N16" s="1042"/>
      <c r="O16" s="1042"/>
      <c r="P16" s="3385"/>
      <c r="Q16" s="705"/>
      <c r="R16" s="1107"/>
      <c r="S16" s="1108"/>
      <c r="T16" s="1107"/>
      <c r="U16" s="1108"/>
      <c r="V16" s="1107"/>
      <c r="W16" s="1108"/>
      <c r="X16" s="1046"/>
      <c r="Y16" s="3390"/>
      <c r="Z16" s="1045"/>
      <c r="AA16" s="1045">
        <v>1</v>
      </c>
      <c r="AB16" s="1045">
        <v>1</v>
      </c>
      <c r="AC16" s="2386">
        <v>1</v>
      </c>
    </row>
    <row r="17" spans="1:29" ht="15">
      <c r="A17" s="1084"/>
      <c r="B17" s="1115" t="s">
        <v>1408</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85"/>
      <c r="Q17" s="705" t="str">
        <f>B17</f>
        <v>交通便捷度</v>
      </c>
      <c r="R17" s="1107" t="s">
        <v>1393</v>
      </c>
      <c r="S17" s="1108">
        <f>F17</f>
        <v>100</v>
      </c>
      <c r="T17" s="1107" t="s">
        <v>1393</v>
      </c>
      <c r="U17" s="1108">
        <f>H17</f>
        <v>100</v>
      </c>
      <c r="V17" s="1107" t="s">
        <v>1393</v>
      </c>
      <c r="W17" s="1108">
        <f>J17</f>
        <v>100</v>
      </c>
      <c r="X17" s="1046"/>
      <c r="Y17" s="3390"/>
      <c r="Z17" s="1045" t="str">
        <f>Q17</f>
        <v>交通便捷度</v>
      </c>
      <c r="AA17" s="1045">
        <f t="shared" si="3"/>
        <v>1</v>
      </c>
      <c r="AB17" s="1045">
        <f t="shared" si="4"/>
        <v>1</v>
      </c>
      <c r="AC17" s="2386">
        <f t="shared" si="5"/>
        <v>1</v>
      </c>
    </row>
    <row r="18" spans="1:29" ht="15">
      <c r="A18" s="1084"/>
      <c r="B18" s="1120"/>
      <c r="C18" s="1112" t="s">
        <v>1407</v>
      </c>
      <c r="D18" s="1113"/>
      <c r="E18" s="1112" t="s">
        <v>1407</v>
      </c>
      <c r="F18" s="1113"/>
      <c r="G18" s="1112" t="s">
        <v>1407</v>
      </c>
      <c r="H18" s="1111"/>
      <c r="I18" s="1112" t="s">
        <v>1407</v>
      </c>
      <c r="J18" s="1111"/>
      <c r="K18" s="1396"/>
      <c r="L18" s="1096"/>
      <c r="M18" s="1042"/>
      <c r="N18" s="1042"/>
      <c r="O18" s="1042"/>
      <c r="P18" s="3385"/>
      <c r="Q18" s="705"/>
      <c r="R18" s="1107"/>
      <c r="S18" s="1108"/>
      <c r="T18" s="1107"/>
      <c r="U18" s="1108"/>
      <c r="V18" s="1107"/>
      <c r="W18" s="1108"/>
      <c r="X18" s="1046"/>
      <c r="Y18" s="3390"/>
      <c r="Z18" s="1045"/>
      <c r="AA18" s="1045">
        <v>1</v>
      </c>
      <c r="AB18" s="1045">
        <v>1</v>
      </c>
      <c r="AC18" s="2386">
        <v>1</v>
      </c>
    </row>
    <row r="19" spans="1:29" ht="15">
      <c r="A19" s="1084"/>
      <c r="B19" s="1115" t="s">
        <v>1409</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85"/>
      <c r="Q19" s="705" t="str">
        <f>B19</f>
        <v>公共配套设施</v>
      </c>
      <c r="R19" s="1107" t="s">
        <v>1393</v>
      </c>
      <c r="S19" s="1108">
        <f>F19</f>
        <v>100</v>
      </c>
      <c r="T19" s="1107" t="s">
        <v>1393</v>
      </c>
      <c r="U19" s="1108">
        <f>H19</f>
        <v>100</v>
      </c>
      <c r="V19" s="1107" t="s">
        <v>1393</v>
      </c>
      <c r="W19" s="1108">
        <f>J19</f>
        <v>100</v>
      </c>
      <c r="X19" s="1046"/>
      <c r="Y19" s="3390"/>
      <c r="Z19" s="1045" t="str">
        <f>Q19</f>
        <v>公共配套设施</v>
      </c>
      <c r="AA19" s="1045">
        <f t="shared" si="3"/>
        <v>1</v>
      </c>
      <c r="AB19" s="1045">
        <f t="shared" si="4"/>
        <v>1</v>
      </c>
      <c r="AC19" s="2386">
        <f t="shared" si="5"/>
        <v>1</v>
      </c>
    </row>
    <row r="20" spans="1:29" ht="15">
      <c r="A20" s="1084"/>
      <c r="B20" s="1120"/>
      <c r="C20" s="1112" t="s">
        <v>1407</v>
      </c>
      <c r="D20" s="1111"/>
      <c r="E20" s="1112" t="s">
        <v>1407</v>
      </c>
      <c r="F20" s="1111"/>
      <c r="G20" s="1112" t="s">
        <v>1407</v>
      </c>
      <c r="H20" s="1111"/>
      <c r="I20" s="1112" t="s">
        <v>1407</v>
      </c>
      <c r="J20" s="1111"/>
      <c r="K20" s="1396"/>
      <c r="L20" s="1096"/>
      <c r="M20" s="1042"/>
      <c r="N20" s="1042"/>
      <c r="O20" s="1042"/>
      <c r="P20" s="3385"/>
      <c r="Q20" s="705"/>
      <c r="R20" s="1107"/>
      <c r="S20" s="1108"/>
      <c r="T20" s="1107"/>
      <c r="U20" s="1108"/>
      <c r="V20" s="1107"/>
      <c r="W20" s="1108"/>
      <c r="X20" s="1046"/>
      <c r="Y20" s="3390"/>
      <c r="Z20" s="1045"/>
      <c r="AA20" s="1045">
        <v>1</v>
      </c>
      <c r="AB20" s="1045">
        <v>1</v>
      </c>
      <c r="AC20" s="2386">
        <v>1</v>
      </c>
    </row>
    <row r="21" spans="1:29" ht="15">
      <c r="A21" s="1084"/>
      <c r="B21" s="1125" t="s">
        <v>1410</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85"/>
      <c r="Q21" s="705" t="str">
        <f>B21</f>
        <v>基础设施水平</v>
      </c>
      <c r="R21" s="1107" t="s">
        <v>1393</v>
      </c>
      <c r="S21" s="1108">
        <f>F21</f>
        <v>100</v>
      </c>
      <c r="T21" s="1107" t="s">
        <v>1393</v>
      </c>
      <c r="U21" s="1108">
        <f>H21</f>
        <v>100</v>
      </c>
      <c r="V21" s="1107" t="s">
        <v>1393</v>
      </c>
      <c r="W21" s="1108">
        <f>J21</f>
        <v>100</v>
      </c>
      <c r="X21" s="1046"/>
      <c r="Y21" s="3390"/>
      <c r="Z21" s="1045" t="str">
        <f>Q21</f>
        <v>基础设施水平</v>
      </c>
      <c r="AA21" s="1045">
        <f t="shared" ref="AA21" si="8">D21/F21</f>
        <v>1</v>
      </c>
      <c r="AB21" s="1045">
        <f t="shared" ref="AB21" si="9">D21/H21</f>
        <v>1</v>
      </c>
      <c r="AC21" s="2386">
        <f t="shared" ref="AC21" si="10">D21/J21</f>
        <v>1</v>
      </c>
    </row>
    <row r="22" spans="1:29" ht="15">
      <c r="A22" s="1084"/>
      <c r="B22" s="1125"/>
      <c r="C22" s="2387" t="s">
        <v>241</v>
      </c>
      <c r="D22" s="1111"/>
      <c r="E22" s="2387" t="s">
        <v>241</v>
      </c>
      <c r="F22" s="1111"/>
      <c r="G22" s="2387" t="s">
        <v>241</v>
      </c>
      <c r="H22" s="1111"/>
      <c r="I22" s="2387" t="s">
        <v>241</v>
      </c>
      <c r="J22" s="1111"/>
      <c r="K22" s="1397"/>
      <c r="L22" s="1096"/>
      <c r="M22" s="1042"/>
      <c r="N22" s="1042"/>
      <c r="O22" s="1042"/>
      <c r="P22" s="3385"/>
      <c r="Q22" s="705"/>
      <c r="R22" s="1107"/>
      <c r="S22" s="1108"/>
      <c r="T22" s="1107"/>
      <c r="U22" s="1108"/>
      <c r="V22" s="1107"/>
      <c r="W22" s="1108"/>
      <c r="X22" s="1046"/>
      <c r="Y22" s="3390"/>
      <c r="Z22" s="1045"/>
      <c r="AA22" s="1045">
        <v>1</v>
      </c>
      <c r="AB22" s="1045">
        <v>1</v>
      </c>
      <c r="AC22" s="2386">
        <v>1</v>
      </c>
    </row>
    <row r="23" spans="1:29" ht="15">
      <c r="A23" s="1084"/>
      <c r="B23" s="1115" t="s">
        <v>1411</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85"/>
      <c r="Q23" s="705" t="str">
        <f>B23</f>
        <v>环境质量</v>
      </c>
      <c r="R23" s="1107" t="s">
        <v>1393</v>
      </c>
      <c r="S23" s="1108">
        <f>F23</f>
        <v>100</v>
      </c>
      <c r="T23" s="1107" t="s">
        <v>1393</v>
      </c>
      <c r="U23" s="1108">
        <f>H23</f>
        <v>100</v>
      </c>
      <c r="V23" s="1107" t="s">
        <v>1393</v>
      </c>
      <c r="W23" s="1108">
        <f>J23</f>
        <v>100</v>
      </c>
      <c r="X23" s="1046"/>
      <c r="Y23" s="3390"/>
      <c r="Z23" s="1045" t="str">
        <f>Q23</f>
        <v>环境质量</v>
      </c>
      <c r="AA23" s="1045">
        <f t="shared" si="3"/>
        <v>1</v>
      </c>
      <c r="AB23" s="1045">
        <f t="shared" si="4"/>
        <v>1</v>
      </c>
      <c r="AC23" s="2386">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85"/>
      <c r="Q24" s="705"/>
      <c r="R24" s="1107"/>
      <c r="S24" s="1108"/>
      <c r="T24" s="1107"/>
      <c r="U24" s="1108"/>
      <c r="V24" s="1107"/>
      <c r="W24" s="1108"/>
      <c r="X24" s="1046"/>
      <c r="Y24" s="3390"/>
      <c r="Z24" s="1045"/>
      <c r="AA24" s="1045">
        <v>1</v>
      </c>
      <c r="AB24" s="1045">
        <v>1</v>
      </c>
      <c r="AC24" s="2386">
        <v>1</v>
      </c>
    </row>
    <row r="25" spans="1:29" ht="27">
      <c r="A25" s="1047"/>
      <c r="B25" s="1115" t="s">
        <v>1413</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85"/>
      <c r="Q25" s="705" t="str">
        <f>B25</f>
        <v>毗邻道路的类型与等级</v>
      </c>
      <c r="R25" s="1107" t="s">
        <v>1393</v>
      </c>
      <c r="S25" s="1108">
        <f>F25</f>
        <v>100</v>
      </c>
      <c r="T25" s="1107" t="s">
        <v>1393</v>
      </c>
      <c r="U25" s="1108">
        <f>H25</f>
        <v>100</v>
      </c>
      <c r="V25" s="1107" t="s">
        <v>1393</v>
      </c>
      <c r="W25" s="1108">
        <f>J25</f>
        <v>100</v>
      </c>
      <c r="X25" s="1046"/>
      <c r="Y25" s="3390"/>
      <c r="Z25" s="1045" t="str">
        <f>Q25</f>
        <v>毗邻道路的类型与等级</v>
      </c>
      <c r="AA25" s="1045">
        <f t="shared" si="3"/>
        <v>1</v>
      </c>
      <c r="AB25" s="1045">
        <f t="shared" si="4"/>
        <v>1</v>
      </c>
      <c r="AC25" s="2386">
        <f t="shared" si="5"/>
        <v>1</v>
      </c>
    </row>
    <row r="26" spans="1:29" ht="15">
      <c r="A26" s="1047"/>
      <c r="B26" s="1120"/>
      <c r="C26" s="1129"/>
      <c r="D26" s="706"/>
      <c r="E26" s="1128"/>
      <c r="F26" s="706"/>
      <c r="G26" s="1129"/>
      <c r="H26" s="706"/>
      <c r="I26" s="1128"/>
      <c r="J26" s="706"/>
      <c r="K26" s="1396"/>
      <c r="L26" s="1096"/>
      <c r="M26" s="1042"/>
      <c r="N26" s="1042"/>
      <c r="O26" s="1042"/>
      <c r="P26" s="3385"/>
      <c r="Q26" s="705"/>
      <c r="R26" s="1107"/>
      <c r="S26" s="1108"/>
      <c r="T26" s="1107"/>
      <c r="U26" s="1108"/>
      <c r="V26" s="1107"/>
      <c r="W26" s="1108"/>
      <c r="X26" s="1046"/>
      <c r="Y26" s="3390"/>
      <c r="Z26" s="1045"/>
      <c r="AA26" s="1045">
        <v>1</v>
      </c>
      <c r="AB26" s="1045">
        <v>1</v>
      </c>
      <c r="AC26" s="2386">
        <v>1</v>
      </c>
    </row>
    <row r="27" spans="1:29" ht="15">
      <c r="A27" s="1084"/>
      <c r="B27" s="1120" t="s">
        <v>1414</v>
      </c>
      <c r="C27" s="1129" t="s">
        <v>1415</v>
      </c>
      <c r="D27" s="706">
        <v>100</v>
      </c>
      <c r="E27" s="1129" t="s">
        <v>1416</v>
      </c>
      <c r="F27" s="706">
        <f>SUMIF(89:89,E27,90:90)-SUMIF(89:89,C27,90:90)+100</f>
        <v>98</v>
      </c>
      <c r="G27" s="1129" t="s">
        <v>1416</v>
      </c>
      <c r="H27" s="706">
        <f>SUMIF(89:89,G27,90:90)-SUMIF(89:89,C27,90:90)+100</f>
        <v>98</v>
      </c>
      <c r="I27" s="1129" t="s">
        <v>1415</v>
      </c>
      <c r="J27" s="706">
        <f>SUMIF(89:89,I27,90:90)-SUMIF(89:89,C27,90:90)+100</f>
        <v>100</v>
      </c>
      <c r="K27" s="1133">
        <v>2</v>
      </c>
      <c r="L27" s="1096"/>
      <c r="M27" s="1042"/>
      <c r="N27" s="1042"/>
      <c r="O27" s="1042"/>
      <c r="P27" s="3385"/>
      <c r="Q27" s="705" t="str">
        <f t="shared" ref="Q27:Q47" si="11">B27</f>
        <v>楼层</v>
      </c>
      <c r="R27" s="1107" t="s">
        <v>1393</v>
      </c>
      <c r="S27" s="1108">
        <f>F27</f>
        <v>98</v>
      </c>
      <c r="T27" s="1107" t="s">
        <v>1393</v>
      </c>
      <c r="U27" s="1108">
        <f>H27</f>
        <v>98</v>
      </c>
      <c r="V27" s="1107" t="s">
        <v>1393</v>
      </c>
      <c r="W27" s="1108">
        <f>J27</f>
        <v>100</v>
      </c>
      <c r="X27" s="1046"/>
      <c r="Y27" s="3390"/>
      <c r="Z27" s="1045" t="str">
        <f>Q27</f>
        <v>楼层</v>
      </c>
      <c r="AA27" s="1045">
        <f t="shared" si="3"/>
        <v>1.0204081632653099</v>
      </c>
      <c r="AB27" s="1045">
        <f t="shared" si="4"/>
        <v>1.0204081632653099</v>
      </c>
      <c r="AC27" s="2386">
        <f t="shared" si="5"/>
        <v>1</v>
      </c>
    </row>
    <row r="28" spans="1:29" s="1009" customFormat="1" ht="15" hidden="1">
      <c r="A28" s="1090"/>
      <c r="B28" s="1115" t="s">
        <v>1417</v>
      </c>
      <c r="C28" s="2388"/>
      <c r="D28" s="1120">
        <v>100</v>
      </c>
      <c r="E28" s="2357"/>
      <c r="F28" s="1120">
        <f>SUMIF(91:91,E28,92:92)-SUMIF(91:91,C28,92:92)+100</f>
        <v>100</v>
      </c>
      <c r="G28" s="2388"/>
      <c r="H28" s="1120">
        <f>SUMIF(91:91,G28,92:92)-SUMIF(91:91,C28,92:92)+100</f>
        <v>100</v>
      </c>
      <c r="I28" s="2357"/>
      <c r="J28" s="1120">
        <f>SUMIF(91:91,I28,92:92)-SUMIF(91:91,C28,92:92)+100</f>
        <v>100</v>
      </c>
      <c r="K28" s="1133"/>
      <c r="L28" s="1062"/>
      <c r="M28" s="1063"/>
      <c r="N28" s="1063"/>
      <c r="O28" s="1063"/>
      <c r="P28" s="3385"/>
      <c r="Q28" s="809" t="str">
        <f t="shared" si="11"/>
        <v>朝向</v>
      </c>
      <c r="R28" s="1065" t="s">
        <v>1393</v>
      </c>
      <c r="S28" s="1066">
        <f>F28</f>
        <v>100</v>
      </c>
      <c r="T28" s="1065" t="s">
        <v>1393</v>
      </c>
      <c r="U28" s="1066">
        <f>H28</f>
        <v>100</v>
      </c>
      <c r="V28" s="1065" t="s">
        <v>1393</v>
      </c>
      <c r="W28" s="1066">
        <f>J28</f>
        <v>100</v>
      </c>
      <c r="X28" s="1067"/>
      <c r="Y28" s="3390"/>
      <c r="Z28" s="1069" t="str">
        <f>Q28</f>
        <v>朝向</v>
      </c>
      <c r="AA28" s="1045">
        <f t="shared" si="3"/>
        <v>1</v>
      </c>
      <c r="AB28" s="1045">
        <f t="shared" si="4"/>
        <v>1</v>
      </c>
      <c r="AC28" s="2386">
        <f t="shared" si="5"/>
        <v>1</v>
      </c>
    </row>
    <row r="29" spans="1:29" ht="15" hidden="1">
      <c r="A29" s="1084"/>
      <c r="B29" s="1134">
        <v>111</v>
      </c>
      <c r="C29" s="1545"/>
      <c r="D29" s="706">
        <v>100</v>
      </c>
      <c r="E29" s="1078"/>
      <c r="F29" s="706">
        <f>SUMIF(93:93,E29,94:94)-SUMIF(93:93,C29,94:94)+100</f>
        <v>100</v>
      </c>
      <c r="G29" s="2384"/>
      <c r="H29" s="706">
        <f>SUMIF(93:93,G29,94:94)-SUMIF(93:93,C29,94:94)+100</f>
        <v>100</v>
      </c>
      <c r="I29" s="1078"/>
      <c r="J29" s="706">
        <f>SUMIF(93:93,I29,94:94)-SUMIF(93:93,C29,94:94)+100</f>
        <v>100</v>
      </c>
      <c r="K29" s="1131"/>
      <c r="L29" s="1096"/>
      <c r="M29" s="1042"/>
      <c r="N29" s="1042"/>
      <c r="O29" s="1042"/>
      <c r="P29" s="3385"/>
      <c r="Q29" s="705">
        <f t="shared" si="11"/>
        <v>111</v>
      </c>
      <c r="R29" s="1107" t="s">
        <v>1393</v>
      </c>
      <c r="S29" s="1108">
        <f t="shared" ref="S29:S47" si="12">F29</f>
        <v>100</v>
      </c>
      <c r="T29" s="1107" t="s">
        <v>1393</v>
      </c>
      <c r="U29" s="1108">
        <f t="shared" ref="U29:U47" si="13">H29</f>
        <v>100</v>
      </c>
      <c r="V29" s="1107" t="s">
        <v>1393</v>
      </c>
      <c r="W29" s="1108">
        <f t="shared" ref="W29:W47" si="14">J29</f>
        <v>100</v>
      </c>
      <c r="X29" s="1046"/>
      <c r="Y29" s="3390"/>
      <c r="Z29" s="1045">
        <f t="shared" ref="Z29:Z47" si="15">Q29</f>
        <v>111</v>
      </c>
      <c r="AA29" s="1045">
        <f t="shared" si="3"/>
        <v>1</v>
      </c>
      <c r="AB29" s="1045">
        <f t="shared" si="4"/>
        <v>1</v>
      </c>
      <c r="AC29" s="2386">
        <f t="shared" si="5"/>
        <v>1</v>
      </c>
    </row>
    <row r="30" spans="1:29" ht="15" hidden="1">
      <c r="A30" s="1084"/>
      <c r="B30" s="1134">
        <v>111</v>
      </c>
      <c r="C30" s="1545"/>
      <c r="D30" s="706">
        <v>100</v>
      </c>
      <c r="E30" s="1078"/>
      <c r="F30" s="706">
        <f>SUMIF(95:95,E30,96:96)-SUMIF(95:95,C30,96:96)+100</f>
        <v>100</v>
      </c>
      <c r="G30" s="2384"/>
      <c r="H30" s="706">
        <f>SUMIF(95:95,G30,96:96)-SUMIF(95:95,C30,96:96)+100</f>
        <v>100</v>
      </c>
      <c r="I30" s="1078"/>
      <c r="J30" s="706">
        <f>SUMIF(95:95,I30,96:96)-SUMIF(95:95,C30,96:96)+100</f>
        <v>100</v>
      </c>
      <c r="K30" s="1131"/>
      <c r="L30" s="1096"/>
      <c r="M30" s="1042"/>
      <c r="N30" s="1042"/>
      <c r="O30" s="1042"/>
      <c r="P30" s="3385"/>
      <c r="Q30" s="705">
        <f t="shared" si="11"/>
        <v>111</v>
      </c>
      <c r="R30" s="1107" t="s">
        <v>1393</v>
      </c>
      <c r="S30" s="1108">
        <f t="shared" si="12"/>
        <v>100</v>
      </c>
      <c r="T30" s="1107" t="s">
        <v>1393</v>
      </c>
      <c r="U30" s="1108">
        <f t="shared" si="13"/>
        <v>100</v>
      </c>
      <c r="V30" s="1107" t="s">
        <v>1393</v>
      </c>
      <c r="W30" s="1108">
        <f t="shared" si="14"/>
        <v>100</v>
      </c>
      <c r="X30" s="1046"/>
      <c r="Y30" s="3390"/>
      <c r="Z30" s="1045">
        <f t="shared" si="15"/>
        <v>111</v>
      </c>
      <c r="AA30" s="1045">
        <f t="shared" si="3"/>
        <v>1</v>
      </c>
      <c r="AB30" s="1045">
        <f t="shared" si="4"/>
        <v>1</v>
      </c>
      <c r="AC30" s="2386">
        <f t="shared" si="5"/>
        <v>1</v>
      </c>
    </row>
    <row r="31" spans="1:29" ht="15" hidden="1">
      <c r="A31" s="1084"/>
      <c r="B31" s="1134">
        <v>111</v>
      </c>
      <c r="C31" s="1545"/>
      <c r="D31" s="706">
        <v>100</v>
      </c>
      <c r="E31" s="1078"/>
      <c r="F31" s="706">
        <f>SUMIF(97:97,E31,98:98)-SUMIF(97:97,C31,98:98)+100</f>
        <v>100</v>
      </c>
      <c r="G31" s="2384"/>
      <c r="H31" s="706">
        <f>SUMIF(97:97,G31,98:98)-SUMIF(97:97,C31,98:98)+100</f>
        <v>100</v>
      </c>
      <c r="I31" s="1078"/>
      <c r="J31" s="706">
        <f>SUMIF(97:97,I31,98:98)-SUMIF(97:97,C31,98:98)+100</f>
        <v>100</v>
      </c>
      <c r="K31" s="1131"/>
      <c r="L31" s="1096"/>
      <c r="M31" s="1042"/>
      <c r="N31" s="1042"/>
      <c r="O31" s="1042"/>
      <c r="P31" s="3385"/>
      <c r="Q31" s="705">
        <f t="shared" si="11"/>
        <v>111</v>
      </c>
      <c r="R31" s="1107" t="s">
        <v>1393</v>
      </c>
      <c r="S31" s="1108">
        <f t="shared" si="12"/>
        <v>100</v>
      </c>
      <c r="T31" s="1107" t="s">
        <v>1393</v>
      </c>
      <c r="U31" s="1108">
        <f t="shared" si="13"/>
        <v>100</v>
      </c>
      <c r="V31" s="1107" t="s">
        <v>1393</v>
      </c>
      <c r="W31" s="1108">
        <f t="shared" si="14"/>
        <v>100</v>
      </c>
      <c r="X31" s="1046"/>
      <c r="Y31" s="3390"/>
      <c r="Z31" s="1045">
        <f t="shared" si="15"/>
        <v>111</v>
      </c>
      <c r="AA31" s="1045">
        <f t="shared" si="3"/>
        <v>1</v>
      </c>
      <c r="AB31" s="1045">
        <f t="shared" si="4"/>
        <v>1</v>
      </c>
      <c r="AC31" s="2386">
        <f t="shared" si="5"/>
        <v>1</v>
      </c>
    </row>
    <row r="32" spans="1:29" ht="15" hidden="1">
      <c r="A32" s="1097"/>
      <c r="B32" s="1450">
        <v>111</v>
      </c>
      <c r="C32" s="1546"/>
      <c r="D32" s="1100">
        <v>100</v>
      </c>
      <c r="E32" s="1452"/>
      <c r="F32" s="1100">
        <f>SUMIF(99:99,E32,100:100)-SUMIF(99:99,C32,100:100)+100</f>
        <v>100</v>
      </c>
      <c r="G32" s="2384"/>
      <c r="H32" s="1100">
        <f>SUMIF(99:99,G32,100:100)-SUMIF(99:99,C32,100:100)+100</f>
        <v>100</v>
      </c>
      <c r="I32" s="1078"/>
      <c r="J32" s="1100">
        <f>SUMIF(99:99,I32,100:100)-SUMIF(99:99,C32,100:100)+100</f>
        <v>100</v>
      </c>
      <c r="K32" s="1131"/>
      <c r="L32" s="1096"/>
      <c r="M32" s="1042"/>
      <c r="N32" s="1042"/>
      <c r="O32" s="1042"/>
      <c r="P32" s="3385"/>
      <c r="Q32" s="705">
        <f t="shared" si="11"/>
        <v>111</v>
      </c>
      <c r="R32" s="1107" t="s">
        <v>1393</v>
      </c>
      <c r="S32" s="1108">
        <f t="shared" si="12"/>
        <v>100</v>
      </c>
      <c r="T32" s="1107" t="s">
        <v>1393</v>
      </c>
      <c r="U32" s="1108">
        <f t="shared" si="13"/>
        <v>100</v>
      </c>
      <c r="V32" s="1107" t="s">
        <v>1393</v>
      </c>
      <c r="W32" s="1108">
        <f t="shared" si="14"/>
        <v>100</v>
      </c>
      <c r="X32" s="1046"/>
      <c r="Y32" s="3390"/>
      <c r="Z32" s="1045">
        <f t="shared" si="15"/>
        <v>111</v>
      </c>
      <c r="AA32" s="1045">
        <f t="shared" si="3"/>
        <v>1</v>
      </c>
      <c r="AB32" s="1045">
        <f t="shared" si="4"/>
        <v>1</v>
      </c>
      <c r="AC32" s="2386">
        <f t="shared" si="5"/>
        <v>1</v>
      </c>
    </row>
    <row r="33" spans="1:29" ht="15">
      <c r="A33" s="1101" t="s">
        <v>1418</v>
      </c>
      <c r="B33" s="1072" t="s">
        <v>1419</v>
      </c>
      <c r="C33" s="1400" t="s">
        <v>1420</v>
      </c>
      <c r="D33" s="1038">
        <v>100</v>
      </c>
      <c r="E33" s="1400" t="s">
        <v>1420</v>
      </c>
      <c r="F33" s="1183">
        <f>SUMIF(101:101,E33,102:102)-SUMIF(101:101,C33,102:102)+100</f>
        <v>100</v>
      </c>
      <c r="G33" s="1400" t="s">
        <v>1420</v>
      </c>
      <c r="H33" s="706">
        <f>SUMIF(101:101,G33,102:102)-SUMIF(101:101,C33,102:102)+100</f>
        <v>100</v>
      </c>
      <c r="I33" s="1400" t="s">
        <v>1420</v>
      </c>
      <c r="J33" s="1038">
        <f>SUMIF(101:101,I33,102:102)-SUMIF(101:101,C33,102:102)+100</f>
        <v>100</v>
      </c>
      <c r="K33" s="1133"/>
      <c r="L33" s="1096"/>
      <c r="M33" s="1042"/>
      <c r="N33" s="1042"/>
      <c r="O33" s="1042"/>
      <c r="P33" s="3386" t="s">
        <v>1421</v>
      </c>
      <c r="Q33" s="705" t="str">
        <f t="shared" si="11"/>
        <v>建筑类型</v>
      </c>
      <c r="R33" s="1107" t="s">
        <v>1393</v>
      </c>
      <c r="S33" s="1108">
        <f t="shared" si="12"/>
        <v>100</v>
      </c>
      <c r="T33" s="1107" t="s">
        <v>1393</v>
      </c>
      <c r="U33" s="1108">
        <f t="shared" si="13"/>
        <v>100</v>
      </c>
      <c r="V33" s="1107" t="s">
        <v>1393</v>
      </c>
      <c r="W33" s="1108">
        <f t="shared" si="14"/>
        <v>100</v>
      </c>
      <c r="X33" s="1046"/>
      <c r="Y33" s="3391" t="s">
        <v>1421</v>
      </c>
      <c r="Z33" s="1045" t="str">
        <f t="shared" si="15"/>
        <v>建筑类型</v>
      </c>
      <c r="AA33" s="1045">
        <f t="shared" si="3"/>
        <v>1</v>
      </c>
      <c r="AB33" s="1045">
        <f t="shared" si="4"/>
        <v>1</v>
      </c>
      <c r="AC33" s="2386">
        <f t="shared" si="5"/>
        <v>1</v>
      </c>
    </row>
    <row r="34" spans="1:29" s="1011" customFormat="1" ht="15">
      <c r="A34" s="1157"/>
      <c r="B34" s="1077" t="s">
        <v>1422</v>
      </c>
      <c r="C34" s="1392">
        <f>'数据-汇总表'!F19</f>
        <v>296</v>
      </c>
      <c r="D34" s="1079">
        <v>100</v>
      </c>
      <c r="E34" s="1392">
        <f>Sheet2!M2</f>
        <v>139.5</v>
      </c>
      <c r="F34" s="1077">
        <f>LOOKUP(E34,104:104,105:105)-LOOKUP(C34,104:104,105:105)+100</f>
        <v>100</v>
      </c>
      <c r="G34" s="1392">
        <f>Sheet2!M4</f>
        <v>130.02000000000001</v>
      </c>
      <c r="H34" s="1079">
        <f>LOOKUP(G34,104:104,105:105)-LOOKUP(C34,104:104,105:105)+100</f>
        <v>100</v>
      </c>
      <c r="I34" s="1392">
        <v>1100</v>
      </c>
      <c r="J34" s="1079">
        <f>LOOKUP(I34,104:104,105:105)-LOOKUP(C34,104:104,105:105)+100</f>
        <v>100</v>
      </c>
      <c r="K34" s="1131"/>
      <c r="L34" s="1088"/>
      <c r="M34" s="1143"/>
      <c r="N34" s="1143"/>
      <c r="O34" s="1143"/>
      <c r="P34" s="3387"/>
      <c r="Q34" s="1404" t="str">
        <f t="shared" si="11"/>
        <v>项目建筑规模</v>
      </c>
      <c r="R34" s="1145" t="s">
        <v>1393</v>
      </c>
      <c r="S34" s="1146">
        <f t="shared" si="12"/>
        <v>100</v>
      </c>
      <c r="T34" s="1145" t="s">
        <v>1393</v>
      </c>
      <c r="U34" s="1146">
        <f t="shared" si="13"/>
        <v>100</v>
      </c>
      <c r="V34" s="1145" t="s">
        <v>1393</v>
      </c>
      <c r="W34" s="1146">
        <f t="shared" si="14"/>
        <v>100</v>
      </c>
      <c r="X34" s="1147"/>
      <c r="Y34" s="3391"/>
      <c r="Z34" s="1148" t="str">
        <f t="shared" si="15"/>
        <v>项目建筑规模</v>
      </c>
      <c r="AA34" s="1045">
        <f t="shared" si="3"/>
        <v>1</v>
      </c>
      <c r="AB34" s="1045">
        <f t="shared" si="4"/>
        <v>1</v>
      </c>
      <c r="AC34" s="2386">
        <f t="shared" si="5"/>
        <v>1</v>
      </c>
    </row>
    <row r="35" spans="1:29" ht="15">
      <c r="A35" s="1152"/>
      <c r="B35" s="1077" t="s">
        <v>1423</v>
      </c>
      <c r="C35" s="1405" t="s">
        <v>1424</v>
      </c>
      <c r="D35" s="706">
        <v>100</v>
      </c>
      <c r="E35" s="1405" t="s">
        <v>1424</v>
      </c>
      <c r="F35" s="1183">
        <f>SUMIF(106:106,E35,107:107)-SUMIF(106:106,C35,107:107)+100</f>
        <v>100</v>
      </c>
      <c r="G35" s="1405" t="s">
        <v>1424</v>
      </c>
      <c r="H35" s="706">
        <f>SUMIF(106:106,G35,107:107)-SUMIF(106:106,C35,107:107)+100</f>
        <v>100</v>
      </c>
      <c r="I35" s="2358" t="s">
        <v>1424</v>
      </c>
      <c r="J35" s="706">
        <f>SUMIF(106:106,I35,107:107)-SUMIF(106:106,C35,107:107)+100</f>
        <v>100</v>
      </c>
      <c r="K35" s="1133"/>
      <c r="L35" s="1096"/>
      <c r="M35" s="1042"/>
      <c r="N35" s="1042"/>
      <c r="O35" s="1042"/>
      <c r="P35" s="3387"/>
      <c r="Q35" s="705" t="str">
        <f t="shared" si="11"/>
        <v>建筑结构</v>
      </c>
      <c r="R35" s="1107" t="s">
        <v>1393</v>
      </c>
      <c r="S35" s="1108">
        <f t="shared" si="12"/>
        <v>100</v>
      </c>
      <c r="T35" s="1107" t="s">
        <v>1393</v>
      </c>
      <c r="U35" s="1108">
        <f t="shared" si="13"/>
        <v>100</v>
      </c>
      <c r="V35" s="1107" t="s">
        <v>1393</v>
      </c>
      <c r="W35" s="1108">
        <f t="shared" si="14"/>
        <v>100</v>
      </c>
      <c r="X35" s="1046"/>
      <c r="Y35" s="3391"/>
      <c r="Z35" s="1045" t="str">
        <f t="shared" si="15"/>
        <v>建筑结构</v>
      </c>
      <c r="AA35" s="1045">
        <f t="shared" si="3"/>
        <v>1</v>
      </c>
      <c r="AB35" s="1045">
        <f t="shared" si="4"/>
        <v>1</v>
      </c>
      <c r="AC35" s="2386">
        <f t="shared" si="5"/>
        <v>1</v>
      </c>
    </row>
    <row r="36" spans="1:29" ht="15">
      <c r="A36" s="1152"/>
      <c r="B36" s="1077" t="s">
        <v>1425</v>
      </c>
      <c r="C36" s="1405" t="s">
        <v>1426</v>
      </c>
      <c r="D36" s="706">
        <v>100</v>
      </c>
      <c r="E36" s="1405" t="s">
        <v>1426</v>
      </c>
      <c r="F36" s="1183">
        <f>SUMIF(108:108,E36,109:109)-SUMIF(108:108,C36,109:109)+100</f>
        <v>100</v>
      </c>
      <c r="G36" s="1405" t="s">
        <v>1426</v>
      </c>
      <c r="H36" s="706">
        <f>SUMIF(108:108,G36,109:109)-SUMIF(108:108,C36,109:109)+100</f>
        <v>100</v>
      </c>
      <c r="I36" s="1405" t="s">
        <v>1426</v>
      </c>
      <c r="J36" s="706">
        <f>SUMIF(108:108,I36,109:109)-SUMIF(108:108,C36,109:109)+100</f>
        <v>100</v>
      </c>
      <c r="K36" s="1133"/>
      <c r="L36" s="1096"/>
      <c r="M36" s="1042"/>
      <c r="N36" s="1042"/>
      <c r="O36" s="1042"/>
      <c r="P36" s="3387"/>
      <c r="Q36" s="705" t="str">
        <f t="shared" si="11"/>
        <v>公共部分装修</v>
      </c>
      <c r="R36" s="1107" t="s">
        <v>1393</v>
      </c>
      <c r="S36" s="1108">
        <f t="shared" si="12"/>
        <v>100</v>
      </c>
      <c r="T36" s="1107" t="s">
        <v>1393</v>
      </c>
      <c r="U36" s="1108">
        <f t="shared" si="13"/>
        <v>100</v>
      </c>
      <c r="V36" s="1107" t="s">
        <v>1393</v>
      </c>
      <c r="W36" s="1108">
        <f t="shared" si="14"/>
        <v>100</v>
      </c>
      <c r="X36" s="1046"/>
      <c r="Y36" s="3391"/>
      <c r="Z36" s="1045" t="str">
        <f t="shared" si="15"/>
        <v>公共部分装修</v>
      </c>
      <c r="AA36" s="1045">
        <f t="shared" si="3"/>
        <v>1</v>
      </c>
      <c r="AB36" s="1045">
        <f t="shared" si="4"/>
        <v>1</v>
      </c>
      <c r="AC36" s="2386">
        <f t="shared" si="5"/>
        <v>1</v>
      </c>
    </row>
    <row r="37" spans="1:29" ht="15">
      <c r="A37" s="1152"/>
      <c r="B37" s="1077" t="s">
        <v>687</v>
      </c>
      <c r="C37" s="1401">
        <f>'数据-取费表'!N6</f>
        <v>0.75</v>
      </c>
      <c r="D37" s="706">
        <v>100</v>
      </c>
      <c r="E37" s="1401">
        <v>0.87</v>
      </c>
      <c r="F37" s="1183">
        <f>LOOKUP(E37,111:111,112:112)-LOOKUP(C37,111:111,112:112)+100</f>
        <v>101</v>
      </c>
      <c r="G37" s="1401">
        <v>0.87</v>
      </c>
      <c r="H37" s="1183">
        <f>LOOKUP(G37,111:111,112:112)-LOOKUP(C37,111:111,112:112)+100</f>
        <v>101</v>
      </c>
      <c r="I37" s="1401">
        <v>0.95</v>
      </c>
      <c r="J37" s="706">
        <f>LOOKUP(I37,111:111,112:112)-LOOKUP(C37,111:111,112:112)+100</f>
        <v>102</v>
      </c>
      <c r="K37" s="1133">
        <v>1</v>
      </c>
      <c r="L37" s="1096"/>
      <c r="M37" s="1042"/>
      <c r="N37" s="1042"/>
      <c r="O37" s="1042"/>
      <c r="P37" s="3387"/>
      <c r="Q37" s="705" t="str">
        <f t="shared" si="11"/>
        <v>成新度</v>
      </c>
      <c r="R37" s="1107" t="s">
        <v>1393</v>
      </c>
      <c r="S37" s="1108">
        <f t="shared" si="12"/>
        <v>101</v>
      </c>
      <c r="T37" s="1107" t="s">
        <v>1393</v>
      </c>
      <c r="U37" s="1108">
        <f t="shared" si="13"/>
        <v>101</v>
      </c>
      <c r="V37" s="1107" t="s">
        <v>1393</v>
      </c>
      <c r="W37" s="1108">
        <f t="shared" si="14"/>
        <v>102</v>
      </c>
      <c r="X37" s="1046"/>
      <c r="Y37" s="3391"/>
      <c r="Z37" s="1045" t="str">
        <f t="shared" si="15"/>
        <v>成新度</v>
      </c>
      <c r="AA37" s="1045">
        <f t="shared" si="3"/>
        <v>0.99009900990098998</v>
      </c>
      <c r="AB37" s="1045">
        <f t="shared" si="4"/>
        <v>0.99009900990098998</v>
      </c>
      <c r="AC37" s="2386">
        <f t="shared" si="5"/>
        <v>0.98039215686274495</v>
      </c>
    </row>
    <row r="38" spans="1:29" s="1009" customFormat="1" ht="15">
      <c r="A38" s="1154"/>
      <c r="B38" s="1077" t="s">
        <v>1427</v>
      </c>
      <c r="C38" s="1405" t="s">
        <v>1428</v>
      </c>
      <c r="D38" s="1079">
        <v>100</v>
      </c>
      <c r="E38" s="1405" t="s">
        <v>1428</v>
      </c>
      <c r="F38" s="1183">
        <f>SUMIF(113:113,E38,114:114)-SUMIF(113:113,C38,114:114)+100</f>
        <v>100</v>
      </c>
      <c r="G38" s="1405" t="s">
        <v>1428</v>
      </c>
      <c r="H38" s="706">
        <f>SUMIF(113:113,G38,114:114)-SUMIF(113:113,C38,114:114)+100</f>
        <v>100</v>
      </c>
      <c r="I38" s="1405" t="s">
        <v>1428</v>
      </c>
      <c r="J38" s="706">
        <f>SUMIF(113:113,I38,114:114)-SUMIF(113:113,C38,114:114)+100</f>
        <v>100</v>
      </c>
      <c r="K38" s="1133"/>
      <c r="L38" s="1062"/>
      <c r="M38" s="1063"/>
      <c r="N38" s="1063"/>
      <c r="O38" s="1063"/>
      <c r="P38" s="3387"/>
      <c r="Q38" s="809" t="str">
        <f t="shared" si="11"/>
        <v>写字楼等级</v>
      </c>
      <c r="R38" s="1065" t="s">
        <v>1393</v>
      </c>
      <c r="S38" s="1066">
        <f t="shared" si="12"/>
        <v>100</v>
      </c>
      <c r="T38" s="1065" t="s">
        <v>1393</v>
      </c>
      <c r="U38" s="1066">
        <f t="shared" si="13"/>
        <v>100</v>
      </c>
      <c r="V38" s="1065" t="s">
        <v>1393</v>
      </c>
      <c r="W38" s="1066">
        <f t="shared" si="14"/>
        <v>100</v>
      </c>
      <c r="X38" s="1067"/>
      <c r="Y38" s="3391"/>
      <c r="Z38" s="1069" t="str">
        <f t="shared" si="15"/>
        <v>写字楼等级</v>
      </c>
      <c r="AA38" s="1069">
        <f t="shared" si="3"/>
        <v>1</v>
      </c>
      <c r="AB38" s="1069">
        <f t="shared" si="4"/>
        <v>1</v>
      </c>
      <c r="AC38" s="2383">
        <f t="shared" si="5"/>
        <v>1</v>
      </c>
    </row>
    <row r="39" spans="1:29" ht="15">
      <c r="A39" s="1152"/>
      <c r="B39" s="1077" t="s">
        <v>1429</v>
      </c>
      <c r="C39" s="1405" t="s">
        <v>1430</v>
      </c>
      <c r="D39" s="706">
        <v>100</v>
      </c>
      <c r="E39" s="1405" t="s">
        <v>1430</v>
      </c>
      <c r="F39" s="1183">
        <f>SUMIF(115:115,E39,116:116)-SUMIF(115:115,C39,116:116)+100</f>
        <v>100</v>
      </c>
      <c r="G39" s="1405" t="s">
        <v>1430</v>
      </c>
      <c r="H39" s="706">
        <f>SUMIF(115:115,G39,116:116)-SUMIF(115:115,C39,116:116)+100</f>
        <v>100</v>
      </c>
      <c r="I39" s="1405" t="s">
        <v>1430</v>
      </c>
      <c r="J39" s="706">
        <f>SUMIF(115:115,I39,116:116)-SUMIF(115:115,C39,116:116)+100</f>
        <v>100</v>
      </c>
      <c r="K39" s="1133"/>
      <c r="L39" s="1096"/>
      <c r="M39" s="1042"/>
      <c r="N39" s="1042"/>
      <c r="O39" s="1042"/>
      <c r="P39" s="3387" t="s">
        <v>1421</v>
      </c>
      <c r="Q39" s="705" t="str">
        <f t="shared" si="11"/>
        <v>物业管理</v>
      </c>
      <c r="R39" s="1107" t="s">
        <v>1393</v>
      </c>
      <c r="S39" s="1108">
        <f t="shared" si="12"/>
        <v>100</v>
      </c>
      <c r="T39" s="1107" t="s">
        <v>1393</v>
      </c>
      <c r="U39" s="1108">
        <f t="shared" si="13"/>
        <v>100</v>
      </c>
      <c r="V39" s="1107" t="s">
        <v>1393</v>
      </c>
      <c r="W39" s="1108">
        <f t="shared" si="14"/>
        <v>100</v>
      </c>
      <c r="X39" s="1046"/>
      <c r="Y39" s="3391" t="s">
        <v>1421</v>
      </c>
      <c r="Z39" s="1045" t="str">
        <f t="shared" si="15"/>
        <v>物业管理</v>
      </c>
      <c r="AA39" s="1045">
        <f t="shared" si="3"/>
        <v>1</v>
      </c>
      <c r="AB39" s="1045">
        <f t="shared" si="4"/>
        <v>1</v>
      </c>
      <c r="AC39" s="2386">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87"/>
      <c r="Q40" s="705" t="str">
        <f t="shared" si="11"/>
        <v>市政基础设施</v>
      </c>
      <c r="R40" s="1107" t="s">
        <v>1393</v>
      </c>
      <c r="S40" s="1108">
        <f t="shared" si="12"/>
        <v>100</v>
      </c>
      <c r="T40" s="1107" t="s">
        <v>1393</v>
      </c>
      <c r="U40" s="1108">
        <f t="shared" si="13"/>
        <v>100</v>
      </c>
      <c r="V40" s="1107" t="s">
        <v>1393</v>
      </c>
      <c r="W40" s="1108">
        <f t="shared" si="14"/>
        <v>100</v>
      </c>
      <c r="X40" s="1046"/>
      <c r="Y40" s="3391"/>
      <c r="Z40" s="1045" t="str">
        <f t="shared" si="15"/>
        <v>市政基础设施</v>
      </c>
      <c r="AA40" s="1045">
        <f t="shared" si="3"/>
        <v>1</v>
      </c>
      <c r="AB40" s="1045">
        <f t="shared" si="4"/>
        <v>1</v>
      </c>
      <c r="AC40" s="2386">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v>-3</v>
      </c>
      <c r="L41" s="1096"/>
      <c r="M41" s="1042"/>
      <c r="N41" s="1042"/>
      <c r="O41" s="1042"/>
      <c r="P41" s="3387"/>
      <c r="Q41" s="705" t="str">
        <f t="shared" si="11"/>
        <v>层高</v>
      </c>
      <c r="R41" s="1107" t="s">
        <v>1393</v>
      </c>
      <c r="S41" s="1108">
        <f t="shared" si="12"/>
        <v>100</v>
      </c>
      <c r="T41" s="1107" t="s">
        <v>1393</v>
      </c>
      <c r="U41" s="1108">
        <f t="shared" si="13"/>
        <v>100</v>
      </c>
      <c r="V41" s="1107" t="s">
        <v>1393</v>
      </c>
      <c r="W41" s="1108">
        <f t="shared" si="14"/>
        <v>100</v>
      </c>
      <c r="X41" s="1046"/>
      <c r="Y41" s="3391"/>
      <c r="Z41" s="1045" t="str">
        <f t="shared" si="15"/>
        <v>层高</v>
      </c>
      <c r="AA41" s="1045">
        <f t="shared" si="3"/>
        <v>1</v>
      </c>
      <c r="AB41" s="1045">
        <f t="shared" si="4"/>
        <v>1</v>
      </c>
      <c r="AC41" s="2386">
        <f t="shared" si="5"/>
        <v>1</v>
      </c>
    </row>
    <row r="42" spans="1:29" s="1011" customFormat="1" ht="15">
      <c r="A42" s="1157"/>
      <c r="B42" s="1183" t="s">
        <v>1433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87"/>
      <c r="Q42" s="1404" t="str">
        <f t="shared" si="11"/>
        <v>单套建筑面积</v>
      </c>
      <c r="R42" s="1145" t="s">
        <v>1393</v>
      </c>
      <c r="S42" s="1146">
        <f t="shared" si="12"/>
        <v>100</v>
      </c>
      <c r="T42" s="1145" t="s">
        <v>1393</v>
      </c>
      <c r="U42" s="1146">
        <f t="shared" si="13"/>
        <v>100</v>
      </c>
      <c r="V42" s="1145" t="s">
        <v>1393</v>
      </c>
      <c r="W42" s="1146">
        <f t="shared" si="14"/>
        <v>100</v>
      </c>
      <c r="X42" s="1147"/>
      <c r="Y42" s="3391"/>
      <c r="Z42" s="1148" t="str">
        <f t="shared" si="15"/>
        <v>单套建筑面积</v>
      </c>
      <c r="AA42" s="1045">
        <f t="shared" si="3"/>
        <v>1</v>
      </c>
      <c r="AB42" s="1045">
        <f t="shared" si="4"/>
        <v>1</v>
      </c>
      <c r="AC42" s="2386">
        <f t="shared" si="5"/>
        <v>1</v>
      </c>
    </row>
    <row r="43" spans="1:29" ht="15">
      <c r="A43" s="1152"/>
      <c r="B43" s="1077" t="s">
        <v>1434</v>
      </c>
      <c r="C43" s="1405" t="s">
        <v>1435</v>
      </c>
      <c r="D43" s="706">
        <v>100</v>
      </c>
      <c r="E43" s="1405" t="s">
        <v>1435</v>
      </c>
      <c r="F43" s="1183">
        <f>SUMIF(123:123,E43,124:124)-SUMIF(123:123,C43,124:124)+100</f>
        <v>100</v>
      </c>
      <c r="G43" s="1405" t="s">
        <v>1435</v>
      </c>
      <c r="H43" s="706">
        <f>SUMIF(123:123,G43,124:124)-SUMIF(123:123,C43,124:124)+100</f>
        <v>100</v>
      </c>
      <c r="I43" s="1405" t="s">
        <v>1436</v>
      </c>
      <c r="J43" s="706">
        <f>SUMIF(123:123,I43,124:124)-SUMIF(123:123,C43,124:124)+100</f>
        <v>98</v>
      </c>
      <c r="K43" s="1133">
        <v>2</v>
      </c>
      <c r="L43" s="1096"/>
      <c r="M43" s="1042"/>
      <c r="N43" s="1042"/>
      <c r="O43" s="1042"/>
      <c r="P43" s="3387"/>
      <c r="Q43" s="705" t="str">
        <f t="shared" si="11"/>
        <v>内部装修</v>
      </c>
      <c r="R43" s="1107" t="s">
        <v>1393</v>
      </c>
      <c r="S43" s="1108">
        <f t="shared" si="12"/>
        <v>100</v>
      </c>
      <c r="T43" s="1107" t="s">
        <v>1393</v>
      </c>
      <c r="U43" s="1108">
        <f t="shared" si="13"/>
        <v>100</v>
      </c>
      <c r="V43" s="1107" t="s">
        <v>1393</v>
      </c>
      <c r="W43" s="1108">
        <f t="shared" si="14"/>
        <v>98</v>
      </c>
      <c r="X43" s="1046"/>
      <c r="Y43" s="3391"/>
      <c r="Z43" s="1045" t="str">
        <f t="shared" si="15"/>
        <v>内部装修</v>
      </c>
      <c r="AA43" s="1045">
        <f t="shared" si="3"/>
        <v>1</v>
      </c>
      <c r="AB43" s="1045">
        <f t="shared" si="4"/>
        <v>1</v>
      </c>
      <c r="AC43" s="2386">
        <f t="shared" si="5"/>
        <v>1.0204081632653099</v>
      </c>
    </row>
    <row r="44" spans="1:29" ht="15">
      <c r="A44" s="1152"/>
      <c r="B44" s="1077" t="s">
        <v>1437</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2</v>
      </c>
      <c r="L44" s="1096"/>
      <c r="M44" s="1042"/>
      <c r="N44" s="1042"/>
      <c r="O44" s="1042"/>
      <c r="P44" s="3387"/>
      <c r="Q44" s="705" t="str">
        <f t="shared" si="11"/>
        <v>内部装修维护情况</v>
      </c>
      <c r="R44" s="1107" t="s">
        <v>1393</v>
      </c>
      <c r="S44" s="1108">
        <f t="shared" si="12"/>
        <v>100</v>
      </c>
      <c r="T44" s="1107" t="s">
        <v>1393</v>
      </c>
      <c r="U44" s="1108">
        <f t="shared" si="13"/>
        <v>100</v>
      </c>
      <c r="V44" s="1107" t="s">
        <v>1393</v>
      </c>
      <c r="W44" s="1108">
        <f t="shared" si="14"/>
        <v>100</v>
      </c>
      <c r="X44" s="1046"/>
      <c r="Y44" s="3391"/>
      <c r="Z44" s="1045" t="str">
        <f t="shared" si="15"/>
        <v>内部装修维护情况</v>
      </c>
      <c r="AA44" s="1045">
        <f t="shared" si="3"/>
        <v>1</v>
      </c>
      <c r="AB44" s="1045">
        <f t="shared" si="4"/>
        <v>1</v>
      </c>
      <c r="AC44" s="238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87"/>
      <c r="Q45" s="809">
        <f t="shared" si="11"/>
        <v>111</v>
      </c>
      <c r="R45" s="1065" t="s">
        <v>1393</v>
      </c>
      <c r="S45" s="1066">
        <f t="shared" si="12"/>
        <v>100</v>
      </c>
      <c r="T45" s="1065" t="s">
        <v>1393</v>
      </c>
      <c r="U45" s="1066">
        <f t="shared" si="13"/>
        <v>100</v>
      </c>
      <c r="V45" s="1065" t="s">
        <v>1393</v>
      </c>
      <c r="W45" s="1066">
        <f t="shared" si="14"/>
        <v>100</v>
      </c>
      <c r="X45" s="1067"/>
      <c r="Y45" s="3391"/>
      <c r="Z45" s="1069">
        <f t="shared" si="15"/>
        <v>111</v>
      </c>
      <c r="AA45" s="1069">
        <f t="shared" si="3"/>
        <v>1</v>
      </c>
      <c r="AB45" s="1069">
        <f t="shared" si="4"/>
        <v>1</v>
      </c>
      <c r="AC45" s="238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87"/>
      <c r="Q46" s="705">
        <f t="shared" si="11"/>
        <v>111</v>
      </c>
      <c r="R46" s="1107" t="s">
        <v>1393</v>
      </c>
      <c r="S46" s="1108">
        <f t="shared" si="12"/>
        <v>100</v>
      </c>
      <c r="T46" s="1107" t="s">
        <v>1393</v>
      </c>
      <c r="U46" s="1108">
        <f t="shared" si="13"/>
        <v>100</v>
      </c>
      <c r="V46" s="1107" t="s">
        <v>1393</v>
      </c>
      <c r="W46" s="1108">
        <f t="shared" si="14"/>
        <v>100</v>
      </c>
      <c r="X46" s="1046"/>
      <c r="Y46" s="3391"/>
      <c r="Z46" s="1045">
        <f t="shared" si="15"/>
        <v>111</v>
      </c>
      <c r="AA46" s="1045">
        <f t="shared" si="3"/>
        <v>1</v>
      </c>
      <c r="AB46" s="1045">
        <f t="shared" si="4"/>
        <v>1</v>
      </c>
      <c r="AC46" s="238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88"/>
      <c r="Q47" s="705">
        <f t="shared" si="11"/>
        <v>111</v>
      </c>
      <c r="R47" s="1107" t="s">
        <v>1393</v>
      </c>
      <c r="S47" s="1108">
        <f t="shared" si="12"/>
        <v>100</v>
      </c>
      <c r="T47" s="1107" t="s">
        <v>1393</v>
      </c>
      <c r="U47" s="1108">
        <f t="shared" si="13"/>
        <v>100</v>
      </c>
      <c r="V47" s="1107" t="s">
        <v>1393</v>
      </c>
      <c r="W47" s="1108">
        <f t="shared" si="14"/>
        <v>100</v>
      </c>
      <c r="X47" s="1046"/>
      <c r="Y47" s="3392"/>
      <c r="Z47" s="1045">
        <f t="shared" si="15"/>
        <v>111</v>
      </c>
      <c r="AA47" s="1045">
        <f t="shared" si="3"/>
        <v>1</v>
      </c>
      <c r="AB47" s="1045">
        <f t="shared" si="4"/>
        <v>1</v>
      </c>
      <c r="AC47" s="2386">
        <f t="shared" si="5"/>
        <v>1</v>
      </c>
    </row>
    <row r="48" spans="1:29" ht="15">
      <c r="A48" s="1160" t="s">
        <v>1438</v>
      </c>
      <c r="B48" s="1409"/>
      <c r="C48" s="1410" t="s">
        <v>124</v>
      </c>
      <c r="D48" s="1163"/>
      <c r="E48" s="1164">
        <f>Sheet2!O2</f>
        <v>33973</v>
      </c>
      <c r="F48" s="1165"/>
      <c r="G48" s="1164">
        <f>Sheet2!O4</f>
        <v>33973</v>
      </c>
      <c r="H48" s="1167"/>
      <c r="I48" s="1164">
        <v>30000</v>
      </c>
      <c r="J48" s="1167"/>
      <c r="K48" s="1168"/>
      <c r="L48" s="1169"/>
      <c r="M48" s="1042"/>
      <c r="N48" s="1042"/>
      <c r="O48" s="1042"/>
      <c r="P48" s="3381" t="str">
        <f>A48</f>
        <v>成交单价（元/平方米）</v>
      </c>
      <c r="Q48" s="3382"/>
      <c r="R48" s="3383">
        <f>E48</f>
        <v>33973</v>
      </c>
      <c r="S48" s="3383"/>
      <c r="T48" s="3383">
        <f>G48</f>
        <v>33973</v>
      </c>
      <c r="U48" s="3383"/>
      <c r="V48" s="3383">
        <f>I48</f>
        <v>30000</v>
      </c>
      <c r="W48" s="3383"/>
      <c r="X48" s="1170"/>
      <c r="Y48" s="1171"/>
      <c r="Z48" s="1170"/>
      <c r="AA48" s="1170"/>
      <c r="AB48" s="1170"/>
      <c r="AC48" s="1109"/>
    </row>
    <row r="49" spans="1:29" ht="15">
      <c r="A49" s="1172" t="s">
        <v>1439</v>
      </c>
      <c r="B49" s="1411"/>
      <c r="C49" s="1412">
        <f>R50</f>
        <v>32272</v>
      </c>
      <c r="D49" s="1175" t="s">
        <v>1440</v>
      </c>
      <c r="E49" s="1413">
        <f>R49</f>
        <v>33983</v>
      </c>
      <c r="F49" s="1176"/>
      <c r="G49" s="1412">
        <f>T49</f>
        <v>33983</v>
      </c>
      <c r="H49" s="1176"/>
      <c r="I49" s="1413">
        <f>V49</f>
        <v>28849</v>
      </c>
      <c r="J49" s="1176"/>
      <c r="K49" s="1178">
        <f>F49+H49+J49</f>
        <v>0</v>
      </c>
      <c r="L49" s="1169"/>
      <c r="M49" s="1042"/>
      <c r="N49" s="1042"/>
      <c r="O49" s="1042"/>
      <c r="P49" s="3381" t="str">
        <f>A49</f>
        <v>比较价值（元/平方米）</v>
      </c>
      <c r="Q49" s="3382"/>
      <c r="R49" s="3383">
        <f>IF(F1="售价",ROUND(PRODUCT(R48,AA7:AA47),0),ROUND(PRODUCT(R48,AA7:AA47),1))</f>
        <v>33983</v>
      </c>
      <c r="S49" s="3383"/>
      <c r="T49" s="3383">
        <f>IF(F1="售价",ROUND(PRODUCT(T48,AB7:AB47),0),ROUND(PRODUCT(T48,AB7:AB47),1))</f>
        <v>33983</v>
      </c>
      <c r="U49" s="3383"/>
      <c r="V49" s="3383">
        <f>IF(F1="售价",ROUND(PRODUCT(V48,AC7:AC47),0),ROUND(PRODUCT(V48,AC7:AC47),1))</f>
        <v>28849</v>
      </c>
      <c r="W49" s="3383"/>
      <c r="X49" s="1170"/>
      <c r="Y49" s="1170"/>
      <c r="Z49" s="1170"/>
      <c r="AA49" s="1170"/>
      <c r="AB49" s="1170"/>
      <c r="AC49" s="1109"/>
    </row>
    <row r="50" spans="1:29" ht="15">
      <c r="A50" s="1179" t="s">
        <v>1441</v>
      </c>
      <c r="B50" s="1180"/>
      <c r="C50" s="1051">
        <f>R50</f>
        <v>32272</v>
      </c>
      <c r="D50" s="1051"/>
      <c r="E50" s="1051"/>
      <c r="F50" s="1051"/>
      <c r="G50" s="1051"/>
      <c r="H50" s="1051"/>
      <c r="I50" s="1051"/>
      <c r="J50" s="1181"/>
      <c r="K50" s="1182"/>
      <c r="L50" s="1169"/>
      <c r="M50" s="1042"/>
      <c r="N50" s="1042"/>
      <c r="O50" s="1042"/>
      <c r="P50" s="3393" t="str">
        <f>A50</f>
        <v>估价对象XX用房的比较价值（楼面单价，元/平方米）</v>
      </c>
      <c r="Q50" s="3394"/>
      <c r="R50" s="3395">
        <f>IF(F1="售价",ROUND(IF(D49="简单平均",AVERAGE(R49:V49),R49*F49+T49*H49+V49*J49),0),ROUND(IF(D49="简单平均",AVERAGE(R49:V49),R49*F49+T49*H49+V49*J49),1))</f>
        <v>32272</v>
      </c>
      <c r="S50" s="3395"/>
      <c r="T50" s="3395"/>
      <c r="U50" s="3395"/>
      <c r="V50" s="3395"/>
      <c r="W50" s="3395"/>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1442</v>
      </c>
      <c r="D53" s="772"/>
      <c r="E53" s="1188">
        <f>IF(E48&lt;E49,E49/E48-1,E48/E49-1)</f>
        <v>2.9435139669731214E-4</v>
      </c>
      <c r="F53" s="1189" t="str">
        <f>IF(OR(E53&gt;=0.3,E53&lt;=-0.3),"超过30%","")</f>
        <v/>
      </c>
      <c r="G53" s="1188">
        <f>IF(G48&lt;G49,G49/G48-1,G48/G49-1)</f>
        <v>2.9435139669731214E-4</v>
      </c>
      <c r="H53" s="1189" t="str">
        <f>IF(OR(G53&gt;=0.3,G53&lt;=-0.3),"超过30%","")</f>
        <v/>
      </c>
      <c r="I53" s="1188">
        <f>IF(I48&lt;I49,I49/I48-1,I48/I49-1)</f>
        <v>3.9897396790183448E-2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1443</v>
      </c>
      <c r="D54" s="771"/>
      <c r="E54" s="1188">
        <f>IF(E49&lt;G49,G49/E49-1,E49/G49-1)</f>
        <v>0</v>
      </c>
      <c r="F54" s="1189" t="str">
        <f>IF(OR(E54&gt;=0.2,E54&lt;=-0.2),"超过20%","")</f>
        <v/>
      </c>
      <c r="G54" s="1188">
        <f>IF(G49&lt;I49,I49/G49-1,G49/I49-1)</f>
        <v>0.17796110783735997</v>
      </c>
      <c r="H54" s="1189" t="str">
        <f>IF(OR(G54&gt;=0.2,G54&lt;=-0.2),"超过20%","")</f>
        <v/>
      </c>
      <c r="I54" s="1188">
        <f>IF(I49&lt;E49,E49/I49-1,I49/E49-1)</f>
        <v>0.17796110783735997</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1444</v>
      </c>
      <c r="D55" s="771"/>
      <c r="E55" s="1188">
        <f>IF(E48&lt;G48,G48/E48-1,E48/G48-1)</f>
        <v>0</v>
      </c>
      <c r="F55" s="1189" t="str">
        <f>IF(OR(E55&gt;=0.3,E55&lt;=-0.3),"超过30%","")</f>
        <v/>
      </c>
      <c r="G55" s="1188">
        <f>IF(G48&lt;I48,I48/G48-1,G48/I48-1)</f>
        <v>0.13243333333333299</v>
      </c>
      <c r="H55" s="1189" t="str">
        <f>IF(OR(G55&gt;=0.3,G55&lt;=-0.3),"超过30%","")</f>
        <v/>
      </c>
      <c r="I55" s="1188">
        <f>IF(I48&lt;E48,E48/I48-1,I48/E48-1)</f>
        <v>0.13243333333333299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1445</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1391</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1446</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1394</v>
      </c>
      <c r="B62" s="1254"/>
      <c r="C62" s="1255" t="s">
        <v>1447</v>
      </c>
      <c r="D62" s="2368" t="s">
        <v>1396</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1448</v>
      </c>
      <c r="B64" s="1263" t="s">
        <v>1399</v>
      </c>
      <c r="C64" s="697" t="str">
        <f>C9</f>
        <v>商业</v>
      </c>
      <c r="D64" s="2379" t="s">
        <v>230</v>
      </c>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v>101</v>
      </c>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1402</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1403</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38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1404</v>
      </c>
      <c r="B77" s="1263" t="s">
        <v>1405</v>
      </c>
      <c r="C77" s="1306" t="s">
        <v>1449</v>
      </c>
      <c r="D77" s="1306" t="s">
        <v>1450</v>
      </c>
      <c r="E77" s="1306" t="s">
        <v>1451</v>
      </c>
      <c r="F77" s="1306" t="s">
        <v>1452</v>
      </c>
      <c r="G77" s="1306" t="s">
        <v>1453</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1408</v>
      </c>
      <c r="C79" s="1311" t="s">
        <v>1449</v>
      </c>
      <c r="D79" s="1311" t="s">
        <v>1450</v>
      </c>
      <c r="E79" s="1311" t="s">
        <v>1451</v>
      </c>
      <c r="F79" s="1311" t="s">
        <v>1452</v>
      </c>
      <c r="G79" s="1311" t="s">
        <v>1453</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1409</v>
      </c>
      <c r="C81" s="1311" t="s">
        <v>1449</v>
      </c>
      <c r="D81" s="1311" t="s">
        <v>1450</v>
      </c>
      <c r="E81" s="1311" t="s">
        <v>1451</v>
      </c>
      <c r="F81" s="1311" t="s">
        <v>1452</v>
      </c>
      <c r="G81" s="1311" t="s">
        <v>1453</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1410</v>
      </c>
      <c r="C83" s="1114" t="s">
        <v>1454</v>
      </c>
      <c r="D83" s="1114" t="s">
        <v>1455</v>
      </c>
      <c r="E83" s="1114" t="s">
        <v>1456</v>
      </c>
      <c r="F83" s="1114" t="s">
        <v>1457</v>
      </c>
      <c r="G83" s="1114" t="s">
        <v>1458</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1411</v>
      </c>
      <c r="C85" s="1311" t="s">
        <v>1449</v>
      </c>
      <c r="D85" s="1311" t="s">
        <v>1450</v>
      </c>
      <c r="E85" s="1311" t="s">
        <v>1451</v>
      </c>
      <c r="F85" s="1311" t="s">
        <v>1452</v>
      </c>
      <c r="G85" s="1311" t="s">
        <v>1453</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1413</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380" t="s">
        <v>1459</v>
      </c>
      <c r="D89" s="2380" t="s">
        <v>1415</v>
      </c>
      <c r="E89" s="2380" t="s">
        <v>1416</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98</v>
      </c>
      <c r="E90" s="1278">
        <f t="shared" ref="E90:M90" si="20">D90-$K27</f>
        <v>96</v>
      </c>
      <c r="F90" s="1278">
        <f t="shared" si="20"/>
        <v>94</v>
      </c>
      <c r="G90" s="1278">
        <f t="shared" si="20"/>
        <v>92</v>
      </c>
      <c r="H90" s="1278">
        <f t="shared" si="20"/>
        <v>90</v>
      </c>
      <c r="I90" s="1278">
        <f t="shared" si="20"/>
        <v>88</v>
      </c>
      <c r="J90" s="1278">
        <f t="shared" si="20"/>
        <v>86</v>
      </c>
      <c r="K90" s="1278">
        <f t="shared" si="20"/>
        <v>84</v>
      </c>
      <c r="L90" s="1278">
        <f t="shared" si="20"/>
        <v>82</v>
      </c>
      <c r="M90" s="1278">
        <f t="shared" si="20"/>
        <v>80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1418</v>
      </c>
      <c r="B101" s="1263" t="s">
        <v>1419</v>
      </c>
      <c r="C101" s="2379" t="s">
        <v>1420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1422</v>
      </c>
      <c r="C103" s="1311" t="str">
        <f>C104&amp;"(含)"&amp;"-"&amp;D104</f>
        <v>0(含)-300</v>
      </c>
      <c r="D103" s="1311" t="str">
        <f t="shared" ref="D103:L103" si="23">D104&amp;"(含)"&amp;"-"&amp;E104</f>
        <v>300(含)-500</v>
      </c>
      <c r="E103" s="1311" t="str">
        <f t="shared" si="23"/>
        <v>500(含)-800</v>
      </c>
      <c r="F103" s="1311" t="str">
        <f t="shared" si="23"/>
        <v>800(含)-2000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f>D105-1</f>
        <v>99</v>
      </c>
      <c r="F105" s="1269">
        <f t="shared" ref="F105:G105" si="24">E105-1</f>
        <v>98</v>
      </c>
      <c r="G105" s="1269">
        <f t="shared" si="24"/>
        <v>97</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1423</v>
      </c>
      <c r="C106" s="2380" t="s">
        <v>1424</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1425</v>
      </c>
      <c r="C108" s="2380" t="s">
        <v>1426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7">D112+$K37</f>
        <v>102</v>
      </c>
      <c r="F112" s="1278">
        <f t="shared" si="27"/>
        <v>103</v>
      </c>
      <c r="G112" s="1278">
        <f t="shared" si="27"/>
        <v>104</v>
      </c>
      <c r="H112" s="1278">
        <f t="shared" si="27"/>
        <v>105</v>
      </c>
      <c r="I112" s="1278">
        <f t="shared" si="27"/>
        <v>106</v>
      </c>
      <c r="J112" s="1278">
        <f t="shared" si="27"/>
        <v>107</v>
      </c>
      <c r="K112" s="1278">
        <f t="shared" si="27"/>
        <v>108</v>
      </c>
      <c r="L112" s="1278">
        <f t="shared" si="27"/>
        <v>109</v>
      </c>
      <c r="M112" s="1278">
        <f t="shared" si="27"/>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1427</v>
      </c>
      <c r="C113" s="2380" t="s">
        <v>1428</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1429</v>
      </c>
      <c r="C115" s="2380" t="s">
        <v>1430</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38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1460</v>
      </c>
      <c r="C119" s="2390" t="s">
        <v>1461</v>
      </c>
      <c r="D119" s="2390" t="s">
        <v>1462</v>
      </c>
      <c r="E119" s="1321"/>
      <c r="F119" s="1321"/>
      <c r="G119" s="1321"/>
      <c r="H119" s="1321"/>
      <c r="I119" s="1321"/>
      <c r="J119" s="1321"/>
      <c r="K119" s="1321"/>
      <c r="L119" s="2391"/>
      <c r="M119" s="2392"/>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103</v>
      </c>
      <c r="E120" s="1278">
        <f t="shared" ref="E120:M120" si="30">D120-$K41</f>
        <v>106</v>
      </c>
      <c r="F120" s="1278">
        <f t="shared" si="30"/>
        <v>109</v>
      </c>
      <c r="G120" s="1278">
        <f t="shared" si="30"/>
        <v>112</v>
      </c>
      <c r="H120" s="1278">
        <f t="shared" si="30"/>
        <v>115</v>
      </c>
      <c r="I120" s="1278">
        <f t="shared" si="30"/>
        <v>118</v>
      </c>
      <c r="J120" s="1278">
        <f t="shared" si="30"/>
        <v>121</v>
      </c>
      <c r="K120" s="1278">
        <f t="shared" si="30"/>
        <v>124</v>
      </c>
      <c r="L120" s="1278">
        <f t="shared" si="30"/>
        <v>127</v>
      </c>
      <c r="M120" s="1278">
        <f t="shared" si="30"/>
        <v>130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1463</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1434</v>
      </c>
      <c r="C123" s="2380" t="s">
        <v>1426</v>
      </c>
      <c r="D123" s="2380" t="s">
        <v>1464</v>
      </c>
      <c r="E123" s="2380" t="s">
        <v>1435</v>
      </c>
      <c r="F123" s="2390" t="s">
        <v>1436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1437</v>
      </c>
      <c r="C125" s="1311" t="s">
        <v>1449</v>
      </c>
      <c r="D125" s="1311" t="s">
        <v>1450</v>
      </c>
      <c r="E125" s="1311" t="s">
        <v>1451</v>
      </c>
      <c r="F125" s="1311" t="s">
        <v>1452</v>
      </c>
      <c r="G125" s="1311" t="s">
        <v>1453</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1465</v>
      </c>
      <c r="C1" s="1380" t="s">
        <v>1374</v>
      </c>
      <c r="D1" s="1373" t="s">
        <v>229</v>
      </c>
      <c r="E1" s="1524" t="s">
        <v>1375</v>
      </c>
      <c r="F1" s="1375" t="s">
        <v>1376</v>
      </c>
      <c r="G1" s="1376" t="s">
        <v>1377</v>
      </c>
      <c r="H1" s="1377"/>
      <c r="I1" s="1377"/>
      <c r="J1" s="1377"/>
      <c r="K1" s="1378"/>
      <c r="L1" s="1379"/>
      <c r="M1" s="1380"/>
      <c r="N1" s="1380"/>
      <c r="O1" s="1380"/>
      <c r="P1" s="2351"/>
      <c r="Q1" s="2352"/>
      <c r="R1" s="2352"/>
      <c r="S1" s="2352"/>
      <c r="T1" s="2352"/>
      <c r="U1" s="2352"/>
      <c r="V1" s="2352"/>
      <c r="W1" s="2352"/>
      <c r="X1" s="2352"/>
      <c r="Y1" s="2352"/>
      <c r="Z1" s="2352"/>
      <c r="AA1" s="2352"/>
      <c r="AB1" s="2352"/>
      <c r="AC1" s="2353"/>
    </row>
    <row r="2" spans="1:29" s="1008" customFormat="1" ht="28.5" customHeight="1">
      <c r="A2" s="1382" t="s">
        <v>1036</v>
      </c>
      <c r="B2" s="1383">
        <f>IF(E1="项目模式",IF(C2="——",ROUND(C49*D3/10000,0),ROUND(C49*D3/10000,0)-D2),IF(E1="单套模式",IF(C2="——",ROUND(C49*D3/10000,4),ROUND(C49*D3/10000,4)-D2)))</f>
        <v>724.25279999999998</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354"/>
      <c r="Q2" s="1488"/>
      <c r="R2" s="1488"/>
      <c r="S2" s="1488"/>
      <c r="T2" s="1488"/>
      <c r="U2" s="1488"/>
      <c r="V2" s="1488"/>
      <c r="W2" s="1488"/>
      <c r="X2" s="1488"/>
      <c r="Y2" s="1488"/>
      <c r="Z2" s="1488"/>
      <c r="AA2" s="1488"/>
      <c r="AB2" s="1488"/>
      <c r="AC2" s="2355"/>
    </row>
    <row r="3" spans="1:29" s="1008" customFormat="1" ht="28.5" customHeight="1">
      <c r="A3" s="347" t="s">
        <v>1038</v>
      </c>
      <c r="B3" s="1033">
        <f>IF(C2="——",C49,ROUND(B2*10000/D3,0))</f>
        <v>24468</v>
      </c>
      <c r="C3" s="1387" t="s">
        <v>1378</v>
      </c>
      <c r="D3" s="1388">
        <f>IF(D1="",'数据-汇总表'!E3,SUMIF('数据-汇总表'!$C19:$C33,D1,'数据-汇总表'!$E19:$E33))</f>
        <v>296</v>
      </c>
      <c r="E3" s="2355"/>
      <c r="F3" s="1029"/>
      <c r="G3" s="1028"/>
      <c r="H3" s="1028"/>
      <c r="I3" s="1028"/>
      <c r="J3" s="1028"/>
      <c r="K3" s="1030"/>
      <c r="L3" s="1031"/>
      <c r="M3" s="1032"/>
      <c r="N3" s="1032"/>
      <c r="O3" s="1032"/>
      <c r="P3" s="2354"/>
      <c r="Q3" s="1488"/>
      <c r="R3" s="1488"/>
      <c r="S3" s="1488"/>
      <c r="T3" s="1488"/>
      <c r="U3" s="1488"/>
      <c r="V3" s="1488"/>
      <c r="W3" s="1488"/>
      <c r="X3" s="1488"/>
      <c r="Y3" s="1488"/>
      <c r="Z3" s="1488"/>
      <c r="AA3" s="1488"/>
      <c r="AB3" s="1488"/>
      <c r="AC3" s="2355"/>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83" t="s">
        <v>1382</v>
      </c>
      <c r="AC4" s="3421" t="s">
        <v>1383</v>
      </c>
    </row>
    <row r="5" spans="1:29" ht="15">
      <c r="A5" s="1047"/>
      <c r="B5" s="1048"/>
      <c r="C5" s="3415" t="s">
        <v>1466</v>
      </c>
      <c r="D5" s="3372"/>
      <c r="E5" s="3416"/>
      <c r="F5" s="3417"/>
      <c r="G5" s="3415"/>
      <c r="H5" s="3372"/>
      <c r="I5" s="3415"/>
      <c r="J5" s="3372"/>
      <c r="K5" s="1040"/>
      <c r="L5" s="1041"/>
      <c r="M5" s="1042"/>
      <c r="N5" s="1042"/>
      <c r="O5" s="1042"/>
      <c r="P5" s="3424"/>
      <c r="Q5" s="3405"/>
      <c r="R5" s="3410"/>
      <c r="S5" s="3411"/>
      <c r="T5" s="3410"/>
      <c r="U5" s="3411"/>
      <c r="V5" s="3383"/>
      <c r="W5" s="3383"/>
      <c r="X5" s="1046"/>
      <c r="Y5" s="3410"/>
      <c r="Z5" s="3411"/>
      <c r="AA5" s="3397"/>
      <c r="AB5" s="3383"/>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83"/>
      <c r="AC6" s="3398"/>
    </row>
    <row r="7" spans="1:29" s="1009" customFormat="1" ht="15">
      <c r="A7" s="1054" t="s">
        <v>1391</v>
      </c>
      <c r="B7" s="1055"/>
      <c r="C7" s="1056">
        <f>'数据-取费表'!B2</f>
        <v>45981</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79" t="s">
        <v>1392</v>
      </c>
      <c r="Q7" s="3378"/>
      <c r="R7" s="1065" t="s">
        <v>1393</v>
      </c>
      <c r="S7" s="1066">
        <f t="shared" ref="S7:S15" si="0">F7</f>
        <v>100.5</v>
      </c>
      <c r="T7" s="1065" t="s">
        <v>1393</v>
      </c>
      <c r="U7" s="1066">
        <f t="shared" ref="U7:U15" si="1">H7</f>
        <v>100.5</v>
      </c>
      <c r="V7" s="1065" t="s">
        <v>1393</v>
      </c>
      <c r="W7" s="1066">
        <f t="shared" ref="W7:W15" si="2">J7</f>
        <v>100.5</v>
      </c>
      <c r="X7" s="1067"/>
      <c r="Y7" s="3379" t="s">
        <v>1392</v>
      </c>
      <c r="Z7" s="3380"/>
      <c r="AA7" s="1069">
        <f>D7/F7</f>
        <v>0.99502487562189057</v>
      </c>
      <c r="AB7" s="1069">
        <f>D7/H7</f>
        <v>0.99502487562189057</v>
      </c>
      <c r="AC7" s="1069">
        <f>D7/J7</f>
        <v>0.99502487562189057</v>
      </c>
    </row>
    <row r="8" spans="1:29" s="1009" customFormat="1" ht="15">
      <c r="A8" s="1054" t="s">
        <v>1394</v>
      </c>
      <c r="B8" s="1055"/>
      <c r="C8" s="1070" t="s">
        <v>1395</v>
      </c>
      <c r="D8" s="1057">
        <v>100</v>
      </c>
      <c r="E8" s="1070" t="s">
        <v>1396</v>
      </c>
      <c r="F8" s="1059">
        <f>SUMIF(61:61,E8,62:62)-SUMIF(61:61,C8,62:62)+100</f>
        <v>102</v>
      </c>
      <c r="G8" s="1070" t="s">
        <v>1396</v>
      </c>
      <c r="H8" s="1057">
        <f>SUMIF(61:61,G8,62:62)-SUMIF(61:61,C8,62:62)+100</f>
        <v>102</v>
      </c>
      <c r="I8" s="1070" t="s">
        <v>1396</v>
      </c>
      <c r="J8" s="1057">
        <f>SUMIF(61:61,I8,62:62)-SUMIF(61:61,C8,62:62)+100</f>
        <v>102</v>
      </c>
      <c r="K8" s="1061"/>
      <c r="L8" s="1062"/>
      <c r="M8" s="1063"/>
      <c r="N8" s="1063"/>
      <c r="O8" s="1063"/>
      <c r="P8" s="3379" t="s">
        <v>1397</v>
      </c>
      <c r="Q8" s="3380"/>
      <c r="R8" s="1065" t="s">
        <v>1393</v>
      </c>
      <c r="S8" s="1066">
        <f t="shared" si="0"/>
        <v>102</v>
      </c>
      <c r="T8" s="1065" t="s">
        <v>1393</v>
      </c>
      <c r="U8" s="1066">
        <f t="shared" si="1"/>
        <v>102</v>
      </c>
      <c r="V8" s="1065" t="s">
        <v>1393</v>
      </c>
      <c r="W8" s="1066">
        <f t="shared" si="2"/>
        <v>102</v>
      </c>
      <c r="X8" s="1067"/>
      <c r="Y8" s="3379" t="s">
        <v>1397</v>
      </c>
      <c r="Z8" s="3380"/>
      <c r="AA8" s="1069">
        <f t="shared" ref="AA8:AA46" si="3">D8/F8</f>
        <v>0.98039215686274495</v>
      </c>
      <c r="AB8" s="1069">
        <f t="shared" ref="AB8:AB46" si="4">D8/H8</f>
        <v>0.98039215686274495</v>
      </c>
      <c r="AC8" s="1069">
        <f t="shared" ref="AC8:AC46" si="5">D8/J8</f>
        <v>0.98039215686274495</v>
      </c>
    </row>
    <row r="9" spans="1:29" s="1009" customFormat="1">
      <c r="A9" s="1071" t="s">
        <v>1398</v>
      </c>
      <c r="B9" s="1072" t="s">
        <v>1399</v>
      </c>
      <c r="C9" s="235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1" t="s">
        <v>1400</v>
      </c>
      <c r="Q9" s="809" t="str">
        <f t="shared" ref="Q9:Q15" si="6">B9</f>
        <v>用途</v>
      </c>
      <c r="R9" s="1065" t="s">
        <v>1393</v>
      </c>
      <c r="S9" s="1066">
        <f t="shared" si="0"/>
        <v>100</v>
      </c>
      <c r="T9" s="1065" t="s">
        <v>1393</v>
      </c>
      <c r="U9" s="1066">
        <f t="shared" si="1"/>
        <v>100</v>
      </c>
      <c r="V9" s="1065" t="s">
        <v>1393</v>
      </c>
      <c r="W9" s="1066">
        <f t="shared" si="2"/>
        <v>100</v>
      </c>
      <c r="X9" s="1067"/>
      <c r="Y9" s="3358"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1"/>
      <c r="Q10" s="809" t="str">
        <f t="shared" si="6"/>
        <v>土地使用年限（年）</v>
      </c>
      <c r="R10" s="1065" t="s">
        <v>1393</v>
      </c>
      <c r="S10" s="1066">
        <f t="shared" si="0"/>
        <v>100</v>
      </c>
      <c r="T10" s="1065" t="s">
        <v>1393</v>
      </c>
      <c r="U10" s="1066">
        <f t="shared" si="1"/>
        <v>100</v>
      </c>
      <c r="V10" s="1065" t="s">
        <v>1393</v>
      </c>
      <c r="W10" s="1066">
        <f t="shared" si="2"/>
        <v>100</v>
      </c>
      <c r="X10" s="1067"/>
      <c r="Y10" s="3358"/>
      <c r="Z10" s="1069" t="str">
        <f t="shared" si="7"/>
        <v>土地使用年限（年）</v>
      </c>
      <c r="AA10" s="1069">
        <f t="shared" si="3"/>
        <v>1</v>
      </c>
      <c r="AB10" s="1069">
        <f t="shared" si="4"/>
        <v>1</v>
      </c>
      <c r="AC10" s="1069">
        <f t="shared" si="5"/>
        <v>1</v>
      </c>
    </row>
    <row r="11" spans="1:29" ht="15">
      <c r="A11" s="1084"/>
      <c r="B11" s="1077" t="s">
        <v>1403</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1"/>
      <c r="Q11" s="809" t="str">
        <f t="shared" si="6"/>
        <v>容积率</v>
      </c>
      <c r="R11" s="1065" t="s">
        <v>1393</v>
      </c>
      <c r="S11" s="1066">
        <f t="shared" si="0"/>
        <v>100</v>
      </c>
      <c r="T11" s="1065" t="s">
        <v>1393</v>
      </c>
      <c r="U11" s="1066">
        <f t="shared" si="1"/>
        <v>100</v>
      </c>
      <c r="V11" s="1065" t="s">
        <v>1393</v>
      </c>
      <c r="W11" s="1066">
        <f t="shared" si="2"/>
        <v>100</v>
      </c>
      <c r="X11" s="1067"/>
      <c r="Y11" s="3358"/>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1"/>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1"/>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1"/>
      <c r="Q14" s="809">
        <f t="shared" si="6"/>
        <v>111</v>
      </c>
      <c r="R14" s="1065" t="s">
        <v>1393</v>
      </c>
      <c r="S14" s="1066">
        <f t="shared" si="0"/>
        <v>100</v>
      </c>
      <c r="T14" s="1065" t="s">
        <v>1393</v>
      </c>
      <c r="U14" s="1066">
        <f t="shared" si="1"/>
        <v>100</v>
      </c>
      <c r="V14" s="1065" t="s">
        <v>1393</v>
      </c>
      <c r="W14" s="1066">
        <f t="shared" si="2"/>
        <v>100</v>
      </c>
      <c r="X14" s="1067"/>
      <c r="Y14" s="3358"/>
      <c r="Z14" s="1069">
        <f t="shared" si="7"/>
        <v>111</v>
      </c>
      <c r="AA14" s="1069">
        <f t="shared" si="3"/>
        <v>1</v>
      </c>
      <c r="AB14" s="1069">
        <f t="shared" si="4"/>
        <v>1</v>
      </c>
      <c r="AC14" s="1069">
        <f t="shared" si="5"/>
        <v>1</v>
      </c>
    </row>
    <row r="15" spans="1:29" ht="15">
      <c r="A15" s="1101" t="s">
        <v>1404</v>
      </c>
      <c r="B15" s="1342" t="s">
        <v>1467</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84" t="s">
        <v>1406</v>
      </c>
      <c r="Q15" s="705" t="str">
        <f t="shared" si="6"/>
        <v>商业繁华度</v>
      </c>
      <c r="R15" s="1107" t="s">
        <v>1393</v>
      </c>
      <c r="S15" s="1108">
        <f t="shared" si="0"/>
        <v>100</v>
      </c>
      <c r="T15" s="1107" t="s">
        <v>1393</v>
      </c>
      <c r="U15" s="1108">
        <f t="shared" si="1"/>
        <v>100</v>
      </c>
      <c r="V15" s="1107" t="s">
        <v>1393</v>
      </c>
      <c r="W15" s="1108">
        <f t="shared" si="2"/>
        <v>103</v>
      </c>
      <c r="X15" s="1046"/>
      <c r="Y15" s="3389" t="s">
        <v>1406</v>
      </c>
      <c r="Z15" s="1045" t="str">
        <f t="shared" si="7"/>
        <v>商业繁华度</v>
      </c>
      <c r="AA15" s="1045">
        <f t="shared" si="3"/>
        <v>1</v>
      </c>
      <c r="AB15" s="1045">
        <f t="shared" si="4"/>
        <v>1</v>
      </c>
      <c r="AC15" s="1045">
        <f t="shared" si="5"/>
        <v>0.970873786407767</v>
      </c>
    </row>
    <row r="16" spans="1:29" ht="15">
      <c r="A16" s="1084"/>
      <c r="B16" s="1170"/>
      <c r="C16" s="1110" t="s">
        <v>1407</v>
      </c>
      <c r="D16" s="1111"/>
      <c r="E16" s="1110" t="s">
        <v>1407</v>
      </c>
      <c r="F16" s="1053"/>
      <c r="G16" s="1110" t="s">
        <v>1407</v>
      </c>
      <c r="H16" s="1113"/>
      <c r="I16" s="1110" t="s">
        <v>1412</v>
      </c>
      <c r="J16" s="1111"/>
      <c r="K16" s="1396"/>
      <c r="L16" s="1096"/>
      <c r="M16" s="1042"/>
      <c r="N16" s="1042"/>
      <c r="O16" s="1042"/>
      <c r="P16" s="3385"/>
      <c r="Q16" s="705"/>
      <c r="R16" s="1107"/>
      <c r="S16" s="1108"/>
      <c r="T16" s="1107"/>
      <c r="U16" s="1108"/>
      <c r="V16" s="1107"/>
      <c r="W16" s="1108"/>
      <c r="X16" s="1046"/>
      <c r="Y16" s="3390"/>
      <c r="Z16" s="1045"/>
      <c r="AA16" s="1045">
        <v>1</v>
      </c>
      <c r="AB16" s="1045">
        <v>1</v>
      </c>
      <c r="AC16" s="1045">
        <v>1</v>
      </c>
    </row>
    <row r="17" spans="1:29" ht="15">
      <c r="A17" s="1084"/>
      <c r="B17" s="1344" t="s">
        <v>1408</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85"/>
      <c r="Q17" s="705" t="str">
        <f>B17</f>
        <v>交通便捷度</v>
      </c>
      <c r="R17" s="1107" t="s">
        <v>1393</v>
      </c>
      <c r="S17" s="1108">
        <f>F17</f>
        <v>100</v>
      </c>
      <c r="T17" s="1107" t="s">
        <v>1393</v>
      </c>
      <c r="U17" s="1108">
        <f>H17</f>
        <v>100</v>
      </c>
      <c r="V17" s="1107" t="s">
        <v>1393</v>
      </c>
      <c r="W17" s="1108">
        <f>J17</f>
        <v>102</v>
      </c>
      <c r="X17" s="1046"/>
      <c r="Y17" s="3390"/>
      <c r="Z17" s="1045" t="str">
        <f>Q17</f>
        <v>交通便捷度</v>
      </c>
      <c r="AA17" s="1045">
        <f t="shared" si="3"/>
        <v>1</v>
      </c>
      <c r="AB17" s="1045">
        <f t="shared" si="4"/>
        <v>1</v>
      </c>
      <c r="AC17" s="1045">
        <f t="shared" si="5"/>
        <v>0.98039215686274495</v>
      </c>
    </row>
    <row r="18" spans="1:29" ht="15">
      <c r="A18" s="1084"/>
      <c r="B18" s="1149"/>
      <c r="C18" s="1110" t="s">
        <v>1407</v>
      </c>
      <c r="D18" s="1113"/>
      <c r="E18" s="1110" t="s">
        <v>1407</v>
      </c>
      <c r="F18" s="1049"/>
      <c r="G18" s="1110" t="s">
        <v>1407</v>
      </c>
      <c r="H18" s="1111"/>
      <c r="I18" s="1110" t="s">
        <v>1412</v>
      </c>
      <c r="J18" s="1111"/>
      <c r="K18" s="1396"/>
      <c r="L18" s="1096"/>
      <c r="M18" s="1042"/>
      <c r="N18" s="1042"/>
      <c r="O18" s="1042"/>
      <c r="P18" s="3385"/>
      <c r="Q18" s="705"/>
      <c r="R18" s="1107"/>
      <c r="S18" s="1108"/>
      <c r="T18" s="1107"/>
      <c r="U18" s="1108"/>
      <c r="V18" s="1107"/>
      <c r="W18" s="1108"/>
      <c r="X18" s="1046"/>
      <c r="Y18" s="3390"/>
      <c r="Z18" s="1045"/>
      <c r="AA18" s="1045">
        <v>1</v>
      </c>
      <c r="AB18" s="1045">
        <v>1</v>
      </c>
      <c r="AC18" s="1045">
        <v>1</v>
      </c>
    </row>
    <row r="19" spans="1:29" ht="15">
      <c r="A19" s="1084"/>
      <c r="B19" s="1344" t="s">
        <v>1409</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85"/>
      <c r="Q19" s="705" t="str">
        <f>B19</f>
        <v>公共配套设施</v>
      </c>
      <c r="R19" s="1107" t="s">
        <v>1393</v>
      </c>
      <c r="S19" s="1108">
        <f>F19</f>
        <v>100</v>
      </c>
      <c r="T19" s="1107" t="s">
        <v>1393</v>
      </c>
      <c r="U19" s="1108">
        <f>H19</f>
        <v>100</v>
      </c>
      <c r="V19" s="1107" t="s">
        <v>1393</v>
      </c>
      <c r="W19" s="1108">
        <f>J19</f>
        <v>100</v>
      </c>
      <c r="X19" s="1046"/>
      <c r="Y19" s="3390"/>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85"/>
      <c r="Q20" s="705"/>
      <c r="R20" s="1107"/>
      <c r="S20" s="1108"/>
      <c r="T20" s="1107"/>
      <c r="U20" s="1108"/>
      <c r="V20" s="1107"/>
      <c r="W20" s="1108"/>
      <c r="X20" s="1046"/>
      <c r="Y20" s="3390"/>
      <c r="Z20" s="1045"/>
      <c r="AA20" s="1045">
        <v>1</v>
      </c>
      <c r="AB20" s="1045">
        <v>1</v>
      </c>
      <c r="AC20" s="1045">
        <v>1</v>
      </c>
    </row>
    <row r="21" spans="1:29" ht="15">
      <c r="A21" s="1084"/>
      <c r="B21" s="1350" t="s">
        <v>1410</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85"/>
      <c r="Q21" s="705" t="str">
        <f>B21</f>
        <v>基础设施水平</v>
      </c>
      <c r="R21" s="1107" t="s">
        <v>1393</v>
      </c>
      <c r="S21" s="1108">
        <f>F21</f>
        <v>100</v>
      </c>
      <c r="T21" s="1107" t="s">
        <v>1393</v>
      </c>
      <c r="U21" s="1108">
        <f>H21</f>
        <v>100</v>
      </c>
      <c r="V21" s="1107" t="s">
        <v>1393</v>
      </c>
      <c r="W21" s="1108">
        <f>J21</f>
        <v>100</v>
      </c>
      <c r="X21" s="1046"/>
      <c r="Y21" s="3390"/>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85"/>
      <c r="Q22" s="705"/>
      <c r="R22" s="1107"/>
      <c r="S22" s="1108"/>
      <c r="T22" s="1107"/>
      <c r="U22" s="1108"/>
      <c r="V22" s="1107"/>
      <c r="W22" s="1108"/>
      <c r="X22" s="1046"/>
      <c r="Y22" s="3390"/>
      <c r="Z22" s="1045"/>
      <c r="AA22" s="1045">
        <v>1</v>
      </c>
      <c r="AB22" s="1045">
        <v>1</v>
      </c>
      <c r="AC22" s="1045">
        <v>1</v>
      </c>
    </row>
    <row r="23" spans="1:29" ht="15">
      <c r="A23" s="1084"/>
      <c r="B23" s="1344" t="s">
        <v>1468</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85"/>
      <c r="Q23" s="705" t="str">
        <f>B23</f>
        <v>自然及人文环境</v>
      </c>
      <c r="R23" s="1107" t="s">
        <v>1393</v>
      </c>
      <c r="S23" s="1108">
        <f>F23</f>
        <v>100</v>
      </c>
      <c r="T23" s="1107" t="s">
        <v>1393</v>
      </c>
      <c r="U23" s="1108">
        <f>H23</f>
        <v>100</v>
      </c>
      <c r="V23" s="1107" t="s">
        <v>1393</v>
      </c>
      <c r="W23" s="1108">
        <f>J23</f>
        <v>100</v>
      </c>
      <c r="X23" s="1046"/>
      <c r="Y23" s="3390"/>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85"/>
      <c r="Q24" s="705"/>
      <c r="R24" s="1107"/>
      <c r="S24" s="1108"/>
      <c r="T24" s="1107"/>
      <c r="U24" s="1108"/>
      <c r="V24" s="1107"/>
      <c r="W24" s="1108"/>
      <c r="X24" s="1046"/>
      <c r="Y24" s="3390"/>
      <c r="Z24" s="1045"/>
      <c r="AA24" s="1045">
        <v>1</v>
      </c>
      <c r="AB24" s="1045">
        <v>1</v>
      </c>
      <c r="AC24" s="1045">
        <v>1</v>
      </c>
    </row>
    <row r="25" spans="1:29" ht="15">
      <c r="A25" s="1084"/>
      <c r="B25" s="1077" t="s">
        <v>1469</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85"/>
      <c r="Q25" s="705" t="str">
        <f t="shared" ref="Q25:Q46" si="11">B25</f>
        <v>临街状况</v>
      </c>
      <c r="R25" s="1107" t="s">
        <v>1393</v>
      </c>
      <c r="S25" s="1108">
        <f>F25</f>
        <v>100</v>
      </c>
      <c r="T25" s="1107" t="s">
        <v>1393</v>
      </c>
      <c r="U25" s="1108">
        <f>H25</f>
        <v>100</v>
      </c>
      <c r="V25" s="1107" t="s">
        <v>1393</v>
      </c>
      <c r="W25" s="1108">
        <f>J25</f>
        <v>100</v>
      </c>
      <c r="X25" s="1046"/>
      <c r="Y25" s="3390"/>
      <c r="Z25" s="1045" t="str">
        <f>Q25</f>
        <v>临街状况</v>
      </c>
      <c r="AA25" s="1045">
        <f t="shared" si="3"/>
        <v>1</v>
      </c>
      <c r="AB25" s="1045">
        <f t="shared" si="4"/>
        <v>1</v>
      </c>
      <c r="AC25" s="1045">
        <f t="shared" si="5"/>
        <v>1</v>
      </c>
    </row>
    <row r="26" spans="1:29" ht="15">
      <c r="A26" s="1084"/>
      <c r="B26" s="1246" t="s">
        <v>1470</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85"/>
      <c r="Q26" s="705" t="str">
        <f t="shared" si="11"/>
        <v>平面位置/可视性</v>
      </c>
      <c r="R26" s="1107" t="s">
        <v>1393</v>
      </c>
      <c r="S26" s="1108">
        <f>F26</f>
        <v>100</v>
      </c>
      <c r="T26" s="1107" t="s">
        <v>1393</v>
      </c>
      <c r="U26" s="1108">
        <f>H26</f>
        <v>100</v>
      </c>
      <c r="V26" s="1107" t="s">
        <v>1393</v>
      </c>
      <c r="W26" s="1108">
        <f>J26</f>
        <v>100</v>
      </c>
      <c r="X26" s="1046"/>
      <c r="Y26" s="3390"/>
      <c r="Z26" s="1045" t="str">
        <f>Q26</f>
        <v>平面位置/可视性</v>
      </c>
      <c r="AA26" s="1045">
        <f t="shared" si="3"/>
        <v>1</v>
      </c>
      <c r="AB26" s="1045">
        <f t="shared" si="4"/>
        <v>1</v>
      </c>
      <c r="AC26" s="1045">
        <f t="shared" si="5"/>
        <v>1</v>
      </c>
    </row>
    <row r="27" spans="1:29" s="1009" customFormat="1" ht="15">
      <c r="A27" s="1090"/>
      <c r="B27" s="1344" t="s">
        <v>1471</v>
      </c>
      <c r="C27" s="2357" t="s">
        <v>1412</v>
      </c>
      <c r="D27" s="1120">
        <v>100</v>
      </c>
      <c r="E27" s="2357" t="s">
        <v>1412</v>
      </c>
      <c r="F27" s="1149">
        <f>SUMIF(90:90,E27,91:91)-SUMIF(90:90,C27,91:91)+100</f>
        <v>100</v>
      </c>
      <c r="G27" s="2357" t="s">
        <v>1412</v>
      </c>
      <c r="H27" s="1120">
        <f>SUMIF(90:90,G27,91:91)-SUMIF(90:90,C27,91:91)+100</f>
        <v>100</v>
      </c>
      <c r="I27" s="2357" t="s">
        <v>1412</v>
      </c>
      <c r="J27" s="1120">
        <f>SUMIF(90:90,I27,91:91)-SUMIF(90:90,C27,91:91)+100</f>
        <v>100</v>
      </c>
      <c r="K27" s="1133">
        <v>3</v>
      </c>
      <c r="L27" s="1062"/>
      <c r="M27" s="1063"/>
      <c r="N27" s="1063"/>
      <c r="O27" s="1063"/>
      <c r="P27" s="3385"/>
      <c r="Q27" s="809" t="str">
        <f t="shared" si="11"/>
        <v>人流量</v>
      </c>
      <c r="R27" s="1065" t="s">
        <v>1393</v>
      </c>
      <c r="S27" s="1066">
        <f>F27</f>
        <v>100</v>
      </c>
      <c r="T27" s="1065" t="s">
        <v>1393</v>
      </c>
      <c r="U27" s="1066">
        <f>H27</f>
        <v>100</v>
      </c>
      <c r="V27" s="1065" t="s">
        <v>1393</v>
      </c>
      <c r="W27" s="1066">
        <f>J27</f>
        <v>100</v>
      </c>
      <c r="X27" s="1067"/>
      <c r="Y27" s="3390"/>
      <c r="Z27" s="1069" t="str">
        <f>Q27</f>
        <v>人流量</v>
      </c>
      <c r="AA27" s="1045">
        <f t="shared" si="3"/>
        <v>1</v>
      </c>
      <c r="AB27" s="1045">
        <f t="shared" si="4"/>
        <v>1</v>
      </c>
      <c r="AC27" s="1045">
        <f t="shared" si="5"/>
        <v>1</v>
      </c>
    </row>
    <row r="28" spans="1:29" ht="15">
      <c r="A28" s="1084"/>
      <c r="B28" s="1077" t="s">
        <v>1414</v>
      </c>
      <c r="C28" s="1128" t="s">
        <v>1416</v>
      </c>
      <c r="D28" s="706">
        <v>100</v>
      </c>
      <c r="E28" s="1128" t="s">
        <v>1416</v>
      </c>
      <c r="F28" s="1183">
        <f>SUMIF(92:92,E28,93:93)-SUMIF(92:92,C28,93:93)+100</f>
        <v>100</v>
      </c>
      <c r="G28" s="1128" t="s">
        <v>1416</v>
      </c>
      <c r="H28" s="706">
        <f>SUMIF(92:92,G28,93:93)-SUMIF(92:92,C28,93:93)+100</f>
        <v>100</v>
      </c>
      <c r="I28" s="1128" t="s">
        <v>1459</v>
      </c>
      <c r="J28" s="706">
        <f>SUMIF(92:92,I28,93:93)-SUMIF(92:92,C28,93:93)+100</f>
        <v>104</v>
      </c>
      <c r="K28" s="1131"/>
      <c r="L28" s="1096"/>
      <c r="M28" s="1042"/>
      <c r="N28" s="1042"/>
      <c r="O28" s="1042"/>
      <c r="P28" s="3385"/>
      <c r="Q28" s="705" t="str">
        <f t="shared" si="11"/>
        <v>楼层</v>
      </c>
      <c r="R28" s="1107" t="s">
        <v>1393</v>
      </c>
      <c r="S28" s="1108">
        <f t="shared" ref="S28:S46" si="12">F28</f>
        <v>100</v>
      </c>
      <c r="T28" s="1107" t="s">
        <v>1393</v>
      </c>
      <c r="U28" s="1108">
        <f t="shared" ref="U28:U46" si="13">H28</f>
        <v>100</v>
      </c>
      <c r="V28" s="1107" t="s">
        <v>1393</v>
      </c>
      <c r="W28" s="1108">
        <f t="shared" ref="W28:W46" si="14">J28</f>
        <v>104</v>
      </c>
      <c r="X28" s="1046"/>
      <c r="Y28" s="3390"/>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85"/>
      <c r="Q29" s="705">
        <f t="shared" si="11"/>
        <v>111</v>
      </c>
      <c r="R29" s="1107" t="s">
        <v>1393</v>
      </c>
      <c r="S29" s="1108">
        <f t="shared" si="12"/>
        <v>100</v>
      </c>
      <c r="T29" s="1107" t="s">
        <v>1393</v>
      </c>
      <c r="U29" s="1108">
        <f t="shared" si="13"/>
        <v>100</v>
      </c>
      <c r="V29" s="1107" t="s">
        <v>1393</v>
      </c>
      <c r="W29" s="1108">
        <f t="shared" si="14"/>
        <v>100</v>
      </c>
      <c r="X29" s="1046"/>
      <c r="Y29" s="3390"/>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85"/>
      <c r="Q30" s="705">
        <f t="shared" si="11"/>
        <v>111</v>
      </c>
      <c r="R30" s="1107" t="s">
        <v>1393</v>
      </c>
      <c r="S30" s="1108">
        <f t="shared" si="12"/>
        <v>100</v>
      </c>
      <c r="T30" s="1107" t="s">
        <v>1393</v>
      </c>
      <c r="U30" s="1108">
        <f t="shared" si="13"/>
        <v>100</v>
      </c>
      <c r="V30" s="1107" t="s">
        <v>1393</v>
      </c>
      <c r="W30" s="1108">
        <f t="shared" si="14"/>
        <v>100</v>
      </c>
      <c r="X30" s="1046"/>
      <c r="Y30" s="3390"/>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85"/>
      <c r="Q31" s="705">
        <f t="shared" si="11"/>
        <v>111</v>
      </c>
      <c r="R31" s="1107" t="s">
        <v>1393</v>
      </c>
      <c r="S31" s="1108">
        <f t="shared" si="12"/>
        <v>100</v>
      </c>
      <c r="T31" s="1107" t="s">
        <v>1393</v>
      </c>
      <c r="U31" s="1108">
        <f t="shared" si="13"/>
        <v>100</v>
      </c>
      <c r="V31" s="1107" t="s">
        <v>1393</v>
      </c>
      <c r="W31" s="1108">
        <f t="shared" si="14"/>
        <v>100</v>
      </c>
      <c r="X31" s="1046"/>
      <c r="Y31" s="3390"/>
      <c r="Z31" s="1045">
        <f t="shared" si="15"/>
        <v>111</v>
      </c>
      <c r="AA31" s="1045">
        <f t="shared" si="3"/>
        <v>1</v>
      </c>
      <c r="AB31" s="1045">
        <f t="shared" si="4"/>
        <v>1</v>
      </c>
      <c r="AC31" s="1045">
        <f t="shared" si="5"/>
        <v>1</v>
      </c>
    </row>
    <row r="32" spans="1:29" ht="15">
      <c r="A32" s="1101" t="s">
        <v>1418</v>
      </c>
      <c r="B32" s="1072" t="s">
        <v>1472</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86" t="s">
        <v>1421</v>
      </c>
      <c r="Q32" s="705" t="str">
        <f t="shared" si="11"/>
        <v>商业类型</v>
      </c>
      <c r="R32" s="1107" t="s">
        <v>1393</v>
      </c>
      <c r="S32" s="1108">
        <f t="shared" si="12"/>
        <v>100</v>
      </c>
      <c r="T32" s="1107" t="s">
        <v>1393</v>
      </c>
      <c r="U32" s="1108">
        <f t="shared" si="13"/>
        <v>100</v>
      </c>
      <c r="V32" s="1107" t="s">
        <v>1393</v>
      </c>
      <c r="W32" s="1108">
        <f t="shared" si="14"/>
        <v>100</v>
      </c>
      <c r="X32" s="1046"/>
      <c r="Y32" s="3391" t="s">
        <v>1421</v>
      </c>
      <c r="Z32" s="1045" t="str">
        <f t="shared" si="15"/>
        <v>商业类型</v>
      </c>
      <c r="AA32" s="1045">
        <f t="shared" si="3"/>
        <v>1</v>
      </c>
      <c r="AB32" s="1045">
        <f t="shared" si="4"/>
        <v>1</v>
      </c>
      <c r="AC32" s="1045">
        <f t="shared" si="5"/>
        <v>1</v>
      </c>
    </row>
    <row r="33" spans="1:29" s="1011" customFormat="1" ht="15">
      <c r="A33" s="1157"/>
      <c r="B33" s="1077" t="s">
        <v>1422</v>
      </c>
      <c r="C33" s="1392">
        <f>'数据-基础表'!I13</f>
        <v>296</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87"/>
      <c r="Q33" s="1404" t="str">
        <f t="shared" si="11"/>
        <v>项目建筑规模</v>
      </c>
      <c r="R33" s="1145" t="s">
        <v>1393</v>
      </c>
      <c r="S33" s="1146">
        <f t="shared" si="12"/>
        <v>99</v>
      </c>
      <c r="T33" s="1145" t="s">
        <v>1393</v>
      </c>
      <c r="U33" s="1146">
        <f t="shared" si="13"/>
        <v>100</v>
      </c>
      <c r="V33" s="1145" t="s">
        <v>1393</v>
      </c>
      <c r="W33" s="1146">
        <f t="shared" si="14"/>
        <v>100</v>
      </c>
      <c r="X33" s="1147"/>
      <c r="Y33" s="3391"/>
      <c r="Z33" s="1148" t="str">
        <f t="shared" si="15"/>
        <v>项目建筑规模</v>
      </c>
      <c r="AA33" s="1045">
        <f t="shared" si="3"/>
        <v>1.0101010101010099</v>
      </c>
      <c r="AB33" s="1045">
        <f t="shared" si="4"/>
        <v>1</v>
      </c>
      <c r="AC33" s="1045">
        <f t="shared" si="5"/>
        <v>1</v>
      </c>
    </row>
    <row r="34" spans="1:29" ht="15">
      <c r="A34" s="1152"/>
      <c r="B34" s="1077" t="s">
        <v>1423</v>
      </c>
      <c r="C34" s="1405" t="s">
        <v>1424</v>
      </c>
      <c r="D34" s="706">
        <v>100</v>
      </c>
      <c r="E34" s="1405" t="s">
        <v>1424</v>
      </c>
      <c r="F34" s="1183">
        <f>SUMIF(105:105,E34,106:106)-SUMIF(105:105,C34,106:106)+100</f>
        <v>100</v>
      </c>
      <c r="G34" s="2358" t="s">
        <v>1424</v>
      </c>
      <c r="H34" s="706">
        <f>SUMIF(105:105,G34,106:106)-SUMIF(105:105,C34,106:106)+100</f>
        <v>100</v>
      </c>
      <c r="I34" s="2358" t="s">
        <v>1424</v>
      </c>
      <c r="J34" s="706">
        <f>SUMIF(105:105,I34,106:106)-SUMIF(105:105,C34,106:106)+100</f>
        <v>100</v>
      </c>
      <c r="K34" s="1133"/>
      <c r="L34" s="1096"/>
      <c r="M34" s="1042"/>
      <c r="N34" s="1042"/>
      <c r="O34" s="1042"/>
      <c r="P34" s="3387"/>
      <c r="Q34" s="705" t="str">
        <f t="shared" si="11"/>
        <v>建筑结构</v>
      </c>
      <c r="R34" s="1107" t="s">
        <v>1393</v>
      </c>
      <c r="S34" s="1108">
        <f t="shared" si="12"/>
        <v>100</v>
      </c>
      <c r="T34" s="1107" t="s">
        <v>1393</v>
      </c>
      <c r="U34" s="1108">
        <f t="shared" si="13"/>
        <v>100</v>
      </c>
      <c r="V34" s="1107" t="s">
        <v>1393</v>
      </c>
      <c r="W34" s="1108">
        <f t="shared" si="14"/>
        <v>100</v>
      </c>
      <c r="X34" s="1046"/>
      <c r="Y34" s="3391"/>
      <c r="Z34" s="1045" t="str">
        <f t="shared" si="15"/>
        <v>建筑结构</v>
      </c>
      <c r="AA34" s="1045">
        <f t="shared" si="3"/>
        <v>1</v>
      </c>
      <c r="AB34" s="1045">
        <f t="shared" si="4"/>
        <v>1</v>
      </c>
      <c r="AC34" s="1045">
        <f t="shared" si="5"/>
        <v>1</v>
      </c>
    </row>
    <row r="35" spans="1:29" ht="15">
      <c r="A35" s="1152"/>
      <c r="B35" s="1077" t="s">
        <v>1425</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87"/>
      <c r="Q35" s="705" t="str">
        <f t="shared" si="11"/>
        <v>公共部分装修</v>
      </c>
      <c r="R35" s="1107" t="s">
        <v>1393</v>
      </c>
      <c r="S35" s="1108">
        <f t="shared" si="12"/>
        <v>100</v>
      </c>
      <c r="T35" s="1107" t="s">
        <v>1393</v>
      </c>
      <c r="U35" s="1108">
        <f t="shared" si="13"/>
        <v>100</v>
      </c>
      <c r="V35" s="1107" t="s">
        <v>1393</v>
      </c>
      <c r="W35" s="1108">
        <f t="shared" si="14"/>
        <v>100</v>
      </c>
      <c r="X35" s="1046"/>
      <c r="Y35" s="3391"/>
      <c r="Z35" s="1045" t="str">
        <f t="shared" si="15"/>
        <v>公共部分装修</v>
      </c>
      <c r="AA35" s="1045">
        <f t="shared" si="3"/>
        <v>1</v>
      </c>
      <c r="AB35" s="1045">
        <f t="shared" si="4"/>
        <v>1</v>
      </c>
      <c r="AC35" s="1045">
        <f t="shared" si="5"/>
        <v>1</v>
      </c>
    </row>
    <row r="36" spans="1:29" ht="15">
      <c r="A36" s="1152"/>
      <c r="B36" s="1077" t="s">
        <v>687</v>
      </c>
      <c r="C36" s="1401">
        <f>'数据-取费表'!N6</f>
        <v>0.75</v>
      </c>
      <c r="D36" s="706">
        <v>100</v>
      </c>
      <c r="E36" s="1401">
        <f>C36</f>
        <v>0.75</v>
      </c>
      <c r="F36" s="1183">
        <f>LOOKUP(E36,110:110,111:111)-LOOKUP(C36,110:110,111:111)+100</f>
        <v>100</v>
      </c>
      <c r="G36" s="1401">
        <f>E36</f>
        <v>0.75</v>
      </c>
      <c r="H36" s="1183">
        <f>LOOKUP(G36,110:110,111:111)-LOOKUP(C36,110:110,111:111)+100</f>
        <v>100</v>
      </c>
      <c r="I36" s="1401">
        <f>G36</f>
        <v>0.75</v>
      </c>
      <c r="J36" s="706">
        <f>LOOKUP(I36,110:110,111:111)-LOOKUP(C36,110:110,111:111)+100</f>
        <v>100</v>
      </c>
      <c r="K36" s="1133"/>
      <c r="L36" s="1096"/>
      <c r="M36" s="1042"/>
      <c r="N36" s="1042"/>
      <c r="O36" s="1042"/>
      <c r="P36" s="3387"/>
      <c r="Q36" s="705" t="str">
        <f t="shared" si="11"/>
        <v>成新度</v>
      </c>
      <c r="R36" s="1107" t="s">
        <v>1393</v>
      </c>
      <c r="S36" s="1108">
        <f t="shared" si="12"/>
        <v>100</v>
      </c>
      <c r="T36" s="1107" t="s">
        <v>1393</v>
      </c>
      <c r="U36" s="1108">
        <f t="shared" si="13"/>
        <v>100</v>
      </c>
      <c r="V36" s="1107" t="s">
        <v>1393</v>
      </c>
      <c r="W36" s="1108">
        <f t="shared" si="14"/>
        <v>100</v>
      </c>
      <c r="X36" s="1046"/>
      <c r="Y36" s="3391"/>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87"/>
      <c r="Q37" s="809" t="str">
        <f t="shared" si="11"/>
        <v>市政基础设施</v>
      </c>
      <c r="R37" s="1065" t="s">
        <v>1393</v>
      </c>
      <c r="S37" s="1066">
        <f t="shared" si="12"/>
        <v>100</v>
      </c>
      <c r="T37" s="1065" t="s">
        <v>1393</v>
      </c>
      <c r="U37" s="1066">
        <f t="shared" si="13"/>
        <v>100</v>
      </c>
      <c r="V37" s="1065" t="s">
        <v>1393</v>
      </c>
      <c r="W37" s="1066">
        <f t="shared" si="14"/>
        <v>100</v>
      </c>
      <c r="X37" s="1067"/>
      <c r="Y37" s="3391"/>
      <c r="Z37" s="1069" t="str">
        <f t="shared" si="15"/>
        <v>市政基础设施</v>
      </c>
      <c r="AA37" s="1069">
        <f t="shared" si="3"/>
        <v>1</v>
      </c>
      <c r="AB37" s="1069">
        <f t="shared" si="4"/>
        <v>1</v>
      </c>
      <c r="AC37" s="1069">
        <f t="shared" si="5"/>
        <v>1</v>
      </c>
    </row>
    <row r="38" spans="1:29" ht="15">
      <c r="A38" s="1152"/>
      <c r="B38" s="1077" t="s">
        <v>1473</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87" t="s">
        <v>1421</v>
      </c>
      <c r="Q38" s="705" t="str">
        <f t="shared" si="11"/>
        <v>业态</v>
      </c>
      <c r="R38" s="1107" t="s">
        <v>1393</v>
      </c>
      <c r="S38" s="1108">
        <f t="shared" si="12"/>
        <v>100</v>
      </c>
      <c r="T38" s="1107" t="s">
        <v>1393</v>
      </c>
      <c r="U38" s="1108">
        <f t="shared" si="13"/>
        <v>100</v>
      </c>
      <c r="V38" s="1107" t="s">
        <v>1393</v>
      </c>
      <c r="W38" s="1108">
        <f t="shared" si="14"/>
        <v>100</v>
      </c>
      <c r="X38" s="1046"/>
      <c r="Y38" s="3391" t="s">
        <v>1421</v>
      </c>
      <c r="Z38" s="1045" t="str">
        <f t="shared" si="15"/>
        <v>业态</v>
      </c>
      <c r="AA38" s="1045">
        <f t="shared" si="3"/>
        <v>1</v>
      </c>
      <c r="AB38" s="1045">
        <f t="shared" si="4"/>
        <v>1</v>
      </c>
      <c r="AC38" s="1045">
        <f t="shared" si="5"/>
        <v>1</v>
      </c>
    </row>
    <row r="39" spans="1:29" ht="15">
      <c r="A39" s="1152"/>
      <c r="B39" s="1077" t="s">
        <v>1432</v>
      </c>
      <c r="C39" s="1153" t="s">
        <v>1462</v>
      </c>
      <c r="D39" s="706">
        <v>100</v>
      </c>
      <c r="E39" s="1153" t="s">
        <v>1461</v>
      </c>
      <c r="F39" s="1183">
        <f>SUMIF(116:116,E39,117:117)-SUMIF(116:116,C39,117:117)+100</f>
        <v>104</v>
      </c>
      <c r="G39" s="1153" t="s">
        <v>1461</v>
      </c>
      <c r="H39" s="706">
        <f>SUMIF(116:116,G39,117:117)-SUMIF(116:116,C39,117:117)+100</f>
        <v>104</v>
      </c>
      <c r="I39" s="1153" t="s">
        <v>1461</v>
      </c>
      <c r="J39" s="706">
        <f>SUMIF(116:116,I39,117:117)-SUMIF(116:116,C39,117:117)+100</f>
        <v>104</v>
      </c>
      <c r="K39" s="1133">
        <v>-4</v>
      </c>
      <c r="L39" s="1096"/>
      <c r="M39" s="1042"/>
      <c r="N39" s="1042"/>
      <c r="O39" s="1042"/>
      <c r="P39" s="3387"/>
      <c r="Q39" s="705" t="str">
        <f t="shared" si="11"/>
        <v>层高</v>
      </c>
      <c r="R39" s="1107" t="s">
        <v>1393</v>
      </c>
      <c r="S39" s="1108">
        <f t="shared" si="12"/>
        <v>104</v>
      </c>
      <c r="T39" s="1107" t="s">
        <v>1393</v>
      </c>
      <c r="U39" s="1108">
        <f t="shared" si="13"/>
        <v>104</v>
      </c>
      <c r="V39" s="1107" t="s">
        <v>1393</v>
      </c>
      <c r="W39" s="1108">
        <f t="shared" si="14"/>
        <v>104</v>
      </c>
      <c r="X39" s="1046"/>
      <c r="Y39" s="3391"/>
      <c r="Z39" s="1045" t="str">
        <f t="shared" si="15"/>
        <v>层高</v>
      </c>
      <c r="AA39" s="1045">
        <f t="shared" si="3"/>
        <v>0.96153846153846201</v>
      </c>
      <c r="AB39" s="1045">
        <f t="shared" si="4"/>
        <v>0.96153846153846201</v>
      </c>
      <c r="AC39" s="1045">
        <f t="shared" si="5"/>
        <v>0.96153846153846201</v>
      </c>
    </row>
    <row r="40" spans="1:29" ht="15">
      <c r="A40" s="1152"/>
      <c r="B40" s="1077" t="s">
        <v>1463</v>
      </c>
      <c r="C40" s="2359"/>
      <c r="D40" s="706">
        <v>100</v>
      </c>
      <c r="E40" s="2360"/>
      <c r="F40" s="1183">
        <f>SUMIF(118:118,E40,119:119)-SUMIF(118:118,C40,119:119)+100</f>
        <v>100</v>
      </c>
      <c r="G40" s="2360"/>
      <c r="H40" s="706">
        <f>SUMIF(118:118,G40,119:119)-SUMIF(118:118,C40,119:119)+100</f>
        <v>100</v>
      </c>
      <c r="I40" s="2360"/>
      <c r="J40" s="706">
        <f>SUMIF(118:118,I40,119:119)-SUMIF(118:118,C40,119:119)+100</f>
        <v>100</v>
      </c>
      <c r="K40" s="1131"/>
      <c r="L40" s="1096"/>
      <c r="M40" s="1042"/>
      <c r="N40" s="1042"/>
      <c r="O40" s="1042"/>
      <c r="P40" s="3387"/>
      <c r="Q40" s="705" t="str">
        <f t="shared" si="11"/>
        <v>单套建筑面积</v>
      </c>
      <c r="R40" s="1107" t="s">
        <v>1393</v>
      </c>
      <c r="S40" s="1108">
        <f t="shared" si="12"/>
        <v>100</v>
      </c>
      <c r="T40" s="1107" t="s">
        <v>1393</v>
      </c>
      <c r="U40" s="1108">
        <f t="shared" si="13"/>
        <v>100</v>
      </c>
      <c r="V40" s="1107" t="s">
        <v>1393</v>
      </c>
      <c r="W40" s="1108">
        <f t="shared" si="14"/>
        <v>100</v>
      </c>
      <c r="X40" s="1046"/>
      <c r="Y40" s="3391"/>
      <c r="Z40" s="1045" t="str">
        <f t="shared" si="15"/>
        <v>单套建筑面积</v>
      </c>
      <c r="AA40" s="1045">
        <f t="shared" si="3"/>
        <v>1</v>
      </c>
      <c r="AB40" s="1045">
        <f t="shared" si="4"/>
        <v>1</v>
      </c>
      <c r="AC40" s="1045">
        <f t="shared" si="5"/>
        <v>1</v>
      </c>
    </row>
    <row r="41" spans="1:29" s="1011" customFormat="1" ht="15">
      <c r="A41" s="1157"/>
      <c r="B41" s="1183" t="s">
        <v>1474</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87"/>
      <c r="Q41" s="1404" t="str">
        <f t="shared" si="11"/>
        <v>进深比</v>
      </c>
      <c r="R41" s="1145" t="s">
        <v>1393</v>
      </c>
      <c r="S41" s="1146">
        <f t="shared" si="12"/>
        <v>100</v>
      </c>
      <c r="T41" s="1145" t="s">
        <v>1393</v>
      </c>
      <c r="U41" s="1146">
        <f t="shared" si="13"/>
        <v>100</v>
      </c>
      <c r="V41" s="1145" t="s">
        <v>1393</v>
      </c>
      <c r="W41" s="1146">
        <f t="shared" si="14"/>
        <v>100</v>
      </c>
      <c r="X41" s="1147"/>
      <c r="Y41" s="3391"/>
      <c r="Z41" s="1148" t="str">
        <f t="shared" si="15"/>
        <v>进深比</v>
      </c>
      <c r="AA41" s="1045">
        <f t="shared" si="3"/>
        <v>1</v>
      </c>
      <c r="AB41" s="1045">
        <f t="shared" si="4"/>
        <v>1</v>
      </c>
      <c r="AC41" s="1045">
        <f t="shared" si="5"/>
        <v>1</v>
      </c>
    </row>
    <row r="42" spans="1:29" ht="15">
      <c r="A42" s="1152"/>
      <c r="B42" s="1077" t="s">
        <v>1434</v>
      </c>
      <c r="C42" s="1153" t="s">
        <v>1435</v>
      </c>
      <c r="D42" s="706">
        <v>100</v>
      </c>
      <c r="E42" s="1153" t="s">
        <v>1435</v>
      </c>
      <c r="F42" s="1183">
        <f>SUMIF(122:122,E42,123:123)-SUMIF(122:122,C42,123:123)+100</f>
        <v>100</v>
      </c>
      <c r="G42" s="1153" t="s">
        <v>1435</v>
      </c>
      <c r="H42" s="706">
        <f>SUMIF(122:122,G42,123:123)-SUMIF(122:122,C42,123:123)+100</f>
        <v>100</v>
      </c>
      <c r="I42" s="1153" t="s">
        <v>1435</v>
      </c>
      <c r="J42" s="706">
        <f>SUMIF(122:122,I42,123:123)-SUMIF(122:122,C42,123:123)+100</f>
        <v>100</v>
      </c>
      <c r="K42" s="1133">
        <v>3</v>
      </c>
      <c r="L42" s="1096"/>
      <c r="M42" s="1042"/>
      <c r="N42" s="1042"/>
      <c r="O42" s="1042"/>
      <c r="P42" s="3387"/>
      <c r="Q42" s="705" t="str">
        <f t="shared" si="11"/>
        <v>内部装修</v>
      </c>
      <c r="R42" s="1107" t="s">
        <v>1393</v>
      </c>
      <c r="S42" s="1108">
        <f t="shared" si="12"/>
        <v>100</v>
      </c>
      <c r="T42" s="1107" t="s">
        <v>1393</v>
      </c>
      <c r="U42" s="1108">
        <f t="shared" si="13"/>
        <v>100</v>
      </c>
      <c r="V42" s="1107" t="s">
        <v>1393</v>
      </c>
      <c r="W42" s="1108">
        <f t="shared" si="14"/>
        <v>100</v>
      </c>
      <c r="X42" s="1046"/>
      <c r="Y42" s="3391"/>
      <c r="Z42" s="1045" t="str">
        <f t="shared" si="15"/>
        <v>内部装修</v>
      </c>
      <c r="AA42" s="1045">
        <f t="shared" si="3"/>
        <v>1</v>
      </c>
      <c r="AB42" s="1045">
        <f t="shared" si="4"/>
        <v>1</v>
      </c>
      <c r="AC42" s="1045">
        <f t="shared" si="5"/>
        <v>1</v>
      </c>
    </row>
    <row r="43" spans="1:29" ht="15">
      <c r="A43" s="1152"/>
      <c r="B43" s="1077" t="s">
        <v>1437</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87"/>
      <c r="Q43" s="705" t="str">
        <f t="shared" si="11"/>
        <v>内部装修维护情况</v>
      </c>
      <c r="R43" s="1107" t="s">
        <v>1393</v>
      </c>
      <c r="S43" s="1108">
        <f t="shared" si="12"/>
        <v>100</v>
      </c>
      <c r="T43" s="1107" t="s">
        <v>1393</v>
      </c>
      <c r="U43" s="1108">
        <f t="shared" si="13"/>
        <v>100</v>
      </c>
      <c r="V43" s="1107" t="s">
        <v>1393</v>
      </c>
      <c r="W43" s="1108">
        <f t="shared" si="14"/>
        <v>100</v>
      </c>
      <c r="X43" s="1046"/>
      <c r="Y43" s="3391"/>
      <c r="Z43" s="1045" t="str">
        <f t="shared" si="15"/>
        <v>内部装修维护情况</v>
      </c>
      <c r="AA43" s="1045">
        <f t="shared" si="3"/>
        <v>1</v>
      </c>
      <c r="AB43" s="1045">
        <f t="shared" si="4"/>
        <v>1</v>
      </c>
      <c r="AC43" s="1045">
        <f t="shared" si="5"/>
        <v>1</v>
      </c>
    </row>
    <row r="44" spans="1:29" s="1009" customFormat="1" ht="15">
      <c r="A44" s="1154"/>
      <c r="B44" s="2361" t="s">
        <v>1475</v>
      </c>
      <c r="C44" s="1392" t="s">
        <v>1476</v>
      </c>
      <c r="D44" s="1079">
        <v>100</v>
      </c>
      <c r="E44" s="2362" t="s">
        <v>1477</v>
      </c>
      <c r="F44" s="1077">
        <f>SUMIF(126:126,E44,127:127)-SUMIF(126:126,C44,127:127)+100</f>
        <v>90</v>
      </c>
      <c r="G44" s="2362" t="s">
        <v>1477</v>
      </c>
      <c r="H44" s="1079">
        <f>SUMIF(126:126,G44,127:127)-SUMIF(126:126,C44,127:127)+100</f>
        <v>90</v>
      </c>
      <c r="I44" s="2362" t="s">
        <v>1477</v>
      </c>
      <c r="J44" s="1079">
        <f>SUMIF(126:126,I44,127:127)-SUMIF(126:126,C44,127:127)+100</f>
        <v>90</v>
      </c>
      <c r="K44" s="1131"/>
      <c r="L44" s="1062"/>
      <c r="M44" s="1063"/>
      <c r="N44" s="1063"/>
      <c r="O44" s="1063"/>
      <c r="P44" s="3387"/>
      <c r="Q44" s="809" t="str">
        <f t="shared" si="11"/>
        <v>户型</v>
      </c>
      <c r="R44" s="1065" t="s">
        <v>1393</v>
      </c>
      <c r="S44" s="1066">
        <f t="shared" si="12"/>
        <v>90</v>
      </c>
      <c r="T44" s="1065" t="s">
        <v>1393</v>
      </c>
      <c r="U44" s="1066">
        <f t="shared" si="13"/>
        <v>90</v>
      </c>
      <c r="V44" s="1065" t="s">
        <v>1393</v>
      </c>
      <c r="W44" s="1066">
        <f t="shared" si="14"/>
        <v>90</v>
      </c>
      <c r="X44" s="1067"/>
      <c r="Y44" s="3391"/>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87"/>
      <c r="Q45" s="705">
        <f t="shared" si="11"/>
        <v>111</v>
      </c>
      <c r="R45" s="1107" t="s">
        <v>1393</v>
      </c>
      <c r="S45" s="1108">
        <f t="shared" si="12"/>
        <v>100</v>
      </c>
      <c r="T45" s="1107" t="s">
        <v>1393</v>
      </c>
      <c r="U45" s="1108">
        <f t="shared" si="13"/>
        <v>100</v>
      </c>
      <c r="V45" s="1107" t="s">
        <v>1393</v>
      </c>
      <c r="W45" s="1108">
        <f t="shared" si="14"/>
        <v>100</v>
      </c>
      <c r="X45" s="1046"/>
      <c r="Y45" s="3391"/>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88"/>
      <c r="Q46" s="705">
        <f t="shared" si="11"/>
        <v>111</v>
      </c>
      <c r="R46" s="1107" t="s">
        <v>1393</v>
      </c>
      <c r="S46" s="1108">
        <f t="shared" si="12"/>
        <v>100</v>
      </c>
      <c r="T46" s="1107" t="s">
        <v>1393</v>
      </c>
      <c r="U46" s="1108">
        <f t="shared" si="13"/>
        <v>100</v>
      </c>
      <c r="V46" s="1107" t="s">
        <v>1393</v>
      </c>
      <c r="W46" s="1108">
        <f t="shared" si="14"/>
        <v>100</v>
      </c>
      <c r="X46" s="1046"/>
      <c r="Y46" s="3392"/>
      <c r="Z46" s="1045">
        <f t="shared" si="15"/>
        <v>111</v>
      </c>
      <c r="AA46" s="1045">
        <f t="shared" si="3"/>
        <v>1</v>
      </c>
      <c r="AB46" s="1045">
        <f t="shared" si="4"/>
        <v>1</v>
      </c>
      <c r="AC46" s="1045">
        <f t="shared" si="5"/>
        <v>1</v>
      </c>
    </row>
    <row r="47" spans="1:29" ht="15">
      <c r="A47" s="1160" t="s">
        <v>1438</v>
      </c>
      <c r="B47" s="1409"/>
      <c r="C47" s="1410" t="s">
        <v>124</v>
      </c>
      <c r="D47" s="1163"/>
      <c r="E47" s="1164">
        <v>23131</v>
      </c>
      <c r="F47" s="1165"/>
      <c r="G47" s="1164">
        <v>24588</v>
      </c>
      <c r="H47" s="1167"/>
      <c r="I47" s="1164">
        <v>24559</v>
      </c>
      <c r="J47" s="1167"/>
      <c r="K47" s="1168"/>
      <c r="L47" s="1169"/>
      <c r="M47" s="1042"/>
      <c r="N47" s="1042"/>
      <c r="O47" s="1042"/>
      <c r="P47" s="3382" t="str">
        <f>A47</f>
        <v>成交单价（元/平方米）</v>
      </c>
      <c r="Q47" s="3382"/>
      <c r="R47" s="3383">
        <f>E47</f>
        <v>23131</v>
      </c>
      <c r="S47" s="3383"/>
      <c r="T47" s="3383">
        <f>G47</f>
        <v>24588</v>
      </c>
      <c r="U47" s="3383"/>
      <c r="V47" s="3383">
        <f>I47</f>
        <v>24559</v>
      </c>
      <c r="W47" s="3383"/>
      <c r="X47" s="1170"/>
      <c r="Y47" s="1171"/>
      <c r="Z47" s="1170"/>
      <c r="AA47" s="1170"/>
      <c r="AB47" s="1170"/>
      <c r="AC47" s="1170"/>
    </row>
    <row r="48" spans="1:29" ht="15">
      <c r="A48" s="1172" t="s">
        <v>1439</v>
      </c>
      <c r="B48" s="1411"/>
      <c r="C48" s="1412">
        <f>R49</f>
        <v>24468</v>
      </c>
      <c r="D48" s="1175" t="s">
        <v>1440</v>
      </c>
      <c r="E48" s="1413">
        <f>R48</f>
        <v>24351</v>
      </c>
      <c r="F48" s="1176">
        <v>0.4</v>
      </c>
      <c r="G48" s="1412">
        <f>T48</f>
        <v>25626</v>
      </c>
      <c r="H48" s="1176">
        <v>0.2</v>
      </c>
      <c r="I48" s="1413">
        <f>V48</f>
        <v>23426</v>
      </c>
      <c r="J48" s="1176">
        <v>0.4</v>
      </c>
      <c r="K48" s="1178">
        <f>F48+H48+J48</f>
        <v>1</v>
      </c>
      <c r="L48" s="1169"/>
      <c r="M48" s="1042"/>
      <c r="N48" s="1042"/>
      <c r="O48" s="1042"/>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70"/>
      <c r="Y48" s="1170"/>
      <c r="Z48" s="1170"/>
      <c r="AA48" s="1170"/>
      <c r="AB48" s="1170"/>
      <c r="AC48" s="1170"/>
    </row>
    <row r="49" spans="1:29" ht="15">
      <c r="A49" s="1179" t="s">
        <v>1441</v>
      </c>
      <c r="B49" s="1180"/>
      <c r="C49" s="1051">
        <f>R49</f>
        <v>24468</v>
      </c>
      <c r="D49" s="1051"/>
      <c r="E49" s="1051"/>
      <c r="F49" s="1051"/>
      <c r="G49" s="1051"/>
      <c r="H49" s="1051"/>
      <c r="I49" s="1051"/>
      <c r="J49" s="1051"/>
      <c r="K49" s="1182"/>
      <c r="L49" s="1169"/>
      <c r="M49" s="1042"/>
      <c r="N49" s="1042"/>
      <c r="O49" s="1042"/>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36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363"/>
      <c r="Q51" s="1042"/>
      <c r="R51" s="1042"/>
      <c r="S51" s="1042"/>
      <c r="T51" s="1042"/>
      <c r="U51" s="1042"/>
      <c r="V51" s="1042"/>
      <c r="W51" s="1042"/>
      <c r="X51" s="1042"/>
      <c r="Y51" s="1042"/>
      <c r="Z51" s="1042"/>
      <c r="AA51" s="1042"/>
      <c r="AB51" s="1042"/>
      <c r="AC51" s="1042"/>
    </row>
    <row r="52" spans="1:29" ht="13.5" customHeight="1">
      <c r="A52" s="1042"/>
      <c r="B52" s="1042"/>
      <c r="C52" s="1187" t="s">
        <v>1442</v>
      </c>
      <c r="D52" s="772"/>
      <c r="E52" s="1188">
        <f>IF(E47&lt;E48,E48/E47-1,E47/E48-1)</f>
        <v>5.2743072067787722E-2</v>
      </c>
      <c r="F52" s="1189" t="str">
        <f>IF(OR(E52&gt;=0.3,E52&lt;=-0.3),"超过30%","")</f>
        <v/>
      </c>
      <c r="G52" s="1188">
        <f>IF(G47&lt;G48,G48/G47-1,G47/G48-1)</f>
        <v>4.221571498291854E-2</v>
      </c>
      <c r="H52" s="1189" t="str">
        <f>IF(OR(G52&gt;=0.3,G52&lt;=-0.3),"超过30%","")</f>
        <v/>
      </c>
      <c r="I52" s="1188">
        <f>IF(I47&lt;I48,I48/I47-1,I47/I48-1)</f>
        <v>4.8365064458294249E-2</v>
      </c>
      <c r="J52" s="1189" t="str">
        <f>IF(OR(I52&gt;=0.3,I52&lt;=-0.3),"超过30%","")</f>
        <v/>
      </c>
      <c r="K52" s="1185"/>
      <c r="L52" s="1186"/>
      <c r="M52" s="1042"/>
      <c r="N52" s="1042"/>
      <c r="O52" s="1042"/>
      <c r="P52" s="2363"/>
      <c r="Q52" s="1042"/>
      <c r="R52" s="1042"/>
      <c r="S52" s="1042"/>
      <c r="T52" s="1042"/>
      <c r="U52" s="1042"/>
      <c r="V52" s="1042"/>
      <c r="W52" s="1042"/>
      <c r="X52" s="1042"/>
      <c r="Y52" s="1042"/>
      <c r="Z52" s="1042"/>
      <c r="AA52" s="1042"/>
      <c r="AB52" s="1042"/>
      <c r="AC52" s="1042"/>
    </row>
    <row r="53" spans="1:29" ht="13.5" customHeight="1">
      <c r="A53" s="1042"/>
      <c r="B53" s="1042"/>
      <c r="C53" s="1187" t="s">
        <v>1443</v>
      </c>
      <c r="D53" s="771"/>
      <c r="E53" s="1188">
        <f>IF(E48&lt;G48,G48/E48-1,E48/G48-1)</f>
        <v>5.2359246026857154E-2</v>
      </c>
      <c r="F53" s="1189" t="str">
        <f>IF(OR(E53&gt;=0.2,E53&lt;=-0.2),"超过20%","")</f>
        <v/>
      </c>
      <c r="G53" s="1188">
        <f>IF(G48&lt;I48,I48/G48-1,G48/I48-1)</f>
        <v>9.3912746520959711E-2</v>
      </c>
      <c r="H53" s="1189" t="str">
        <f>IF(OR(G53&gt;=0.2,G53&lt;=-0.2),"超过20%","")</f>
        <v/>
      </c>
      <c r="I53" s="1188">
        <f>IF(I48&lt;E48,E48/I48-1,I48/E48-1)</f>
        <v>3.9486041150857965E-2</v>
      </c>
      <c r="J53" s="1189" t="str">
        <f>IF(OR(I53&gt;=0.2,I53&lt;=-0.2),"超过20%","")</f>
        <v/>
      </c>
      <c r="K53" s="1185"/>
      <c r="L53" s="1186"/>
      <c r="M53" s="1042"/>
      <c r="N53" s="1042"/>
      <c r="O53" s="1042"/>
      <c r="P53" s="236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1444</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36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36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363"/>
      <c r="Q56" s="1042"/>
      <c r="R56" s="1042"/>
      <c r="S56" s="1042"/>
      <c r="T56" s="1042"/>
      <c r="U56" s="1042"/>
      <c r="V56" s="1042"/>
      <c r="W56" s="1042"/>
      <c r="X56" s="1042"/>
      <c r="Y56" s="1042"/>
      <c r="Z56" s="1042"/>
      <c r="AA56" s="1042"/>
      <c r="AB56" s="1042"/>
      <c r="AC56" s="1042"/>
    </row>
    <row r="57" spans="1:29" ht="21">
      <c r="A57" s="1231" t="s">
        <v>1445</v>
      </c>
      <c r="B57" s="1170"/>
      <c r="C57" s="1232"/>
      <c r="D57" s="1232"/>
      <c r="E57" s="1232"/>
      <c r="F57" s="1233"/>
      <c r="G57" s="1233"/>
      <c r="H57" s="1232"/>
      <c r="I57" s="1232"/>
      <c r="J57" s="1232"/>
      <c r="K57" s="1234"/>
      <c r="L57" s="1365"/>
      <c r="M57" s="1236"/>
      <c r="N57" s="1236"/>
      <c r="O57" s="1236"/>
      <c r="P57" s="2365"/>
      <c r="Q57" s="1238"/>
      <c r="R57" s="1042"/>
      <c r="S57" s="1042"/>
      <c r="T57" s="1042"/>
      <c r="U57" s="1042"/>
      <c r="V57" s="1042"/>
      <c r="W57" s="1042"/>
      <c r="X57" s="1042"/>
      <c r="Y57" s="1042"/>
      <c r="Z57" s="1042"/>
      <c r="AA57" s="1042"/>
      <c r="AB57" s="1042"/>
      <c r="AC57" s="1042"/>
    </row>
    <row r="58" spans="1:29" s="1014" customFormat="1" ht="15">
      <c r="A58" s="1415" t="s">
        <v>1391</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36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367"/>
      <c r="Q59" s="1063"/>
      <c r="R59" s="1063"/>
      <c r="S59" s="1063"/>
      <c r="T59" s="1063"/>
      <c r="U59" s="1063"/>
      <c r="V59" s="1063"/>
      <c r="W59" s="1063"/>
      <c r="X59" s="1063"/>
      <c r="Y59" s="1063"/>
      <c r="Z59" s="1063"/>
      <c r="AA59" s="1063"/>
      <c r="AB59" s="1063"/>
      <c r="AC59" s="1063"/>
    </row>
    <row r="60" spans="1:29" s="1009" customFormat="1" ht="15">
      <c r="A60" s="1247" t="s">
        <v>1446</v>
      </c>
      <c r="B60" s="1248"/>
      <c r="C60" s="1249"/>
      <c r="D60" s="1250"/>
      <c r="E60" s="1250"/>
      <c r="F60" s="1250"/>
      <c r="G60" s="1250"/>
      <c r="H60" s="1250"/>
      <c r="I60" s="1250"/>
      <c r="J60" s="1250"/>
      <c r="K60" s="1250"/>
      <c r="L60" s="1250"/>
      <c r="M60" s="1251"/>
      <c r="N60" s="1250"/>
      <c r="O60" s="1251"/>
      <c r="P60" s="2367"/>
      <c r="Q60" s="1238"/>
      <c r="R60" s="1063"/>
      <c r="S60" s="1063"/>
      <c r="T60" s="1063"/>
      <c r="U60" s="1063"/>
      <c r="V60" s="1063"/>
      <c r="W60" s="1063"/>
      <c r="X60" s="1063"/>
      <c r="Y60" s="1063"/>
      <c r="Z60" s="1063"/>
      <c r="AA60" s="1063"/>
      <c r="AB60" s="1063"/>
      <c r="AC60" s="1063"/>
    </row>
    <row r="61" spans="1:29" s="1009" customFormat="1" ht="15">
      <c r="A61" s="1253" t="s">
        <v>1394</v>
      </c>
      <c r="B61" s="1254"/>
      <c r="C61" s="1255" t="s">
        <v>1447</v>
      </c>
      <c r="D61" s="2368" t="s">
        <v>1396</v>
      </c>
      <c r="E61" s="1256"/>
      <c r="F61" s="1256"/>
      <c r="G61" s="1256"/>
      <c r="H61" s="1256"/>
      <c r="I61" s="1256"/>
      <c r="J61" s="1256"/>
      <c r="K61" s="1256"/>
      <c r="L61" s="1257"/>
      <c r="M61" s="1258"/>
      <c r="N61" s="1259"/>
      <c r="O61" s="1259"/>
      <c r="P61" s="236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367"/>
      <c r="Q62" s="1238"/>
      <c r="R62" s="1063"/>
      <c r="S62" s="1063"/>
      <c r="T62" s="1063"/>
      <c r="U62" s="1063"/>
      <c r="V62" s="1063"/>
      <c r="W62" s="1063"/>
      <c r="X62" s="1063"/>
      <c r="Y62" s="1063"/>
      <c r="Z62" s="1063"/>
      <c r="AA62" s="1063"/>
      <c r="AB62" s="1063"/>
      <c r="AC62" s="1063"/>
    </row>
    <row r="63" spans="1:29">
      <c r="A63" s="1101" t="s">
        <v>1448</v>
      </c>
      <c r="B63" s="1263" t="s">
        <v>1399</v>
      </c>
      <c r="C63" s="697" t="str">
        <f>C9</f>
        <v>商业</v>
      </c>
      <c r="D63" s="1151"/>
      <c r="E63" s="1151"/>
      <c r="F63" s="1151"/>
      <c r="G63" s="1151"/>
      <c r="H63" s="1151"/>
      <c r="I63" s="1151"/>
      <c r="J63" s="1151"/>
      <c r="K63" s="1264"/>
      <c r="L63" s="1265"/>
      <c r="M63" s="1266"/>
      <c r="N63" s="1267"/>
      <c r="O63" s="1267"/>
      <c r="P63" s="237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370"/>
      <c r="Q64" s="1238"/>
      <c r="R64" s="1042"/>
      <c r="S64" s="1042"/>
      <c r="T64" s="1042"/>
      <c r="U64" s="1042"/>
      <c r="V64" s="1042"/>
      <c r="W64" s="1042"/>
      <c r="X64" s="1042"/>
      <c r="Y64" s="1042"/>
      <c r="Z64" s="1042"/>
      <c r="AA64" s="1042"/>
      <c r="AB64" s="1042"/>
      <c r="AC64" s="1042"/>
    </row>
    <row r="65" spans="1:29" ht="27">
      <c r="A65" s="1084"/>
      <c r="B65" s="1272" t="s">
        <v>1402</v>
      </c>
      <c r="C65" s="1321"/>
      <c r="D65" s="1321"/>
      <c r="E65" s="1321"/>
      <c r="F65" s="1321"/>
      <c r="G65" s="1321"/>
      <c r="H65" s="1321"/>
      <c r="I65" s="1321"/>
      <c r="J65" s="1321"/>
      <c r="K65" s="1322"/>
      <c r="L65" s="1323"/>
      <c r="M65" s="1324"/>
      <c r="N65" s="1267"/>
      <c r="O65" s="1267"/>
      <c r="P65" s="237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370"/>
      <c r="Q66" s="1238"/>
      <c r="R66" s="1042"/>
      <c r="S66" s="1042"/>
      <c r="T66" s="1042"/>
      <c r="U66" s="1042"/>
      <c r="V66" s="1042"/>
      <c r="W66" s="1042"/>
      <c r="X66" s="1042"/>
      <c r="Y66" s="1042"/>
      <c r="Z66" s="1042"/>
      <c r="AA66" s="1042"/>
      <c r="AB66" s="1042"/>
      <c r="AC66" s="1042"/>
    </row>
    <row r="67" spans="1:29" ht="15">
      <c r="A67" s="1084"/>
      <c r="B67" s="1280" t="s">
        <v>1403</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37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37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37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37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37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37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37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37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371"/>
      <c r="Q75" s="1292"/>
      <c r="R75" s="1143"/>
      <c r="S75" s="1143"/>
      <c r="T75" s="1143"/>
      <c r="U75" s="1143"/>
      <c r="V75" s="1143"/>
      <c r="W75" s="1143"/>
      <c r="X75" s="1143"/>
      <c r="Y75" s="1143"/>
      <c r="Z75" s="1143"/>
      <c r="AA75" s="1143"/>
      <c r="AB75" s="1143"/>
      <c r="AC75" s="1143"/>
    </row>
    <row r="76" spans="1:29">
      <c r="A76" s="1101" t="s">
        <v>1404</v>
      </c>
      <c r="B76" s="1263" t="s">
        <v>1478</v>
      </c>
      <c r="C76" s="1306" t="s">
        <v>1449</v>
      </c>
      <c r="D76" s="1306" t="s">
        <v>1450</v>
      </c>
      <c r="E76" s="1306" t="s">
        <v>1451</v>
      </c>
      <c r="F76" s="1306" t="s">
        <v>1452</v>
      </c>
      <c r="G76" s="1306" t="s">
        <v>1453</v>
      </c>
      <c r="H76" s="697"/>
      <c r="I76" s="697"/>
      <c r="J76" s="697"/>
      <c r="K76" s="1307"/>
      <c r="L76" s="1308"/>
      <c r="M76" s="1309"/>
      <c r="N76" s="1267"/>
      <c r="O76" s="1267"/>
      <c r="P76" s="237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370"/>
      <c r="Q77" s="1238"/>
      <c r="R77" s="1042"/>
      <c r="S77" s="1042"/>
      <c r="T77" s="1042"/>
      <c r="U77" s="1042"/>
      <c r="V77" s="1042"/>
      <c r="W77" s="1042"/>
      <c r="X77" s="1042"/>
      <c r="Y77" s="1042"/>
      <c r="Z77" s="1042"/>
      <c r="AA77" s="1042"/>
      <c r="AB77" s="1042"/>
      <c r="AC77" s="1042"/>
    </row>
    <row r="78" spans="1:29" ht="15">
      <c r="A78" s="1084"/>
      <c r="B78" s="1272" t="s">
        <v>1408</v>
      </c>
      <c r="C78" s="1311" t="s">
        <v>1449</v>
      </c>
      <c r="D78" s="1311" t="s">
        <v>1450</v>
      </c>
      <c r="E78" s="1311" t="s">
        <v>1451</v>
      </c>
      <c r="F78" s="1311" t="s">
        <v>1452</v>
      </c>
      <c r="G78" s="1311" t="s">
        <v>1453</v>
      </c>
      <c r="H78" s="1273"/>
      <c r="I78" s="1273"/>
      <c r="J78" s="1273"/>
      <c r="K78" s="1274"/>
      <c r="L78" s="1275"/>
      <c r="M78" s="1276"/>
      <c r="N78" s="1267"/>
      <c r="O78" s="1267"/>
      <c r="P78" s="237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370"/>
      <c r="Q79" s="1238"/>
      <c r="R79" s="1042"/>
      <c r="S79" s="1042"/>
      <c r="T79" s="1042"/>
      <c r="U79" s="1042"/>
      <c r="V79" s="1042"/>
      <c r="W79" s="1042"/>
      <c r="X79" s="1042"/>
      <c r="Y79" s="1042"/>
      <c r="Z79" s="1042"/>
      <c r="AA79" s="1042"/>
      <c r="AB79" s="1042"/>
      <c r="AC79" s="1042"/>
    </row>
    <row r="80" spans="1:29" ht="15">
      <c r="A80" s="1084"/>
      <c r="B80" s="1272" t="s">
        <v>1409</v>
      </c>
      <c r="C80" s="1311" t="s">
        <v>1449</v>
      </c>
      <c r="D80" s="1311" t="s">
        <v>1450</v>
      </c>
      <c r="E80" s="1311" t="s">
        <v>1451</v>
      </c>
      <c r="F80" s="1311" t="s">
        <v>1452</v>
      </c>
      <c r="G80" s="1311" t="s">
        <v>1453</v>
      </c>
      <c r="H80" s="1273"/>
      <c r="I80" s="1273"/>
      <c r="J80" s="1273"/>
      <c r="K80" s="1274"/>
      <c r="L80" s="1275"/>
      <c r="M80" s="1276"/>
      <c r="N80" s="1267"/>
      <c r="O80" s="1267"/>
      <c r="P80" s="237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370"/>
      <c r="Q81" s="1238"/>
      <c r="R81" s="1042"/>
      <c r="S81" s="1042"/>
      <c r="T81" s="1042"/>
      <c r="U81" s="1042"/>
      <c r="V81" s="1042"/>
      <c r="W81" s="1042"/>
      <c r="X81" s="1042"/>
      <c r="Y81" s="1042"/>
      <c r="Z81" s="1042"/>
      <c r="AA81" s="1042"/>
      <c r="AB81" s="1042"/>
      <c r="AC81" s="1042"/>
    </row>
    <row r="82" spans="1:29" ht="15">
      <c r="A82" s="1084"/>
      <c r="B82" s="1280" t="s">
        <v>1410</v>
      </c>
      <c r="C82" s="1114" t="s">
        <v>1454</v>
      </c>
      <c r="D82" s="1114" t="s">
        <v>1455</v>
      </c>
      <c r="E82" s="1114" t="s">
        <v>1456</v>
      </c>
      <c r="F82" s="1114" t="s">
        <v>1457</v>
      </c>
      <c r="G82" s="1114" t="s">
        <v>1458</v>
      </c>
      <c r="H82" s="1273"/>
      <c r="I82" s="1273"/>
      <c r="J82" s="1273"/>
      <c r="K82" s="1273"/>
      <c r="L82" s="1273"/>
      <c r="M82" s="1420"/>
      <c r="N82" s="1271"/>
      <c r="O82" s="1271"/>
      <c r="P82" s="237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370"/>
      <c r="Q83" s="1238"/>
      <c r="R83" s="1042"/>
      <c r="S83" s="1042"/>
      <c r="T83" s="1042"/>
      <c r="U83" s="1042"/>
      <c r="V83" s="1042"/>
      <c r="W83" s="1042"/>
      <c r="X83" s="1042"/>
      <c r="Y83" s="1042"/>
      <c r="Z83" s="1042"/>
      <c r="AA83" s="1042"/>
      <c r="AB83" s="1042"/>
      <c r="AC83" s="1042"/>
    </row>
    <row r="84" spans="1:29" ht="15">
      <c r="A84" s="1084"/>
      <c r="B84" s="1272" t="s">
        <v>1468</v>
      </c>
      <c r="C84" s="1311" t="s">
        <v>1449</v>
      </c>
      <c r="D84" s="1311" t="s">
        <v>1450</v>
      </c>
      <c r="E84" s="1311" t="s">
        <v>1451</v>
      </c>
      <c r="F84" s="1311" t="s">
        <v>1452</v>
      </c>
      <c r="G84" s="1311" t="s">
        <v>1453</v>
      </c>
      <c r="H84" s="1273"/>
      <c r="I84" s="1273"/>
      <c r="J84" s="1273"/>
      <c r="K84" s="1274"/>
      <c r="L84" s="1275"/>
      <c r="M84" s="1276"/>
      <c r="N84" s="1267"/>
      <c r="O84" s="1267"/>
      <c r="P84" s="237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370"/>
      <c r="Q85" s="1238"/>
      <c r="R85" s="1042"/>
      <c r="S85" s="1042"/>
      <c r="T85" s="1042"/>
      <c r="U85" s="1042"/>
      <c r="V85" s="1042"/>
      <c r="W85" s="1042"/>
      <c r="X85" s="1042"/>
      <c r="Y85" s="1042"/>
      <c r="Z85" s="1042"/>
      <c r="AA85" s="1042"/>
      <c r="AB85" s="1042"/>
      <c r="AC85" s="1042"/>
    </row>
    <row r="86" spans="1:29" s="1009" customFormat="1" ht="15">
      <c r="A86" s="1090"/>
      <c r="B86" s="1272" t="s">
        <v>1469</v>
      </c>
      <c r="C86" s="1287"/>
      <c r="D86" s="1287"/>
      <c r="E86" s="1287"/>
      <c r="F86" s="1287"/>
      <c r="G86" s="1287"/>
      <c r="H86" s="1287"/>
      <c r="I86" s="1287"/>
      <c r="J86" s="1287"/>
      <c r="K86" s="1287"/>
      <c r="L86" s="1421"/>
      <c r="M86" s="1422"/>
      <c r="N86" s="1259"/>
      <c r="O86" s="1259"/>
      <c r="P86" s="237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37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37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37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1479</v>
      </c>
      <c r="D90" s="1287" t="s">
        <v>1412</v>
      </c>
      <c r="E90" s="1287" t="s">
        <v>1407</v>
      </c>
      <c r="F90" s="1287" t="s">
        <v>1480</v>
      </c>
      <c r="G90" s="1287" t="s">
        <v>1481</v>
      </c>
      <c r="H90" s="1288"/>
      <c r="I90" s="1288"/>
      <c r="J90" s="1288"/>
      <c r="K90" s="1288"/>
      <c r="L90" s="1289"/>
      <c r="M90" s="1290"/>
      <c r="N90" s="1291"/>
      <c r="O90" s="1291"/>
      <c r="P90" s="237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371"/>
      <c r="Q91" s="1292"/>
      <c r="R91" s="1143"/>
      <c r="S91" s="1143"/>
      <c r="T91" s="1143"/>
      <c r="U91" s="1143"/>
      <c r="V91" s="1143"/>
      <c r="W91" s="1143"/>
      <c r="X91" s="1143"/>
      <c r="Y91" s="1143"/>
      <c r="Z91" s="1143"/>
      <c r="AA91" s="1143"/>
      <c r="AB91" s="1143"/>
      <c r="AC91" s="1143"/>
    </row>
    <row r="92" spans="1:29" ht="15">
      <c r="A92" s="1084"/>
      <c r="B92" s="1272" t="str">
        <f>B28</f>
        <v>楼层</v>
      </c>
      <c r="C92" s="2375" t="s">
        <v>1459</v>
      </c>
      <c r="D92" s="2375" t="s">
        <v>1415</v>
      </c>
      <c r="E92" s="2375" t="s">
        <v>1416</v>
      </c>
      <c r="F92" s="2376"/>
      <c r="G92" s="2376"/>
      <c r="H92" s="1287"/>
      <c r="I92" s="1287"/>
      <c r="J92" s="1287"/>
      <c r="K92" s="1287"/>
      <c r="L92" s="1421"/>
      <c r="M92" s="1422"/>
      <c r="N92" s="1267" t="s">
        <v>1482</v>
      </c>
      <c r="O92" s="1267">
        <v>100</v>
      </c>
      <c r="P92" s="237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377"/>
      <c r="G93" s="1269"/>
      <c r="H93" s="1269"/>
      <c r="I93" s="1269"/>
      <c r="J93" s="1269"/>
      <c r="K93" s="1269"/>
      <c r="L93" s="1269"/>
      <c r="M93" s="1270"/>
      <c r="N93" s="1267" t="s">
        <v>1483</v>
      </c>
      <c r="O93" s="1271">
        <v>70</v>
      </c>
      <c r="P93" s="237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1484</v>
      </c>
      <c r="O94" s="1267">
        <v>60</v>
      </c>
      <c r="P94" s="237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1485</v>
      </c>
      <c r="O95" s="1271">
        <v>55</v>
      </c>
      <c r="P95" s="237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1486</v>
      </c>
      <c r="O96" s="2378">
        <f>(O92+O93+O94+O95)/4</f>
        <v>71.25</v>
      </c>
      <c r="P96" s="237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1487</v>
      </c>
      <c r="O97" s="2378">
        <f>(O92+O93+O94)/3</f>
        <v>76.6666666666667</v>
      </c>
      <c r="P97" s="237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1488</v>
      </c>
      <c r="O98" s="2378">
        <f>(O92+O93)/2</f>
        <v>85</v>
      </c>
      <c r="P98" s="237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370"/>
      <c r="Q99" s="1238"/>
      <c r="R99" s="1042"/>
      <c r="S99" s="1042"/>
      <c r="T99" s="1042"/>
      <c r="U99" s="1042"/>
      <c r="V99" s="1042"/>
      <c r="W99" s="1042"/>
      <c r="X99" s="1042"/>
      <c r="Y99" s="1042"/>
      <c r="Z99" s="1042"/>
      <c r="AA99" s="1042"/>
      <c r="AB99" s="1042"/>
      <c r="AC99" s="1042"/>
    </row>
    <row r="100" spans="1:29">
      <c r="A100" s="1101" t="s">
        <v>1418</v>
      </c>
      <c r="B100" s="1263" t="s">
        <v>1472</v>
      </c>
      <c r="C100" s="2379" t="s">
        <v>230</v>
      </c>
      <c r="D100" s="1151"/>
      <c r="E100" s="1151"/>
      <c r="F100" s="1151"/>
      <c r="G100" s="1151"/>
      <c r="H100" s="1151"/>
      <c r="I100" s="1151"/>
      <c r="J100" s="1151"/>
      <c r="K100" s="1264"/>
      <c r="L100" s="1265"/>
      <c r="M100" s="1266"/>
      <c r="N100" s="1267"/>
      <c r="O100" s="1267"/>
      <c r="P100" s="237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370"/>
      <c r="Q101" s="1238"/>
      <c r="R101" s="1042"/>
      <c r="S101" s="1042"/>
      <c r="T101" s="1042"/>
      <c r="U101" s="1042"/>
      <c r="V101" s="1042"/>
      <c r="W101" s="1042"/>
      <c r="X101" s="1042"/>
      <c r="Y101" s="1042"/>
      <c r="Z101" s="1042"/>
      <c r="AA101" s="1042"/>
      <c r="AB101" s="1042"/>
      <c r="AC101" s="1042"/>
    </row>
    <row r="102" spans="1:29" ht="15">
      <c r="A102" s="1084"/>
      <c r="B102" s="1272" t="s">
        <v>1422</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37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37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371"/>
      <c r="Q104" s="1292"/>
      <c r="R104" s="1143"/>
      <c r="S104" s="1143"/>
      <c r="T104" s="1143"/>
      <c r="U104" s="1143"/>
      <c r="V104" s="1143"/>
      <c r="W104" s="1143"/>
      <c r="X104" s="1143"/>
      <c r="Y104" s="1143"/>
      <c r="Z104" s="1143"/>
      <c r="AA104" s="1143"/>
      <c r="AB104" s="1143"/>
      <c r="AC104" s="1143"/>
    </row>
    <row r="105" spans="1:29">
      <c r="A105" s="1152"/>
      <c r="B105" s="1272" t="s">
        <v>1423</v>
      </c>
      <c r="C105" s="2380" t="s">
        <v>1424</v>
      </c>
      <c r="D105" s="1287"/>
      <c r="E105" s="1321"/>
      <c r="F105" s="1321"/>
      <c r="G105" s="1321"/>
      <c r="H105" s="1321"/>
      <c r="I105" s="1321"/>
      <c r="J105" s="1321"/>
      <c r="K105" s="1322"/>
      <c r="L105" s="1323"/>
      <c r="M105" s="1324"/>
      <c r="N105" s="1267"/>
      <c r="O105" s="1267"/>
      <c r="P105" s="237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370"/>
      <c r="Q106" s="1238"/>
      <c r="R106" s="1042"/>
      <c r="S106" s="1042"/>
      <c r="T106" s="1042"/>
      <c r="U106" s="1042"/>
      <c r="V106" s="1042"/>
      <c r="W106" s="1042"/>
      <c r="X106" s="1042"/>
      <c r="Y106" s="1042"/>
      <c r="Z106" s="1042"/>
      <c r="AA106" s="1042"/>
      <c r="AB106" s="1042"/>
      <c r="AC106" s="1042"/>
    </row>
    <row r="107" spans="1:29">
      <c r="A107" s="1152"/>
      <c r="B107" s="1272" t="s">
        <v>1425</v>
      </c>
      <c r="C107" s="2380" t="s">
        <v>1426</v>
      </c>
      <c r="D107" s="1287"/>
      <c r="E107" s="1287"/>
      <c r="F107" s="1321"/>
      <c r="G107" s="1321"/>
      <c r="H107" s="1321"/>
      <c r="I107" s="1321"/>
      <c r="J107" s="1321"/>
      <c r="K107" s="1322"/>
      <c r="L107" s="1323"/>
      <c r="M107" s="1324"/>
      <c r="N107" s="1267"/>
      <c r="O107" s="1267"/>
      <c r="P107" s="237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370"/>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37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37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370"/>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37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371"/>
      <c r="Q113" s="1292"/>
      <c r="R113" s="1143"/>
      <c r="S113" s="1143"/>
      <c r="T113" s="1143"/>
      <c r="U113" s="1143"/>
      <c r="V113" s="1143"/>
      <c r="W113" s="1143"/>
      <c r="X113" s="1143"/>
      <c r="Y113" s="1143"/>
      <c r="Z113" s="1143"/>
      <c r="AA113" s="1143"/>
      <c r="AB113" s="1143"/>
      <c r="AC113" s="1143"/>
    </row>
    <row r="114" spans="1:29">
      <c r="A114" s="1152"/>
      <c r="B114" s="1272" t="s">
        <v>1473</v>
      </c>
      <c r="C114" s="2380" t="s">
        <v>1489</v>
      </c>
      <c r="D114" s="2380" t="s">
        <v>1490</v>
      </c>
      <c r="E114" s="1321"/>
      <c r="F114" s="1321"/>
      <c r="G114" s="1321"/>
      <c r="H114" s="1321"/>
      <c r="I114" s="1321"/>
      <c r="J114" s="1321"/>
      <c r="K114" s="1322"/>
      <c r="L114" s="1323"/>
      <c r="M114" s="1324"/>
      <c r="N114" s="1267"/>
      <c r="O114" s="1267"/>
      <c r="P114" s="237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370"/>
      <c r="Q115" s="1238"/>
      <c r="R115" s="1042"/>
      <c r="S115" s="1042"/>
      <c r="T115" s="1042"/>
      <c r="U115" s="1042"/>
      <c r="V115" s="1042"/>
      <c r="W115" s="1042"/>
      <c r="X115" s="1042"/>
      <c r="Y115" s="1042"/>
      <c r="Z115" s="1042"/>
      <c r="AA115" s="1042"/>
      <c r="AB115" s="1042"/>
      <c r="AC115" s="1042"/>
    </row>
    <row r="116" spans="1:29">
      <c r="A116" s="1152"/>
      <c r="B116" s="1272" t="s">
        <v>1432</v>
      </c>
      <c r="C116" s="2380" t="s">
        <v>1462</v>
      </c>
      <c r="D116" s="2380" t="s">
        <v>1461</v>
      </c>
      <c r="E116" s="1287"/>
      <c r="F116" s="1287"/>
      <c r="G116" s="1287"/>
      <c r="H116" s="1321"/>
      <c r="I116" s="1321"/>
      <c r="J116" s="1321"/>
      <c r="K116" s="1322"/>
      <c r="L116" s="1323"/>
      <c r="M116" s="1324"/>
      <c r="N116" s="1267"/>
      <c r="O116" s="1267"/>
      <c r="P116" s="237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370"/>
      <c r="Q117" s="1238"/>
      <c r="R117" s="1042"/>
      <c r="S117" s="1042"/>
      <c r="T117" s="1042"/>
      <c r="U117" s="1042"/>
      <c r="V117" s="1042"/>
      <c r="W117" s="1042"/>
      <c r="X117" s="1042"/>
      <c r="Y117" s="1042"/>
      <c r="Z117" s="1042"/>
      <c r="AA117" s="1042"/>
      <c r="AB117" s="1042"/>
      <c r="AC117" s="1042"/>
    </row>
    <row r="118" spans="1:29">
      <c r="A118" s="1152"/>
      <c r="B118" s="1272" t="s">
        <v>1463</v>
      </c>
      <c r="C118" s="2381"/>
      <c r="D118" s="2381"/>
      <c r="E118" s="2381"/>
      <c r="F118" s="2381"/>
      <c r="G118" s="2381"/>
      <c r="H118" s="1288"/>
      <c r="I118" s="1288"/>
      <c r="J118" s="1288"/>
      <c r="K118" s="1288"/>
      <c r="L118" s="1289"/>
      <c r="M118" s="1290"/>
      <c r="N118" s="1267"/>
      <c r="O118" s="1267"/>
      <c r="P118" s="237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370"/>
      <c r="Q119" s="1238"/>
      <c r="R119" s="1042"/>
      <c r="S119" s="1042"/>
      <c r="T119" s="1042"/>
      <c r="U119" s="1042"/>
      <c r="V119" s="1042"/>
      <c r="W119" s="1042"/>
      <c r="X119" s="1042"/>
      <c r="Y119" s="1042"/>
      <c r="Z119" s="1042"/>
      <c r="AA119" s="1042"/>
      <c r="AB119" s="1042"/>
      <c r="AC119" s="1042"/>
    </row>
    <row r="120" spans="1:29" s="1011" customFormat="1">
      <c r="A120" s="1157"/>
      <c r="B120" s="1272" t="s">
        <v>1491</v>
      </c>
      <c r="C120" s="1321"/>
      <c r="D120" s="1321"/>
      <c r="E120" s="1321"/>
      <c r="F120" s="1321"/>
      <c r="G120" s="1288"/>
      <c r="H120" s="1288"/>
      <c r="I120" s="1288"/>
      <c r="J120" s="1288"/>
      <c r="K120" s="1288"/>
      <c r="L120" s="1289"/>
      <c r="M120" s="1290"/>
      <c r="N120" s="1291"/>
      <c r="O120" s="1291"/>
      <c r="P120" s="237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371"/>
      <c r="Q121" s="1292"/>
      <c r="R121" s="1143"/>
      <c r="S121" s="1143"/>
      <c r="T121" s="1143"/>
      <c r="U121" s="1143"/>
      <c r="V121" s="1143"/>
      <c r="W121" s="1143"/>
      <c r="X121" s="1143"/>
      <c r="Y121" s="1143"/>
      <c r="Z121" s="1143"/>
      <c r="AA121" s="1143"/>
      <c r="AB121" s="1143"/>
      <c r="AC121" s="1143"/>
    </row>
    <row r="122" spans="1:29">
      <c r="A122" s="1152"/>
      <c r="B122" s="1272" t="s">
        <v>1434</v>
      </c>
      <c r="C122" s="2380" t="s">
        <v>1426</v>
      </c>
      <c r="D122" s="2380" t="s">
        <v>1435</v>
      </c>
      <c r="E122" s="2380" t="s">
        <v>1436</v>
      </c>
      <c r="F122" s="1321"/>
      <c r="G122" s="1321"/>
      <c r="H122" s="1321"/>
      <c r="I122" s="1321"/>
      <c r="J122" s="1321"/>
      <c r="K122" s="1322"/>
      <c r="L122" s="1323"/>
      <c r="M122" s="1324"/>
      <c r="N122" s="1267"/>
      <c r="O122" s="1267"/>
      <c r="P122" s="237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370"/>
      <c r="Q123" s="1238"/>
      <c r="R123" s="1042"/>
      <c r="S123" s="1042"/>
      <c r="T123" s="1042"/>
      <c r="U123" s="1042"/>
      <c r="V123" s="1042"/>
      <c r="W123" s="1042"/>
      <c r="X123" s="1042"/>
      <c r="Y123" s="1042"/>
      <c r="Z123" s="1042"/>
      <c r="AA123" s="1042"/>
      <c r="AB123" s="1042"/>
      <c r="AC123" s="1042"/>
    </row>
    <row r="124" spans="1:29">
      <c r="A124" s="1152"/>
      <c r="B124" s="1272" t="s">
        <v>1437</v>
      </c>
      <c r="C124" s="1311" t="s">
        <v>1449</v>
      </c>
      <c r="D124" s="1311" t="s">
        <v>1450</v>
      </c>
      <c r="E124" s="1311" t="s">
        <v>1451</v>
      </c>
      <c r="F124" s="1311" t="s">
        <v>1452</v>
      </c>
      <c r="G124" s="1311" t="s">
        <v>1453</v>
      </c>
      <c r="H124" s="1273"/>
      <c r="I124" s="1273"/>
      <c r="J124" s="1273"/>
      <c r="K124" s="1274"/>
      <c r="L124" s="1275"/>
      <c r="M124" s="1276"/>
      <c r="N124" s="1267"/>
      <c r="O124" s="1267"/>
      <c r="P124" s="237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37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380" t="s">
        <v>1477</v>
      </c>
      <c r="D126" s="1287" t="s">
        <v>1476</v>
      </c>
      <c r="E126" s="1287"/>
      <c r="F126" s="1287"/>
      <c r="G126" s="1287"/>
      <c r="H126" s="1288"/>
      <c r="I126" s="1288"/>
      <c r="J126" s="1288"/>
      <c r="K126" s="1288"/>
      <c r="L126" s="1289"/>
      <c r="M126" s="1290"/>
      <c r="N126" s="1291"/>
      <c r="O126" s="1291"/>
      <c r="P126" s="237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37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37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37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37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37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K42" sqref="K42"/>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23</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310.52550000000002</v>
      </c>
      <c r="C2" s="1812" t="s">
        <v>1188</v>
      </c>
      <c r="D2" s="1813">
        <f ca="1">C40+J29+L46</f>
        <v>3105255</v>
      </c>
      <c r="E2" s="1814" t="s">
        <v>1492</v>
      </c>
      <c r="F2" s="1815"/>
      <c r="G2" s="1816"/>
      <c r="H2" s="1817"/>
      <c r="I2" s="1817"/>
      <c r="J2" s="1817"/>
      <c r="K2" s="1818"/>
      <c r="L2" s="1817"/>
      <c r="M2" s="1817"/>
    </row>
    <row r="3" spans="1:37" ht="18" customHeight="1">
      <c r="A3" s="1819" t="s">
        <v>1189</v>
      </c>
      <c r="B3" s="1820">
        <f ca="1">IF(ISERROR(D2/F43),0,ROUND(D2/F43,0))</f>
        <v>10491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237985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237688</v>
      </c>
      <c r="D6" s="1836" t="s">
        <v>1493</v>
      </c>
      <c r="E6" s="1837" t="s">
        <v>1201</v>
      </c>
      <c r="F6" s="1838">
        <f ca="1">INDIRECT("'数据-取费表'!u"&amp;$G$1)</f>
        <v>2.5</v>
      </c>
      <c r="G6" s="551"/>
      <c r="H6" s="1834" t="s">
        <v>946</v>
      </c>
      <c r="I6" s="3364" t="s">
        <v>1199</v>
      </c>
      <c r="J6" s="1839">
        <f ca="1">ROUND(M6*M8*M7*(1-M9),0)</f>
        <v>0</v>
      </c>
      <c r="K6" s="1840" t="s">
        <v>1494</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296</v>
      </c>
      <c r="G7" s="551"/>
      <c r="H7" s="1845"/>
      <c r="I7" s="3365"/>
      <c r="J7" s="1846"/>
      <c r="K7" s="1843"/>
      <c r="L7" s="1837" t="s">
        <v>1203</v>
      </c>
      <c r="M7" s="1838">
        <f ca="1">F7</f>
        <v>296</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297</v>
      </c>
      <c r="D10" s="1851" t="s">
        <v>1207</v>
      </c>
      <c r="E10" s="1848" t="s">
        <v>1208</v>
      </c>
      <c r="F10" s="1852" t="s">
        <v>1495</v>
      </c>
      <c r="G10" s="551"/>
      <c r="H10" s="1834" t="s">
        <v>950</v>
      </c>
      <c r="I10" s="1850" t="s">
        <v>1206</v>
      </c>
      <c r="J10" s="1839">
        <f ca="1">ROUND(IF(M10="押一",J6/12*M11,IF(M10="押二",J6/12*2*M11,IF(M10="押三",J6/12*3*M11,J11*M11))),0)</f>
        <v>0</v>
      </c>
      <c r="K10" s="1853" t="s">
        <v>1496</v>
      </c>
      <c r="L10" s="1848" t="s">
        <v>1208</v>
      </c>
      <c r="M10" s="1852"/>
    </row>
    <row r="11" spans="1:37" ht="18" customHeight="1">
      <c r="A11" s="1854"/>
      <c r="B11" s="1855" t="s">
        <v>1497</v>
      </c>
      <c r="C11" s="1856"/>
      <c r="D11" s="1843"/>
      <c r="E11" s="1848" t="s">
        <v>1210</v>
      </c>
      <c r="F11" s="1849">
        <f ca="1">'数据-取费表'!B39</f>
        <v>1.4999999999999999E-2</v>
      </c>
      <c r="G11" s="551"/>
      <c r="H11" s="1857"/>
      <c r="I11" s="1855" t="s">
        <v>1498</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1526498</v>
      </c>
      <c r="D13" s="1871" t="s">
        <v>1213</v>
      </c>
      <c r="E13" s="1871" t="s">
        <v>1214</v>
      </c>
      <c r="F13" s="1872">
        <f ca="1">INDIRECT("'数据-取费表'!y"&amp;$G$1)</f>
        <v>0.75</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1332000</v>
      </c>
      <c r="D14" s="1879" t="s">
        <v>1216</v>
      </c>
      <c r="E14" s="1880"/>
      <c r="F14" s="1881"/>
      <c r="G14" s="551"/>
      <c r="H14" s="1877" t="s">
        <v>946</v>
      </c>
      <c r="I14" s="1837" t="s">
        <v>1217</v>
      </c>
      <c r="J14" s="994">
        <f ca="1">C29</f>
        <v>2035331</v>
      </c>
      <c r="K14" s="1882"/>
      <c r="L14" s="1883"/>
      <c r="M14" s="1884"/>
    </row>
    <row r="15" spans="1:37" s="1799" customFormat="1" ht="18" customHeight="1">
      <c r="A15" s="1877" t="s">
        <v>973</v>
      </c>
      <c r="B15" s="1837" t="s">
        <v>1146</v>
      </c>
      <c r="C15" s="994">
        <f ca="1">ROUND(C14*F15,0)</f>
        <v>106560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4071</v>
      </c>
      <c r="K16" s="1874" t="s">
        <v>1222</v>
      </c>
      <c r="L16" s="1893"/>
      <c r="M16" s="1833"/>
    </row>
    <row r="17" spans="1:37" s="1799" customFormat="1" ht="18" customHeight="1">
      <c r="A17" s="1877" t="s">
        <v>1223</v>
      </c>
      <c r="B17" s="1837" t="s">
        <v>1224</v>
      </c>
      <c r="C17" s="994">
        <f ca="1">ROUND(F17*(F43+INDIRECT("'数据-取费表'!S"&amp;$G$1)),0)</f>
        <v>59200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26640</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1524400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45732</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4071</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49145</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-4071</v>
      </c>
      <c r="K25" s="1914" t="s">
        <v>1260</v>
      </c>
      <c r="L25" s="1915"/>
      <c r="M25" s="1916"/>
    </row>
    <row r="26" spans="1:37" ht="18" customHeight="1">
      <c r="A26" s="1877" t="s">
        <v>969</v>
      </c>
      <c r="B26" s="1837" t="s">
        <v>1261</v>
      </c>
      <c r="C26" s="994">
        <f ca="1">ROUND((C19+C20)*F26,0)</f>
        <v>235520</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2035331</v>
      </c>
      <c r="D29" s="1912"/>
      <c r="E29" s="1864"/>
      <c r="F29" s="1921"/>
      <c r="G29" s="1887"/>
      <c r="H29" s="1922" t="s">
        <v>1276</v>
      </c>
      <c r="I29" s="1923" t="s">
        <v>1277</v>
      </c>
      <c r="J29" s="1924">
        <f ca="1">ROUND(J26/(1+F40)^F41,0)</f>
        <v>0</v>
      </c>
      <c r="K29" s="1925" t="s">
        <v>1278</v>
      </c>
      <c r="L29" s="1926"/>
      <c r="M29" s="1927">
        <f ca="1">INDIRECT("'数据-取费表'!k"&amp;$G$1)</f>
        <v>296</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46628</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39841</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12677</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27164</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4071</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1526</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1190</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191357</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2950978</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23</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9970</v>
      </c>
      <c r="D43" s="1925" t="s">
        <v>1283</v>
      </c>
      <c r="E43" s="1926" t="s">
        <v>1284</v>
      </c>
      <c r="F43" s="1927">
        <f ca="1">INDIRECT("'数据-取费表'!k"&amp;$G$1)</f>
        <v>296</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1499</v>
      </c>
      <c r="B45" s="1943"/>
      <c r="C45" s="1947">
        <f ca="1">ROUND((C68-C40)/10000,4)</f>
        <v>-302.30399999999997</v>
      </c>
      <c r="D45" s="1948" t="s">
        <v>1500</v>
      </c>
      <c r="E45" s="1943"/>
      <c r="F45" s="1943"/>
      <c r="O45" s="1949" t="s">
        <v>1285</v>
      </c>
      <c r="P45" s="1942"/>
      <c r="Q45" s="1942"/>
      <c r="R45" s="1942"/>
    </row>
    <row r="46" spans="1:18" s="551" customFormat="1">
      <c r="A46" s="1950" t="s">
        <v>1286</v>
      </c>
      <c r="C46" s="1951">
        <f ca="1">ROUND(C45,0)</f>
        <v>-302</v>
      </c>
      <c r="D46" s="1952" t="str">
        <f>C2</f>
        <v>万元</v>
      </c>
      <c r="I46" s="1953" t="s">
        <v>1287</v>
      </c>
      <c r="J46" s="1954"/>
      <c r="K46" s="1955"/>
      <c r="L46" s="1956">
        <f ca="1">IF(M47="住宅",0,IF(L48&gt;J51,L60,J60))</f>
        <v>154277</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2950978</v>
      </c>
      <c r="R47" s="1971" t="s">
        <v>1295</v>
      </c>
    </row>
    <row r="48" spans="1:18" s="551" customFormat="1" ht="27.75">
      <c r="A48" s="1972" t="s">
        <v>1296</v>
      </c>
      <c r="B48" s="1829" t="s">
        <v>1197</v>
      </c>
      <c r="C48" s="995">
        <f ca="1">C49+C53+C55</f>
        <v>0</v>
      </c>
      <c r="D48" s="1973"/>
      <c r="E48" s="1974"/>
      <c r="F48" s="1975"/>
      <c r="G48" s="1963"/>
      <c r="H48" s="1976"/>
      <c r="I48" s="1977" t="s">
        <v>1297</v>
      </c>
      <c r="J48" s="1978" t="s">
        <v>1501</v>
      </c>
      <c r="K48" s="1979" t="s">
        <v>1298</v>
      </c>
      <c r="L48" s="1980">
        <f ca="1">INDIRECT("'数据-取费表'!f"&amp;$G$1)</f>
        <v>23</v>
      </c>
      <c r="O48" s="1969" t="s">
        <v>1054</v>
      </c>
      <c r="P48" s="1970" t="s">
        <v>1299</v>
      </c>
      <c r="Q48" s="1971">
        <f ca="1">J60</f>
        <v>154277</v>
      </c>
      <c r="R48" s="1971" t="s">
        <v>1300</v>
      </c>
    </row>
    <row r="49" spans="1:18" s="551" customFormat="1">
      <c r="A49" s="1981" t="s">
        <v>1301</v>
      </c>
      <c r="B49" s="1982" t="s">
        <v>1302</v>
      </c>
      <c r="C49" s="1983">
        <f ca="1">ROUND(F49*F51*F50*(1-F52),0)</f>
        <v>0</v>
      </c>
      <c r="D49" s="1984" t="s">
        <v>1502</v>
      </c>
      <c r="E49" s="1985" t="s">
        <v>1303</v>
      </c>
      <c r="F49" s="1986"/>
      <c r="H49" s="1976"/>
      <c r="I49" s="1977" t="s">
        <v>1304</v>
      </c>
      <c r="J49" s="1987">
        <f>'数据-取费表'!N17</f>
        <v>2010</v>
      </c>
      <c r="K49" s="1979" t="s">
        <v>1305</v>
      </c>
      <c r="L49" s="1988"/>
      <c r="O49" s="1989" t="s">
        <v>1306</v>
      </c>
      <c r="P49" s="1970" t="s">
        <v>1307</v>
      </c>
      <c r="Q49" s="1971">
        <f ca="1">C29</f>
        <v>2035331</v>
      </c>
      <c r="R49" s="1971" t="s">
        <v>1295</v>
      </c>
    </row>
    <row r="50" spans="1:18" s="551" customFormat="1">
      <c r="A50" s="1990"/>
      <c r="B50" s="925"/>
      <c r="C50" s="1991"/>
      <c r="D50" s="1992"/>
      <c r="E50" s="1993" t="s">
        <v>1203</v>
      </c>
      <c r="F50" s="1994">
        <f ca="1">F7</f>
        <v>296</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45</v>
      </c>
      <c r="K51" s="2001" t="s">
        <v>1313</v>
      </c>
      <c r="L51" s="2002">
        <f ca="1">ROUND(-PV(INDIRECT("'数据-取费表'!h"&amp;$G$1),J51,(C39-C13*C76),0),0)</f>
        <v>1773268</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23</v>
      </c>
      <c r="R52" s="1971" t="s">
        <v>1320</v>
      </c>
    </row>
    <row r="53" spans="1:18" s="551" customFormat="1" ht="30.75" customHeight="1">
      <c r="A53" s="2007" t="s">
        <v>1321</v>
      </c>
      <c r="B53" s="1900" t="s">
        <v>1206</v>
      </c>
      <c r="C53" s="993">
        <f ca="1">ROUND(IF(F53="押一",C49/12*F11,IF(F53="押二",C49/12*2*F11,IF(F53="押三",C49/12*3*F11,C54*F11))),0)</f>
        <v>0</v>
      </c>
      <c r="D53" s="1851" t="s">
        <v>1503</v>
      </c>
      <c r="E53" s="1848" t="s">
        <v>1208</v>
      </c>
      <c r="F53" s="1852"/>
      <c r="I53" s="2008" t="s">
        <v>1322</v>
      </c>
      <c r="J53" s="2009">
        <f ca="1">IF(M47="住宅",IF(D1="——",MAX(J51,L48),MAX(J51,L48-'数据-取费表'!B24)),IF(D1="——",MIN(J51,L48),MIN(J51,L48-'数据-取费表'!B24)))</f>
        <v>23</v>
      </c>
      <c r="K53" s="3362" t="s">
        <v>1323</v>
      </c>
      <c r="L53" s="3363"/>
      <c r="O53" s="1969" t="s">
        <v>1148</v>
      </c>
      <c r="P53" s="1970" t="s">
        <v>1324</v>
      </c>
      <c r="Q53" s="1971">
        <f ca="1">Q47+Q48</f>
        <v>3105255</v>
      </c>
      <c r="R53" s="1971" t="s">
        <v>1325</v>
      </c>
    </row>
    <row r="54" spans="1:18" s="551" customFormat="1">
      <c r="A54" s="1981"/>
      <c r="B54" s="2010" t="s">
        <v>1498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0.36699999999999999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1526498</v>
      </c>
      <c r="D56" s="2021"/>
      <c r="E56" s="2022"/>
      <c r="F56" s="2012"/>
      <c r="I56" s="2023" t="s">
        <v>1329</v>
      </c>
      <c r="J56" s="2024" t="s">
        <v>537</v>
      </c>
      <c r="K56" s="1977" t="s">
        <v>1330</v>
      </c>
      <c r="L56" s="1980" t="str">
        <f ca="1">IF(L48&lt;J51,"——",L48-J51)</f>
        <v>——</v>
      </c>
      <c r="O56" s="1969" t="s">
        <v>1051</v>
      </c>
      <c r="P56" s="1970" t="s">
        <v>1294</v>
      </c>
      <c r="Q56" s="1971">
        <f ca="1">C40+J29</f>
        <v>2950978</v>
      </c>
      <c r="R56" s="1971" t="s">
        <v>1295</v>
      </c>
    </row>
    <row r="57" spans="1:18" s="551" customFormat="1" ht="24">
      <c r="A57" s="2025"/>
      <c r="B57" s="2026" t="s">
        <v>1275</v>
      </c>
      <c r="C57" s="387">
        <f ca="1">C29</f>
        <v>2035331</v>
      </c>
      <c r="D57" s="2027"/>
      <c r="E57" s="2028"/>
      <c r="F57" s="2029"/>
      <c r="I57" s="2030" t="s">
        <v>1331</v>
      </c>
      <c r="J57" s="2031">
        <f ca="1">IF(OR(M47="住宅",J51&lt;L48,J56="是"),"——",J51-L48)</f>
        <v>22</v>
      </c>
      <c r="K57" s="1977" t="s">
        <v>1504</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5597</v>
      </c>
      <c r="D58" s="2033" t="s">
        <v>1222</v>
      </c>
      <c r="E58" s="2034"/>
      <c r="F58" s="1975"/>
      <c r="I58" s="2030" t="s">
        <v>1335</v>
      </c>
      <c r="J58" s="2035">
        <f ca="1">IF(J55&lt;0.4,0.4,J55)</f>
        <v>0.4</v>
      </c>
      <c r="K58" s="2001" t="s">
        <v>1505</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814132</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154277</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2950978</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4071</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1526</v>
      </c>
      <c r="D65" s="2037" t="s">
        <v>1252</v>
      </c>
      <c r="E65" s="2026" t="s">
        <v>1219</v>
      </c>
      <c r="F65" s="1909">
        <f t="shared" ca="1" si="0"/>
        <v>1E-3</v>
      </c>
      <c r="I65" s="2043" t="s">
        <v>1353</v>
      </c>
      <c r="J65" s="1205">
        <v>40</v>
      </c>
      <c r="K65" s="1205">
        <v>30</v>
      </c>
      <c r="L65" s="1205">
        <v>50</v>
      </c>
      <c r="M65" s="2047">
        <v>0.02</v>
      </c>
      <c r="O65" s="1969" t="s">
        <v>1051</v>
      </c>
      <c r="P65" s="1970" t="s">
        <v>1294</v>
      </c>
      <c r="Q65" s="1971">
        <f ca="1">C40+J29</f>
        <v>2950978</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-5597</v>
      </c>
      <c r="D67" s="2036" t="s">
        <v>1260</v>
      </c>
      <c r="E67" s="2049"/>
      <c r="F67" s="2050"/>
      <c r="O67" s="1989" t="s">
        <v>1306</v>
      </c>
      <c r="P67" s="1970" t="s">
        <v>1337</v>
      </c>
      <c r="Q67" s="2051">
        <f ca="1">L51</f>
        <v>1773268</v>
      </c>
      <c r="R67" s="1971" t="s">
        <v>1354</v>
      </c>
    </row>
    <row r="68" spans="1:18" s="551" customFormat="1" ht="15.75">
      <c r="A68" s="2052" t="s">
        <v>1264</v>
      </c>
      <c r="B68" s="2053" t="s">
        <v>1281</v>
      </c>
      <c r="C68" s="1839">
        <f ca="1">ROUND(C67*(1-((1+F70)/(1+F68))^F69)/(F68-F70),0)</f>
        <v>-72062</v>
      </c>
      <c r="D68" s="2042" t="s">
        <v>1266</v>
      </c>
      <c r="E68" s="2026" t="s">
        <v>1267</v>
      </c>
      <c r="F68" s="1847">
        <f ca="1">F40</f>
        <v>5.5E-2</v>
      </c>
      <c r="O68" s="1989" t="s">
        <v>1310</v>
      </c>
      <c r="P68" s="2054" t="s">
        <v>1355</v>
      </c>
      <c r="Q68" s="1971">
        <f ca="1">ROUND(Q69-Q70*Q71,0)</f>
        <v>99767</v>
      </c>
      <c r="R68" s="1971" t="s">
        <v>1356</v>
      </c>
    </row>
    <row r="69" spans="1:18" s="551" customFormat="1">
      <c r="A69" s="2055"/>
      <c r="B69" s="2056"/>
      <c r="C69" s="1846"/>
      <c r="D69" s="2057" t="s">
        <v>1270</v>
      </c>
      <c r="E69" s="2026" t="s">
        <v>1271</v>
      </c>
      <c r="F69" s="1919">
        <f ca="1">F41</f>
        <v>23</v>
      </c>
      <c r="O69" s="1989" t="s">
        <v>1357</v>
      </c>
      <c r="P69" s="2054" t="s">
        <v>1358</v>
      </c>
      <c r="Q69" s="1971">
        <f ca="1">C39</f>
        <v>191357</v>
      </c>
      <c r="R69" s="1971" t="s">
        <v>1295</v>
      </c>
    </row>
    <row r="70" spans="1:18" s="551" customFormat="1">
      <c r="A70" s="2058"/>
      <c r="B70" s="2059"/>
      <c r="C70" s="1870"/>
      <c r="D70" s="2046"/>
      <c r="E70" s="2026" t="s">
        <v>1274</v>
      </c>
      <c r="F70" s="2004"/>
      <c r="O70" s="1989" t="s">
        <v>1359</v>
      </c>
      <c r="P70" s="2054" t="s">
        <v>1360</v>
      </c>
      <c r="Q70" s="1971">
        <f ca="1">C13</f>
        <v>1526498</v>
      </c>
      <c r="R70" s="1971" t="s">
        <v>1295</v>
      </c>
    </row>
    <row r="71" spans="1:18" s="551" customFormat="1">
      <c r="A71" s="2060" t="s">
        <v>1276</v>
      </c>
      <c r="B71" s="2061" t="s">
        <v>1282</v>
      </c>
      <c r="C71" s="1924">
        <f ca="1">ROUND(C68/F71,0)</f>
        <v>-243</v>
      </c>
      <c r="D71" s="2062" t="s">
        <v>1283</v>
      </c>
      <c r="E71" s="2063" t="s">
        <v>1284</v>
      </c>
      <c r="F71" s="1927">
        <f ca="1">F43</f>
        <v>296</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91590</v>
      </c>
      <c r="D75" s="551"/>
      <c r="E75" s="551"/>
      <c r="F75" s="551"/>
      <c r="K75" s="1945"/>
      <c r="L75" s="551"/>
      <c r="O75" s="1969" t="s">
        <v>1148</v>
      </c>
      <c r="P75" s="1970" t="s">
        <v>1324</v>
      </c>
      <c r="Q75" s="1971">
        <f ca="1">Q65+Q66</f>
        <v>2950978</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0.52100000000000002</v>
      </c>
    </row>
    <row r="80" spans="1:18">
      <c r="B80" s="2065" t="s">
        <v>1370</v>
      </c>
      <c r="C80" s="420">
        <f ca="1">ROUND(C75/C39,3)</f>
        <v>0.47899999999999998</v>
      </c>
    </row>
    <row r="81" spans="2:3">
      <c r="B81" s="417" t="s">
        <v>1371</v>
      </c>
      <c r="C81" s="387"/>
    </row>
    <row r="82" spans="2:3">
      <c r="B82" s="419" t="s">
        <v>1130</v>
      </c>
      <c r="C82" s="421">
        <f ca="1">1-C83</f>
        <v>0.48299999999999998</v>
      </c>
    </row>
    <row r="83" spans="2:3">
      <c r="B83" s="419" t="s">
        <v>1131</v>
      </c>
      <c r="C83" s="420">
        <f ca="1">ROUND(C13/C40,3)</f>
        <v>0.51700000000000002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M25" sqref="M25"/>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250</v>
      </c>
      <c r="D4" s="2090" t="s">
        <v>353</v>
      </c>
      <c r="E4" s="3270" t="s">
        <v>826</v>
      </c>
      <c r="F4" s="3271"/>
      <c r="G4" s="3271"/>
      <c r="H4" s="3271"/>
      <c r="I4" s="3272"/>
      <c r="K4" s="900" t="str">
        <f>IF(ISNUMBER(FIND("比较法",'结果表-商业'!C4)),"比较法",IF(ISNUMBER(FIND("成本法",'结果表-商业'!C4)),"成本法",IF(ISNUMBER(FIND("假设开发法",'结果表-商业'!C4)),"假设开发法",IF(ISNUMBER(FIND("收益法",'结果表-商业'!C4)),"收益法","基准地价系数修正法"))))</f>
        <v>成本法</v>
      </c>
      <c r="L4" s="9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8" t="s">
        <v>827</v>
      </c>
      <c r="B5" s="3358">
        <v>25</v>
      </c>
      <c r="C5" s="3322"/>
      <c r="D5" s="3284"/>
      <c r="E5" s="1898" t="s">
        <v>828</v>
      </c>
      <c r="F5" s="2095"/>
      <c r="G5" s="2095"/>
      <c r="H5" s="2095"/>
      <c r="I5" s="2096"/>
    </row>
    <row r="6" spans="1:12" ht="12.75">
      <c r="A6" s="3318"/>
      <c r="B6" s="3358"/>
      <c r="C6" s="3323"/>
      <c r="D6" s="3284"/>
      <c r="E6" s="1898" t="s">
        <v>829</v>
      </c>
      <c r="F6" s="2095"/>
      <c r="G6" s="2095"/>
      <c r="H6" s="2095"/>
      <c r="I6" s="2096"/>
    </row>
    <row r="7" spans="1:12" ht="12.75">
      <c r="A7" s="3318"/>
      <c r="B7" s="3358"/>
      <c r="C7" s="3324"/>
      <c r="D7" s="3284"/>
      <c r="E7" s="1898" t="s">
        <v>830</v>
      </c>
      <c r="F7" s="2095"/>
      <c r="G7" s="2095"/>
      <c r="H7" s="2095"/>
      <c r="I7" s="2096"/>
    </row>
    <row r="8" spans="1:12" ht="12.75">
      <c r="A8" s="3318" t="s">
        <v>831</v>
      </c>
      <c r="B8" s="3358">
        <v>15</v>
      </c>
      <c r="C8" s="3322"/>
      <c r="D8" s="3284"/>
      <c r="E8" s="1898" t="s">
        <v>832</v>
      </c>
      <c r="F8" s="2095"/>
      <c r="G8" s="2095"/>
      <c r="H8" s="2095"/>
      <c r="I8" s="2096"/>
    </row>
    <row r="9" spans="1:12" ht="12.75">
      <c r="A9" s="3318"/>
      <c r="B9" s="3358"/>
      <c r="C9" s="3324"/>
      <c r="D9" s="3284"/>
      <c r="E9" s="1898" t="s">
        <v>833</v>
      </c>
      <c r="F9" s="2095"/>
      <c r="G9" s="2095"/>
      <c r="H9" s="2095"/>
      <c r="I9" s="2096"/>
    </row>
    <row r="10" spans="1:12" ht="12.75">
      <c r="A10" s="3318" t="s">
        <v>834</v>
      </c>
      <c r="B10" s="3358">
        <v>15</v>
      </c>
      <c r="C10" s="3322"/>
      <c r="D10" s="3284"/>
      <c r="E10" s="1898" t="s">
        <v>835</v>
      </c>
      <c r="F10" s="2095"/>
      <c r="G10" s="2095"/>
      <c r="H10" s="2095"/>
      <c r="I10" s="2096"/>
    </row>
    <row r="11" spans="1:12" ht="12.75">
      <c r="A11" s="3318"/>
      <c r="B11" s="3358"/>
      <c r="C11" s="3324"/>
      <c r="D11" s="3284"/>
      <c r="E11" s="1898" t="s">
        <v>836</v>
      </c>
      <c r="F11" s="2095"/>
      <c r="G11" s="2095"/>
      <c r="H11" s="2095"/>
      <c r="I11" s="2096"/>
    </row>
    <row r="12" spans="1:12" ht="12.75">
      <c r="A12" s="3318" t="s">
        <v>837</v>
      </c>
      <c r="B12" s="3358">
        <v>15</v>
      </c>
      <c r="C12" s="3322"/>
      <c r="D12" s="3284"/>
      <c r="E12" s="1898" t="s">
        <v>838</v>
      </c>
      <c r="F12" s="2095"/>
      <c r="G12" s="2095"/>
      <c r="H12" s="2095"/>
      <c r="I12" s="2096"/>
    </row>
    <row r="13" spans="1:12" ht="12.75">
      <c r="A13" s="3318"/>
      <c r="B13" s="3358"/>
      <c r="C13" s="3324"/>
      <c r="D13" s="3284"/>
      <c r="E13" s="1898" t="s">
        <v>839</v>
      </c>
      <c r="F13" s="2095"/>
      <c r="G13" s="2095"/>
      <c r="H13" s="2095"/>
      <c r="I13" s="2096"/>
    </row>
    <row r="14" spans="1:12" ht="12.75">
      <c r="A14" s="3318" t="s">
        <v>840</v>
      </c>
      <c r="B14" s="3358">
        <v>30</v>
      </c>
      <c r="C14" s="3322">
        <v>7</v>
      </c>
      <c r="D14" s="3284">
        <v>3</v>
      </c>
      <c r="E14" s="1898" t="s">
        <v>841</v>
      </c>
      <c r="F14" s="2095"/>
      <c r="G14" s="2095"/>
      <c r="H14" s="2095"/>
      <c r="I14" s="2096"/>
    </row>
    <row r="15" spans="1:12" ht="12.75">
      <c r="A15" s="3318"/>
      <c r="B15" s="3358"/>
      <c r="C15" s="3323"/>
      <c r="D15" s="3284"/>
      <c r="E15" s="1898" t="s">
        <v>842</v>
      </c>
      <c r="F15" s="2095"/>
      <c r="G15" s="2095"/>
      <c r="H15" s="2095"/>
      <c r="I15" s="2096"/>
    </row>
    <row r="16" spans="1:12" ht="12.75">
      <c r="A16" s="3318"/>
      <c r="B16" s="3358"/>
      <c r="C16" s="3324"/>
      <c r="D16" s="3284"/>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296</v>
      </c>
      <c r="M18" s="1837">
        <f>IF(C1="",'数据-汇总表'!E3,SUMIF(项目类型,C1,'数据-汇总表'!E17:E26))</f>
        <v>296</v>
      </c>
    </row>
    <row r="19" spans="1:36" ht="15">
      <c r="A19" s="1239" t="s">
        <v>849</v>
      </c>
      <c r="B19" s="2103" t="s">
        <v>850</v>
      </c>
      <c r="C19" s="2104">
        <f ca="1">SUMIF(INDIRECT("'"&amp;C4&amp;"'"&amp;"!A:A"),'结果表-商业'!B19,INDIRECT("'"&amp;C4&amp;"'"&amp;"!B:B"))</f>
        <v>160.7637</v>
      </c>
      <c r="D19" s="1354">
        <f ca="1">SUMIF(INDIRECT("'"&amp;D4&amp;"'"&amp;"!A:A"),'结果表-商业'!B19,INDIRECT("'"&amp;D4&amp;"'"&amp;"!B:B"))</f>
        <v>310.52550000000002</v>
      </c>
      <c r="E19" s="1239" t="s">
        <v>851</v>
      </c>
      <c r="F19" s="2103" t="s">
        <v>850</v>
      </c>
      <c r="G19" s="2105">
        <f ca="1">ROUND(C19*$C$18+D19*$D$18,0)</f>
        <v>206</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SUMIF(INDIRECT("'"&amp;C4&amp;"'"&amp;"!A:A"),'结果表-商业'!B20,INDIRECT("'"&amp;C4&amp;"'"&amp;"!B:B"))</f>
        <v>5431</v>
      </c>
      <c r="D20" s="1580">
        <f ca="1">SUMIF(INDIRECT("'"&amp;D4&amp;"'"&amp;"!A:A"),'结果表-商业'!B20,INDIRECT("'"&amp;D4&amp;"'"&amp;"!B:B"))</f>
        <v>10491</v>
      </c>
      <c r="E20" s="2107"/>
      <c r="F20" s="2108" t="s">
        <v>853</v>
      </c>
      <c r="G20" s="2109">
        <f ca="1">ROUND(C20*$C$18+D20*$D$18,0)</f>
        <v>6949</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0.93156477488388245</v>
      </c>
      <c r="E22" s="983"/>
      <c r="F22" s="983"/>
      <c r="G22" s="983"/>
      <c r="H22" s="983"/>
      <c r="I22" s="983"/>
    </row>
    <row r="23" spans="1:36" ht="12.75">
      <c r="A23" s="1858"/>
      <c r="B23" s="1858"/>
      <c r="C23" s="1858"/>
      <c r="D23" s="1858"/>
      <c r="E23" s="983"/>
      <c r="F23" s="983"/>
      <c r="G23" s="983"/>
      <c r="H23" s="983"/>
      <c r="I23" s="983"/>
    </row>
    <row r="24" spans="1:36" ht="14.25">
      <c r="A24" s="3351" t="s">
        <v>857</v>
      </c>
      <c r="B24" s="2103" t="s">
        <v>850</v>
      </c>
      <c r="C24" s="2105">
        <f>IF(B30=0,0,D30)</f>
        <v>0</v>
      </c>
      <c r="D24" s="2119"/>
      <c r="E24" s="983"/>
      <c r="F24" s="983"/>
      <c r="G24" s="983"/>
      <c r="H24" s="983"/>
      <c r="I24" s="983"/>
    </row>
    <row r="25" spans="1:36" ht="14.25">
      <c r="A25" s="3352"/>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8175.2941176470595</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6949</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53" t="s">
        <v>874</v>
      </c>
      <c r="B36" s="2153" t="s">
        <v>875</v>
      </c>
      <c r="C36" s="2154"/>
      <c r="D36" s="2155"/>
      <c r="E36" s="2156"/>
      <c r="F36" s="2157"/>
      <c r="G36" s="983"/>
      <c r="H36" s="983"/>
      <c r="I36" s="983"/>
    </row>
    <row r="37" spans="1:15" ht="15">
      <c r="A37" s="3354"/>
      <c r="B37" s="2158" t="s">
        <v>876</v>
      </c>
      <c r="C37" s="2159"/>
      <c r="D37" s="2160"/>
      <c r="E37" s="2160"/>
      <c r="F37" s="2157"/>
      <c r="G37" s="983"/>
      <c r="H37" s="983"/>
      <c r="I37" s="983"/>
    </row>
    <row r="38" spans="1:15" ht="15">
      <c r="A38" s="3355"/>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206</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5">
        <f>'数据-取费表'!B2</f>
        <v>45981</v>
      </c>
      <c r="N47" s="3285"/>
      <c r="O47" s="3285"/>
    </row>
    <row r="48" spans="1:15" ht="25.5">
      <c r="A48" s="3286" t="s">
        <v>897</v>
      </c>
      <c r="B48" s="3287"/>
      <c r="C48" s="3287"/>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8">
        <f ca="1">H101</f>
        <v>206</v>
      </c>
      <c r="N48" s="3288"/>
      <c r="O48" s="3288"/>
    </row>
    <row r="49" spans="1:35" ht="25.5" customHeight="1">
      <c r="A49" s="2190" t="s">
        <v>900</v>
      </c>
      <c r="B49" s="3289" t="s">
        <v>901</v>
      </c>
      <c r="C49" s="3289"/>
      <c r="D49" s="2194">
        <v>0</v>
      </c>
      <c r="E49" s="1902" t="s">
        <v>902</v>
      </c>
      <c r="F49" s="2195" t="s">
        <v>124</v>
      </c>
      <c r="G49" s="3294"/>
      <c r="H49" s="2196" t="s">
        <v>903</v>
      </c>
      <c r="I49" s="2197"/>
      <c r="J49" s="627">
        <v>4</v>
      </c>
      <c r="K49" s="3282" t="str">
        <f>IF(项目基本情况!E8="房地产抵押价值","房地产抵押价值","抵押担保权已注销时的房地产抵押价值")</f>
        <v>房地产抵押价值</v>
      </c>
      <c r="L49" s="3282"/>
      <c r="M49" s="3288">
        <f ca="1">IF(项目基本情况!E8="房地产抵押价值",H107,H109)</f>
        <v>206</v>
      </c>
      <c r="N49" s="3288"/>
      <c r="O49" s="3288"/>
    </row>
    <row r="50" spans="1:35" ht="25.5" customHeight="1">
      <c r="A50" s="2198"/>
      <c r="B50" s="3289" t="s">
        <v>904</v>
      </c>
      <c r="C50" s="3289"/>
      <c r="D50" s="2199"/>
      <c r="E50" s="1918"/>
      <c r="F50" s="2195"/>
      <c r="G50" s="3295"/>
      <c r="H50" s="2200" t="s">
        <v>905</v>
      </c>
      <c r="I50" s="2197"/>
      <c r="J50" s="3278" t="s">
        <v>906</v>
      </c>
      <c r="K50" s="3278"/>
      <c r="L50" s="3278"/>
      <c r="M50" s="3278"/>
      <c r="N50" s="3278"/>
      <c r="O50" s="3278"/>
    </row>
    <row r="51" spans="1:35" ht="20.45" customHeight="1">
      <c r="A51" s="2201"/>
      <c r="B51" s="3289" t="s">
        <v>907</v>
      </c>
      <c r="C51" s="3289"/>
      <c r="D51" s="1874"/>
      <c r="E51" s="1907"/>
      <c r="F51" s="2195"/>
      <c r="G51" s="3296"/>
      <c r="H51" s="2200" t="s">
        <v>908</v>
      </c>
      <c r="I51" s="2197"/>
      <c r="J51" s="2183" t="s">
        <v>909</v>
      </c>
      <c r="K51" s="3282" t="s">
        <v>910</v>
      </c>
      <c r="L51" s="3282"/>
      <c r="M51" s="2183" t="s">
        <v>911</v>
      </c>
      <c r="N51" s="2183" t="s">
        <v>912</v>
      </c>
      <c r="O51" s="2183" t="s">
        <v>913</v>
      </c>
    </row>
    <row r="52" spans="1:35" ht="24" customHeight="1">
      <c r="A52" s="2202" t="s">
        <v>914</v>
      </c>
      <c r="B52" s="3289" t="s">
        <v>915</v>
      </c>
      <c r="C52" s="3289"/>
      <c r="D52" s="1874">
        <f ca="1">ROUND(D45*'数据-取费表'!B41/(1+'数据-取费表'!C42),0)</f>
        <v>11</v>
      </c>
      <c r="E52" s="1896" t="s">
        <v>916</v>
      </c>
      <c r="F52" s="2203">
        <f>'数据-取费表'!B41</f>
        <v>5.6000000000000001E-2</v>
      </c>
      <c r="G52" s="2204"/>
      <c r="H52" s="1941"/>
      <c r="I52" s="2205"/>
      <c r="J52" s="627">
        <v>1</v>
      </c>
      <c r="K52" s="3290" t="s">
        <v>917</v>
      </c>
      <c r="L52" s="3290"/>
      <c r="M52" s="2206" t="b">
        <f>D48</f>
        <v>0</v>
      </c>
      <c r="N52" s="627" t="str">
        <f>E48</f>
        <v>销售额×税（费）率</v>
      </c>
      <c r="O52" s="2207">
        <f>F48</f>
        <v>5.6000000000000001E-2</v>
      </c>
    </row>
    <row r="53" spans="1:35" ht="12" customHeight="1">
      <c r="A53" s="2202" t="s">
        <v>918</v>
      </c>
      <c r="B53" s="3291" t="s">
        <v>919</v>
      </c>
      <c r="C53" s="3292"/>
      <c r="D53" s="1874">
        <f ca="1">ROUND(D45*'数据-取费表'!B41/(1+'数据-取费表'!C42),0)</f>
        <v>11</v>
      </c>
      <c r="E53" s="1896" t="s">
        <v>916</v>
      </c>
      <c r="F53" s="2203">
        <f>'数据-取费表'!B41</f>
        <v>5.6000000000000001E-2</v>
      </c>
      <c r="G53" s="2204"/>
      <c r="H53" s="1941"/>
      <c r="I53" s="2205"/>
      <c r="J53" s="627">
        <v>2</v>
      </c>
      <c r="K53" s="3290" t="s">
        <v>920</v>
      </c>
      <c r="L53" s="3290"/>
      <c r="M53" s="2206">
        <f t="shared" ref="M53:O54" ca="1" si="0">D55</f>
        <v>0</v>
      </c>
      <c r="N53" s="627" t="str">
        <f t="shared" si="0"/>
        <v>销售额×税（费）率</v>
      </c>
      <c r="O53" s="2207" t="str">
        <f t="shared" si="0"/>
        <v>免征</v>
      </c>
    </row>
    <row r="54" spans="1:35" ht="12" customHeight="1">
      <c r="A54" s="2202" t="s">
        <v>921</v>
      </c>
      <c r="B54" s="3291" t="s">
        <v>922</v>
      </c>
      <c r="C54" s="3292"/>
      <c r="D54" s="1874">
        <f ca="1">C68</f>
        <v>11</v>
      </c>
      <c r="E54" s="1907" t="s">
        <v>923</v>
      </c>
      <c r="F54" s="2203">
        <f>'数据-取费表'!B41</f>
        <v>5.6000000000000001E-2</v>
      </c>
      <c r="G54" s="2204"/>
      <c r="H54" s="2208"/>
      <c r="I54" s="2205"/>
      <c r="J54" s="627">
        <v>3</v>
      </c>
      <c r="K54" s="3290" t="s">
        <v>924</v>
      </c>
      <c r="L54" s="3290"/>
      <c r="M54" s="2206">
        <f t="shared" ca="1" si="0"/>
        <v>117</v>
      </c>
      <c r="N54" s="627" t="str">
        <f t="shared" si="0"/>
        <v>增值额×税（费）率</v>
      </c>
      <c r="O54" s="2209" t="str">
        <f t="shared" si="0"/>
        <v>免征</v>
      </c>
    </row>
    <row r="55" spans="1:35" ht="24" customHeight="1">
      <c r="A55" s="3293" t="s">
        <v>925</v>
      </c>
      <c r="B55" s="3287"/>
      <c r="C55" s="3287"/>
      <c r="D55" s="1882">
        <f ca="1">IF(H55="个人住宅",0,ROUND(D45*I55,0))</f>
        <v>0</v>
      </c>
      <c r="E55" s="1896" t="s">
        <v>926</v>
      </c>
      <c r="F55" s="2203" t="str">
        <f>IF(H55="正常",I55,"免征")</f>
        <v>免征</v>
      </c>
      <c r="G55" s="2204"/>
      <c r="H55" s="2193"/>
      <c r="I55" s="2210">
        <f>'数据-取费表'!B49</f>
        <v>5.0000000000000001E-4</v>
      </c>
      <c r="J55" s="627">
        <f>IF(H59="非个人房产","",4)</f>
        <v>4</v>
      </c>
      <c r="K55" s="3290" t="str">
        <f>IF(H59="非个人房产","——","个人所得税")</f>
        <v>个人所得税</v>
      </c>
      <c r="L55" s="3290"/>
      <c r="M55" s="2211">
        <f ca="1">D59</f>
        <v>2</v>
      </c>
      <c r="N55" s="603" t="str">
        <f>E59</f>
        <v>差额计税</v>
      </c>
      <c r="O55" s="2212">
        <f>F59</f>
        <v>0.01</v>
      </c>
    </row>
    <row r="56" spans="1:35" ht="24.75">
      <c r="A56" s="3293" t="s">
        <v>927</v>
      </c>
      <c r="B56" s="3287"/>
      <c r="C56" s="3287"/>
      <c r="D56" s="1882">
        <f ca="1">IF(H56="个人住宅",D57,D58)</f>
        <v>117</v>
      </c>
      <c r="E56" s="1896" t="s">
        <v>928</v>
      </c>
      <c r="F56" s="2203" t="str">
        <f>IF(H56="正常",F58,"免征")</f>
        <v>免征</v>
      </c>
      <c r="G56" s="2213" t="s">
        <v>929</v>
      </c>
      <c r="H56" s="2214"/>
      <c r="I56" s="2215"/>
      <c r="J56" s="627" t="str">
        <f>IF(项目基本情况!K6="上海银行",IF(J55="",4,J55+1),"")</f>
        <v/>
      </c>
      <c r="K56" s="3306" t="str">
        <f>IF(项目基本情况!K6="上海银行","其他处置费用","")</f>
        <v/>
      </c>
      <c r="L56" s="3307"/>
      <c r="M56" s="2206" t="str">
        <f>IF(项目基本情况!K6="上海银行",M69,"")</f>
        <v/>
      </c>
      <c r="N56" s="3306" t="str">
        <f>IF(项目基本情况!K6="上海银行","包含处置中涉及的律师、诉讼、拍卖、评估等费用","")</f>
        <v/>
      </c>
      <c r="O56" s="3308"/>
    </row>
    <row r="57" spans="1:35" ht="12.75">
      <c r="A57" s="2202" t="s">
        <v>900</v>
      </c>
      <c r="B57" s="3291" t="s">
        <v>930</v>
      </c>
      <c r="C57" s="3292"/>
      <c r="D57" s="2194">
        <v>0</v>
      </c>
      <c r="E57" s="1902" t="s">
        <v>902</v>
      </c>
      <c r="F57" s="1837"/>
      <c r="G57" s="2204"/>
      <c r="H57" s="2217"/>
      <c r="I57" s="2215"/>
      <c r="J57" s="3290">
        <f>IF(AND(J55="",J56=""),4,IF(项目基本情况!K6="上海银行",'结果表-商业'!J56+1,'结果表-商业'!J55+1))</f>
        <v>5</v>
      </c>
      <c r="K57" s="3290" t="s">
        <v>931</v>
      </c>
      <c r="L57" s="2218" t="s">
        <v>932</v>
      </c>
      <c r="M57" s="2219"/>
      <c r="N57" s="2220">
        <f ca="1">SUMIF(M52:M56,"&lt;9e307")</f>
        <v>119</v>
      </c>
      <c r="O57" s="2221"/>
      <c r="P57" s="2222">
        <f ca="1">N57/M49</f>
        <v>0.57766990291262132</v>
      </c>
    </row>
    <row r="58" spans="1:35" ht="24.75">
      <c r="A58" s="2202" t="s">
        <v>914</v>
      </c>
      <c r="B58" s="3291" t="s">
        <v>933</v>
      </c>
      <c r="C58" s="3289"/>
      <c r="D58" s="1882">
        <f ca="1">IF(H58="转让取得",C81,C97)</f>
        <v>117</v>
      </c>
      <c r="E58" s="1896" t="s">
        <v>928</v>
      </c>
      <c r="F58" s="1837" t="s">
        <v>124</v>
      </c>
      <c r="G58" s="2204"/>
      <c r="H58" s="2214"/>
      <c r="I58" s="2215"/>
      <c r="J58" s="3290"/>
      <c r="K58" s="3290"/>
      <c r="L58" s="2218" t="s">
        <v>934</v>
      </c>
      <c r="M58" s="2223"/>
      <c r="N58" s="2224" t="str">
        <f ca="1">NUMBERSTRING(INT(N57*10000),2)&amp;"元整"</f>
        <v>壹佰壹拾玖万元整</v>
      </c>
      <c r="O58" s="2225"/>
    </row>
    <row r="59" spans="1:35" ht="24">
      <c r="A59" s="3309" t="s">
        <v>935</v>
      </c>
      <c r="B59" s="3310"/>
      <c r="C59" s="3310"/>
      <c r="D59" s="2226">
        <f ca="1">IF(H59="非个人房产","——",IF(H59="个人住宅（满五唯一有凭证）",0,IF(H59="个人其他（无凭证）",ROUND(D45/(1+'数据-取费表'!C42)*F59,0),ROUND(C67*F59,0))))</f>
        <v>2</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12">
        <f>J57+1</f>
        <v>6</v>
      </c>
      <c r="K59" s="3290" t="s">
        <v>937</v>
      </c>
      <c r="L59" s="627" t="s">
        <v>932</v>
      </c>
      <c r="M59" s="2232"/>
      <c r="N59" s="2233">
        <f ca="1">M49-N57</f>
        <v>87</v>
      </c>
      <c r="O59" s="2234"/>
    </row>
    <row r="60" spans="1:35" ht="12" customHeight="1">
      <c r="A60" s="2235"/>
      <c r="B60" s="1858"/>
      <c r="C60" s="1858"/>
      <c r="D60" s="1858"/>
      <c r="E60" s="2236"/>
      <c r="F60" s="2215"/>
      <c r="G60" s="2215"/>
      <c r="H60" s="984"/>
      <c r="I60" s="983"/>
      <c r="J60" s="3313"/>
      <c r="K60" s="3290"/>
      <c r="L60" s="2218" t="s">
        <v>934</v>
      </c>
      <c r="M60" s="2223"/>
      <c r="N60" s="2224" t="str">
        <f ca="1">NUMBERSTRING(INT(N59*10000),2)&amp;"元整"</f>
        <v>捌拾柒万元整</v>
      </c>
      <c r="O60" s="2225"/>
    </row>
    <row r="61" spans="1:35" ht="12.75">
      <c r="A61" s="3311" t="s">
        <v>938</v>
      </c>
      <c r="B61" s="3311"/>
      <c r="C61" s="3311"/>
      <c r="D61" s="3311"/>
      <c r="E61" s="3311"/>
      <c r="F61" s="2215"/>
      <c r="G61" s="2215"/>
      <c r="H61" s="984"/>
      <c r="I61" s="983"/>
      <c r="J61" s="627">
        <f>J59+1</f>
        <v>7</v>
      </c>
      <c r="K61" s="3290" t="s">
        <v>939</v>
      </c>
      <c r="L61" s="3290"/>
      <c r="M61" s="2237"/>
      <c r="N61" s="2238">
        <f ca="1">ROUND(N59*10000/'数据-汇总表'!E3,0)</f>
        <v>2939</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196</v>
      </c>
      <c r="D63" s="646"/>
      <c r="E63" s="2243"/>
      <c r="F63" s="2215"/>
      <c r="G63" s="2215"/>
      <c r="H63" s="984"/>
      <c r="I63" s="983"/>
      <c r="J63" s="3343" t="s">
        <v>944</v>
      </c>
      <c r="K63" s="2244" t="s">
        <v>945</v>
      </c>
      <c r="L63" s="2244">
        <f ca="1">IF(M49&gt;10000,M49*0.5%,IF(AND(M49&gt;1000,M49&lt;=10000),M49*1%,IF(AND(M49&gt;100,M49&lt;=1000),M49*3%,IF(AND(M49&gt;10,M49&lt;=100),M49*5%,M49*8%))))</f>
        <v>6.18</v>
      </c>
      <c r="M63" s="1837">
        <f ca="1">ROUND(L63,1)</f>
        <v>6.2</v>
      </c>
      <c r="N63" s="2245"/>
      <c r="Z63" s="2081"/>
      <c r="AI63" s="2082"/>
    </row>
    <row r="64" spans="1:35" ht="14.25" customHeight="1">
      <c r="A64" s="2246" t="s">
        <v>946</v>
      </c>
      <c r="B64" s="522" t="s">
        <v>947</v>
      </c>
      <c r="C64" s="2247">
        <f ca="1">D45</f>
        <v>206</v>
      </c>
      <c r="D64" s="522" t="s">
        <v>124</v>
      </c>
      <c r="E64" s="2248"/>
      <c r="F64" s="2215"/>
      <c r="G64" s="2215"/>
      <c r="H64" s="984"/>
      <c r="I64" s="983"/>
      <c r="J64" s="3343"/>
      <c r="K64" s="2244" t="s">
        <v>948</v>
      </c>
      <c r="L64" s="2244">
        <f ca="1">IF(M49&gt;2000,M49*0.5%,IF(AND(M49&gt;1000,M49&lt;=2000),M49*0.6%,IF(AND(M49&gt;500,M49&lt;=1000),M49*0.7%,IF(AND(M49&gt;200,M49&lt;=500),M49*0.8%,IF(AND(M49&gt;100,M49&lt;=200),M49*0.9%,IF(AND(M49&gt;50,M49&lt;=100),M49*1%,IF(AND(M49&gt;20,M49&lt;=50),M49*1.5%,IF(AND(M49&gt;10,M49&lt;=20),M49*2%,IF(AND(M49&gt;1,M49&lt;=10),M49*2.5%)))))))))</f>
        <v>1.6480000000000001</v>
      </c>
      <c r="M64" s="1837">
        <f t="shared" ref="M64:M65" ca="1" si="1">ROUND(L64,1)</f>
        <v>1.6</v>
      </c>
      <c r="N64" s="1941" t="s">
        <v>949</v>
      </c>
      <c r="Z64" s="2081"/>
      <c r="AI64" s="2082"/>
    </row>
    <row r="65" spans="1:35" ht="14.25" customHeight="1">
      <c r="A65" s="2246" t="s">
        <v>950</v>
      </c>
      <c r="B65" s="522" t="s">
        <v>951</v>
      </c>
      <c r="C65" s="2249"/>
      <c r="D65" s="522"/>
      <c r="E65" s="2248"/>
      <c r="F65" s="2215"/>
      <c r="G65" s="2215"/>
      <c r="H65" s="984"/>
      <c r="I65" s="983"/>
      <c r="J65" s="3343"/>
      <c r="K65" s="2244" t="s">
        <v>952</v>
      </c>
      <c r="L65" s="2244">
        <f ca="1">IF(M49&gt;1000,M49*0.1%,IF(AND(M49&gt;500,M49&lt;=1000),M49*0.5%,IF(AND(M49&gt;50,M49&lt;=500),M49*1%,IF(AND(M49&gt;1,M49&lt;=50),M49*1.5%))))</f>
        <v>2.06</v>
      </c>
      <c r="M65" s="1837">
        <f t="shared" ca="1" si="1"/>
        <v>2.1</v>
      </c>
      <c r="N65" s="1941" t="s">
        <v>949</v>
      </c>
      <c r="Z65" s="2081"/>
      <c r="AI65" s="2082"/>
    </row>
    <row r="66" spans="1:35" ht="14.25" customHeight="1">
      <c r="A66" s="2241" t="s">
        <v>953</v>
      </c>
      <c r="B66" s="2250" t="s">
        <v>954</v>
      </c>
      <c r="C66" s="2251"/>
      <c r="D66" s="2250" t="s">
        <v>124</v>
      </c>
      <c r="E66" s="2252" t="s">
        <v>955</v>
      </c>
      <c r="F66" s="2215"/>
      <c r="G66" s="2215"/>
      <c r="H66" s="984"/>
      <c r="I66" s="983"/>
      <c r="J66" s="3343"/>
      <c r="K66" s="2244" t="s">
        <v>956</v>
      </c>
      <c r="L66" s="2244">
        <f ca="1">M49*0.5%</f>
        <v>1.03</v>
      </c>
      <c r="M66" s="1837">
        <f ca="1">IF(L66&gt;0.5,0.5,ROUND(L66,0))</f>
        <v>0.5</v>
      </c>
      <c r="N66" s="1941" t="s">
        <v>957</v>
      </c>
      <c r="Z66" s="2081"/>
      <c r="AI66" s="2082"/>
    </row>
    <row r="67" spans="1:35" ht="14.25" customHeight="1">
      <c r="A67" s="2241" t="s">
        <v>958</v>
      </c>
      <c r="B67" s="2250" t="s">
        <v>959</v>
      </c>
      <c r="C67" s="2253">
        <f ca="1">C63-C66</f>
        <v>196</v>
      </c>
      <c r="D67" s="522" t="s">
        <v>124</v>
      </c>
      <c r="E67" s="2248"/>
      <c r="F67" s="2215"/>
      <c r="G67" s="2215"/>
      <c r="H67" s="984"/>
      <c r="I67" s="983"/>
      <c r="J67" s="3343"/>
      <c r="K67" s="2244" t="s">
        <v>960</v>
      </c>
      <c r="L67" s="2244">
        <f ca="1">IF(M49&gt;=10000,(8.25+(M49-10000)*0.01%),IF(AND(M49&gt;=8000,M49&lt;10000),(7.85+(M49-8000)*0.02%),IF(AND(M49&gt;=5000,M49&lt;8000),(6.65+(M49-5000)*0.04%),IF(AND(M49&gt;=2000,M49&lt;5000),(4.25+(PM49-2000)*0.08%),IF(AND(M49&gt;=1000,M49&lt;2000),(2.75+(M49-1000)*0.15%),IF(AND(M49&gt;=100,M49&lt;1000),(0.5+(M49-100)*0.25%),IF(AND(M49&gt;0,M49&lt;100),M49*0.5%)))))))</f>
        <v>0.76500000000000001</v>
      </c>
      <c r="M67" s="1837">
        <f ca="1">ROUND(L67*0.9,1)</f>
        <v>0.7</v>
      </c>
      <c r="N67" s="2245"/>
      <c r="Z67" s="2081"/>
      <c r="AI67" s="2082"/>
    </row>
    <row r="68" spans="1:35" ht="14.25" customHeight="1">
      <c r="A68" s="2254" t="s">
        <v>961</v>
      </c>
      <c r="B68" s="2255" t="s">
        <v>962</v>
      </c>
      <c r="C68" s="2256">
        <f ca="1">IF(C67&lt;=0,0,ROUND(C67*D68,0))</f>
        <v>11</v>
      </c>
      <c r="D68" s="747">
        <f>'数据-取费表'!B41</f>
        <v>5.6000000000000001E-2</v>
      </c>
      <c r="E68" s="2257"/>
      <c r="F68" s="2215"/>
      <c r="G68" s="2215"/>
      <c r="H68" s="984"/>
      <c r="I68" s="983"/>
      <c r="J68" s="3343"/>
      <c r="K68" s="2244" t="s">
        <v>963</v>
      </c>
      <c r="L68" s="2244">
        <f ca="1">IF(M49&gt;10000,M49*0.5%,IF(AND(M49&gt;5000,M49&lt;=10000),M49*1%,IF(AND(M49&gt;1000,M49&lt;=5000),M49*2%,IF(AND(M49&gt;200,M49&lt;=1000),M49*3%,M49*5%))))</f>
        <v>6.18</v>
      </c>
      <c r="M68" s="1837">
        <f ca="1">ROUND(L68,1)</f>
        <v>6.2</v>
      </c>
      <c r="N68" s="2245"/>
      <c r="Z68" s="2081"/>
      <c r="AI68" s="2082"/>
    </row>
    <row r="69" spans="1:35" ht="16.5" customHeight="1">
      <c r="A69" s="2258"/>
      <c r="B69" s="2259"/>
      <c r="C69" s="2260"/>
      <c r="D69" s="813"/>
      <c r="E69" s="2261"/>
      <c r="F69" s="2236"/>
      <c r="G69" s="2236"/>
      <c r="H69" s="2173"/>
      <c r="I69" s="1858"/>
      <c r="J69" s="3343"/>
      <c r="K69" s="2244" t="s">
        <v>964</v>
      </c>
      <c r="L69" s="2244"/>
      <c r="M69" s="1837">
        <f ca="1">ROUND(SUM(M63:M68),0)</f>
        <v>17</v>
      </c>
      <c r="N69" s="2262">
        <f ca="1">M69/M49</f>
        <v>8.2524271844660199E-2</v>
      </c>
      <c r="Z69" s="2081"/>
      <c r="AI69" s="2082"/>
    </row>
    <row r="70" spans="1:35" s="881" customFormat="1" ht="14.25">
      <c r="A70" s="3297" t="s">
        <v>965</v>
      </c>
      <c r="B70" s="3298"/>
      <c r="C70" s="3298"/>
      <c r="D70" s="3298"/>
      <c r="E70" s="3298"/>
      <c r="F70" s="3298"/>
      <c r="G70" s="3298"/>
      <c r="H70" s="3298"/>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196</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1</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1" t="s">
        <v>975</v>
      </c>
      <c r="F76" s="3289"/>
      <c r="G76" s="3289"/>
      <c r="H76" s="3342"/>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1</v>
      </c>
      <c r="D78" s="2281">
        <f>'数据-取费表'!B43</f>
        <v>6.0000000000000001E-3</v>
      </c>
      <c r="E78" s="3303" t="s">
        <v>980</v>
      </c>
      <c r="F78" s="3304"/>
      <c r="G78" s="3304"/>
      <c r="H78" s="3305"/>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195</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195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117</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297" t="s">
        <v>985</v>
      </c>
      <c r="B83" s="3298"/>
      <c r="C83" s="3298"/>
      <c r="D83" s="3298"/>
      <c r="E83" s="3298"/>
      <c r="F83" s="3298"/>
      <c r="G83" s="3298"/>
      <c r="H83" s="3298"/>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196</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1</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1" t="s">
        <v>993</v>
      </c>
      <c r="H90" s="3302"/>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3" t="s">
        <v>997</v>
      </c>
      <c r="F91" s="3304"/>
      <c r="G91" s="3304"/>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3" t="s">
        <v>1000</v>
      </c>
      <c r="F92" s="3304"/>
      <c r="G92" s="3304"/>
      <c r="H92" s="3305"/>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1</v>
      </c>
      <c r="D93" s="2281">
        <f>'数据-取费表'!B43</f>
        <v>6.0000000000000001E-3</v>
      </c>
      <c r="E93" s="3303" t="s">
        <v>980</v>
      </c>
      <c r="F93" s="3304"/>
      <c r="G93" s="3304"/>
      <c r="H93" s="3305"/>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27" t="s">
        <v>1005</v>
      </c>
      <c r="F94" s="3328"/>
      <c r="G94" s="3328"/>
      <c r="H94" s="3329"/>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195</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195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117</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9" t="s">
        <v>1007</v>
      </c>
      <c r="B100" s="3260"/>
      <c r="C100" s="3260"/>
      <c r="D100" s="3330"/>
      <c r="E100" s="3260" t="s">
        <v>1008</v>
      </c>
      <c r="F100" s="3260"/>
      <c r="G100" s="3260"/>
      <c r="H100" s="3330"/>
      <c r="I100" s="983"/>
    </row>
    <row r="101" spans="1:35" ht="18.75" customHeight="1">
      <c r="A101" s="3331" t="s">
        <v>1009</v>
      </c>
      <c r="B101" s="3332"/>
      <c r="C101" s="2307" t="str">
        <f>C4</f>
        <v>成本法 (元)</v>
      </c>
      <c r="D101" s="2308" t="str">
        <f>D4</f>
        <v>收益法 (元)商业</v>
      </c>
      <c r="E101" s="3349" t="s">
        <v>1010</v>
      </c>
      <c r="F101" s="3345"/>
      <c r="G101" s="2310" t="s">
        <v>1011</v>
      </c>
      <c r="H101" s="2311">
        <f ca="1">H118</f>
        <v>206</v>
      </c>
      <c r="I101" s="983"/>
    </row>
    <row r="102" spans="1:35" ht="18.75" customHeight="1">
      <c r="A102" s="3356" t="s">
        <v>1012</v>
      </c>
      <c r="B102" s="2312" t="s">
        <v>1011</v>
      </c>
      <c r="C102" s="2307">
        <f ca="1">IF(D32="楼面单价",ROUND(C19,0),C19)</f>
        <v>161</v>
      </c>
      <c r="D102" s="2308">
        <f ca="1">IF(D32="楼面单价",ROUND(D19,0),D19)</f>
        <v>311</v>
      </c>
      <c r="E102" s="3349"/>
      <c r="F102" s="3345"/>
      <c r="G102" s="2310" t="s">
        <v>99</v>
      </c>
      <c r="H102" s="2204">
        <f ca="1">I118</f>
        <v>6949</v>
      </c>
      <c r="I102" s="983"/>
    </row>
    <row r="103" spans="1:35" ht="42.75" customHeight="1">
      <c r="A103" s="3356"/>
      <c r="B103" s="2312" t="s">
        <v>99</v>
      </c>
      <c r="C103" s="2313">
        <f ca="1">C20</f>
        <v>5431</v>
      </c>
      <c r="D103" s="2314">
        <f ca="1">D20</f>
        <v>10491</v>
      </c>
      <c r="E103" s="3333" t="s">
        <v>1013</v>
      </c>
      <c r="F103" s="3334"/>
      <c r="G103" s="2315" t="s">
        <v>102</v>
      </c>
      <c r="H103" s="2311">
        <f>IF(D36="正常操作",H104+H105+H106,H105+H106)</f>
        <v>0</v>
      </c>
      <c r="I103" s="983"/>
    </row>
    <row r="104" spans="1:35" ht="18.75" customHeight="1">
      <c r="A104" s="3356" t="s">
        <v>1014</v>
      </c>
      <c r="B104" s="2316" t="s">
        <v>1011</v>
      </c>
      <c r="C104" s="2317">
        <f ca="1">H118</f>
        <v>206</v>
      </c>
      <c r="D104" s="2318"/>
      <c r="E104" s="2158" t="s">
        <v>1015</v>
      </c>
      <c r="F104" s="2319"/>
      <c r="G104" s="2315" t="s">
        <v>102</v>
      </c>
      <c r="H104" s="2320">
        <f>IF(D36="同一抵押权人同一抵押物续贷",C36&amp;"（续贷，未扣减，详见特别提示）",C36)</f>
        <v>0</v>
      </c>
      <c r="I104" s="983"/>
    </row>
    <row r="105" spans="1:35" ht="18.75" customHeight="1">
      <c r="A105" s="3357"/>
      <c r="B105" s="2321" t="s">
        <v>99</v>
      </c>
      <c r="C105" s="2322">
        <f ca="1">I118</f>
        <v>6949</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2056904</v>
      </c>
      <c r="E107" s="3344" t="str">
        <f>IF(项目基本情况!E8="已注销","——","3.房地产抵押价值")</f>
        <v>3.房地产抵押价值</v>
      </c>
      <c r="F107" s="3345"/>
      <c r="G107" s="2310" t="s">
        <v>1011</v>
      </c>
      <c r="H107" s="2311">
        <f ca="1">IF(E107="——","——",H101-H103)</f>
        <v>206</v>
      </c>
      <c r="I107" s="983"/>
    </row>
    <row r="108" spans="1:35" ht="18.75" customHeight="1">
      <c r="A108" s="983"/>
      <c r="B108" s="983"/>
      <c r="C108" s="983"/>
      <c r="D108" s="983"/>
      <c r="E108" s="3344"/>
      <c r="F108" s="3345"/>
      <c r="G108" s="2310" t="s">
        <v>99</v>
      </c>
      <c r="H108" s="2204">
        <f ca="1">IF(H107=H101,H102,ROUND(H107*10000/'数据-汇总表'!E3,0))</f>
        <v>6949</v>
      </c>
      <c r="I108" s="983"/>
    </row>
    <row r="109" spans="1:35" ht="18.75" customHeight="1">
      <c r="A109" s="983"/>
      <c r="B109" s="983"/>
      <c r="C109" s="983"/>
      <c r="D109" s="983"/>
      <c r="E109" s="3344" t="str">
        <f>IF(项目基本情况!E8="已注销及未注销","4.抵押担保权已注销时的房地产抵押价值",IF(项目基本情况!E8="已注销","3.抵押担保权已注销时的房地产抵押价值","——"))</f>
        <v>——</v>
      </c>
      <c r="F109" s="3345"/>
      <c r="G109" s="2310" t="s">
        <v>1011</v>
      </c>
      <c r="H109" s="2326" t="str">
        <f>IF(E109="——","——",H101-H105-H106)</f>
        <v>——</v>
      </c>
      <c r="I109" s="983"/>
    </row>
    <row r="110" spans="1:35" ht="18.75" customHeight="1">
      <c r="A110" s="983"/>
      <c r="B110" s="983"/>
      <c r="C110" s="983"/>
      <c r="D110" s="983"/>
      <c r="E110" s="3344"/>
      <c r="F110" s="3345"/>
      <c r="G110" s="2310" t="s">
        <v>99</v>
      </c>
      <c r="H110" s="2204" t="str">
        <f>IF(H109="——","——",ROUND(H109*10000/'数据-汇总表'!E3,0))</f>
        <v>——</v>
      </c>
      <c r="I110" s="983"/>
    </row>
    <row r="111" spans="1:35" ht="18.75" customHeight="1">
      <c r="A111" s="983"/>
      <c r="B111" s="983"/>
      <c r="C111" s="983"/>
      <c r="D111" s="983"/>
      <c r="E111" s="3346" t="str">
        <f>IF(项目基本情况!E9="抵押净值",IF(OR(项目基本情况!E8="已注销",项目基本情况!E8="房地产抵押价值"),"4.抵押净值","5.抵押净值"),"——")</f>
        <v>——</v>
      </c>
      <c r="F111" s="3314"/>
      <c r="G111" s="2310" t="s">
        <v>1011</v>
      </c>
      <c r="H111" s="2311" t="str">
        <f>IF(E111="——","——",N59)</f>
        <v>——</v>
      </c>
      <c r="I111" s="983"/>
    </row>
    <row r="112" spans="1:35" ht="18.75" customHeight="1">
      <c r="A112" s="983"/>
      <c r="B112" s="983"/>
      <c r="C112" s="983"/>
      <c r="D112" s="983"/>
      <c r="E112" s="3347"/>
      <c r="F112" s="3348"/>
      <c r="G112" s="2327" t="s">
        <v>99</v>
      </c>
      <c r="H112" s="2328" t="str">
        <f>IF(E111="——","——",N61)</f>
        <v>——</v>
      </c>
      <c r="I112" s="983"/>
    </row>
    <row r="113" spans="1:27" ht="18.75" customHeight="1">
      <c r="A113" s="983"/>
      <c r="B113" s="983"/>
      <c r="C113" s="983"/>
      <c r="D113" s="983"/>
      <c r="E113" s="3335" t="s">
        <v>1017</v>
      </c>
      <c r="F113" s="3335"/>
      <c r="G113" s="3335"/>
      <c r="H113" s="3335"/>
      <c r="I113" s="983"/>
    </row>
    <row r="114" spans="1:27" ht="3.75" customHeight="1">
      <c r="A114" s="1858"/>
      <c r="B114" s="1858"/>
      <c r="C114" s="1858"/>
      <c r="D114" s="1858"/>
      <c r="E114" s="2235"/>
      <c r="F114" s="2235"/>
      <c r="G114" s="2235"/>
      <c r="H114" s="2235"/>
      <c r="I114" s="1858"/>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4" t="s">
        <v>1026</v>
      </c>
      <c r="E117" s="844" t="s">
        <v>853</v>
      </c>
      <c r="F117" s="844" t="s">
        <v>1026</v>
      </c>
      <c r="G117" s="844" t="s">
        <v>853</v>
      </c>
      <c r="H117" s="844" t="s">
        <v>1026</v>
      </c>
      <c r="I117" s="844" t="s">
        <v>853</v>
      </c>
    </row>
    <row r="118" spans="1:27" ht="24.75" customHeight="1">
      <c r="A118" s="2329" t="str">
        <f>项目基本情况!S2</f>
        <v>北京市房地产</v>
      </c>
      <c r="B118" s="844">
        <f>M18</f>
        <v>296</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206</v>
      </c>
      <c r="I118" s="844">
        <f ca="1">ROUND(IF(D32="楼面单价",C32,H118*10000/B118),0)</f>
        <v>6949</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贰佰零陆万元整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19" t="s">
        <v>1027</v>
      </c>
      <c r="B121" s="3320"/>
      <c r="C121" s="3321"/>
      <c r="D121" s="3319" t="str">
        <f>IF(D120=0,"零元整",NUMBERSTRING(INT(D120*10000),2)&amp;"元整")</f>
        <v>零元整</v>
      </c>
      <c r="E121" s="3320"/>
      <c r="F121" s="3320"/>
      <c r="G121" s="3320"/>
      <c r="H121" s="3320"/>
      <c r="I121" s="3321"/>
      <c r="AA121" s="899"/>
    </row>
    <row r="122" spans="1:27" ht="18.75" customHeight="1">
      <c r="A122" s="3314" t="str">
        <f>IF(项目基本情况!B9="房地产市场价值","",MID(E107,3,LEN(E107)-2))</f>
        <v>房地产抵押价值</v>
      </c>
      <c r="B122" s="3314"/>
      <c r="C122" s="3314"/>
      <c r="D122" s="3315">
        <f ca="1">H107</f>
        <v>206</v>
      </c>
      <c r="E122" s="3316"/>
      <c r="F122" s="3316"/>
      <c r="G122" s="3316"/>
      <c r="H122" s="3316"/>
      <c r="I122" s="3317"/>
      <c r="AA122" s="899"/>
    </row>
    <row r="123" spans="1:27" ht="18.75" customHeight="1">
      <c r="A123" s="3318" t="s">
        <v>1027</v>
      </c>
      <c r="B123" s="3318"/>
      <c r="C123" s="3318"/>
      <c r="D123" s="3319" t="str">
        <f ca="1">NUMBERSTRING(INT(D122*10000),2)&amp;"元整"</f>
        <v>贰佰零陆万元整</v>
      </c>
      <c r="E123" s="3320"/>
      <c r="F123" s="3320"/>
      <c r="G123" s="3320"/>
      <c r="H123" s="3320"/>
      <c r="I123" s="3321"/>
      <c r="AA123" s="899"/>
    </row>
    <row r="124" spans="1:27" ht="18.75" customHeight="1">
      <c r="A124" s="3314" t="str">
        <f>IF(项目基本情况!B9="房地产市场价值","",MID(E109,3,LEN(E109)-2))</f>
        <v/>
      </c>
      <c r="B124" s="3314"/>
      <c r="C124" s="3314"/>
      <c r="D124" s="3315" t="str">
        <f>H109</f>
        <v>——</v>
      </c>
      <c r="E124" s="3316"/>
      <c r="F124" s="3316"/>
      <c r="G124" s="3316"/>
      <c r="H124" s="3316"/>
      <c r="I124" s="3317"/>
      <c r="AA124" s="899"/>
    </row>
    <row r="125" spans="1:27" ht="18.75" customHeight="1">
      <c r="A125" s="3318" t="s">
        <v>1027</v>
      </c>
      <c r="B125" s="3318"/>
      <c r="C125" s="3318"/>
      <c r="D125" s="3319" t="e">
        <f>NUMBERSTRING(INT(D124*10000),2)&amp;"元整"</f>
        <v>#VALUE!</v>
      </c>
      <c r="E125" s="3320"/>
      <c r="F125" s="3320"/>
      <c r="G125" s="3320"/>
      <c r="H125" s="3320"/>
      <c r="I125" s="3321"/>
      <c r="AA125" s="899"/>
    </row>
    <row r="126" spans="1:27" ht="18.75" customHeight="1">
      <c r="A126" s="3314" t="str">
        <f>IF(项目基本情况!B9="房地产市场价值","",MID(E111,3,LEN(E111)-2))</f>
        <v/>
      </c>
      <c r="B126" s="3314"/>
      <c r="C126" s="3314"/>
      <c r="D126" s="3315" t="str">
        <f>H111</f>
        <v>——</v>
      </c>
      <c r="E126" s="3316"/>
      <c r="F126" s="3316"/>
      <c r="G126" s="3316"/>
      <c r="H126" s="3316"/>
      <c r="I126" s="3317"/>
      <c r="AA126" s="899"/>
    </row>
    <row r="127" spans="1:27" ht="18.75" customHeight="1">
      <c r="A127" s="3318" t="s">
        <v>1027</v>
      </c>
      <c r="B127" s="3318"/>
      <c r="C127" s="3318"/>
      <c r="D127" s="3319" t="e">
        <f>NUMBERSTRING(INT(D126*10000),2)&amp;"元整"</f>
        <v>#VALUE!</v>
      </c>
      <c r="E127" s="3320"/>
      <c r="F127" s="3320"/>
      <c r="G127" s="3320"/>
      <c r="H127" s="3320"/>
      <c r="I127" s="3321"/>
      <c r="AA127" s="899"/>
    </row>
    <row r="128" spans="1:27" ht="21.75" customHeight="1">
      <c r="A128" s="3350" t="s">
        <v>113</v>
      </c>
      <c r="B128" s="3350"/>
      <c r="C128" s="3350"/>
      <c r="D128" s="3350"/>
      <c r="E128" s="3350"/>
      <c r="F128" s="3350"/>
      <c r="G128" s="3350"/>
      <c r="H128" s="3350"/>
      <c r="I128" s="3350"/>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M25" sqref="M25"/>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071" t="s">
        <v>229</v>
      </c>
      <c r="C1" s="2072" t="s">
        <v>1506</v>
      </c>
      <c r="D1" s="342"/>
      <c r="E1" s="342"/>
      <c r="F1" s="342"/>
      <c r="G1" s="2073">
        <f>MATCH(B1,'数据-取费表'!A6:A16,0)+5</f>
        <v>6</v>
      </c>
      <c r="H1" s="1533" t="str">
        <f>IF(ISERROR(FIND("住宅",B1)),"非住宅","住宅")</f>
        <v>非住宅</v>
      </c>
    </row>
    <row r="2" spans="1:8" s="332" customFormat="1" ht="18" customHeight="1">
      <c r="A2" s="344" t="s">
        <v>1036</v>
      </c>
      <c r="B2" s="2074">
        <f ca="1">ROUND(IF(D2="——",C52/10000,C52/10000-E2),4)</f>
        <v>160.7637</v>
      </c>
      <c r="C2" s="343" t="s">
        <v>1037</v>
      </c>
      <c r="D2" s="2075" t="s">
        <v>124</v>
      </c>
      <c r="E2" s="2076" t="e">
        <f ca="1">SUMIF(INDIRECT("'"&amp;G2&amp;"'"&amp;"!A:A"),"承租人权益价值",INDIRECT("'"&amp;G2&amp;"'"&amp;"!c:c"))</f>
        <v>#REF!</v>
      </c>
      <c r="F2" s="2077" t="s">
        <v>1037</v>
      </c>
      <c r="G2" s="2078"/>
    </row>
    <row r="3" spans="1:8" s="332" customFormat="1" ht="18" customHeight="1">
      <c r="A3" s="347" t="s">
        <v>1038</v>
      </c>
      <c r="B3" s="348">
        <f ca="1">ROUND(B2*10000/(IF(B1="",'数据-汇总表'!E3,INDIRECT("'数据-取费表'!k"&amp;$G$1))),0)</f>
        <v>5431</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59200</v>
      </c>
      <c r="D5" s="354" t="s">
        <v>1043</v>
      </c>
      <c r="E5" s="355" t="s">
        <v>1044</v>
      </c>
      <c r="F5" s="355" t="s">
        <v>941</v>
      </c>
      <c r="G5" s="356"/>
    </row>
    <row r="6" spans="1:8" s="334" customFormat="1" ht="13.5" customHeight="1">
      <c r="A6" s="357" t="s">
        <v>1045</v>
      </c>
      <c r="B6" s="358" t="s">
        <v>1046</v>
      </c>
      <c r="C6" s="359">
        <f>ROUND(基准地价修正!C37*基准地价修正!D37,0)</f>
        <v>0</v>
      </c>
      <c r="D6" s="360"/>
      <c r="E6" s="361"/>
      <c r="F6" s="361"/>
      <c r="G6" s="362"/>
    </row>
    <row r="7" spans="1:8" s="334" customFormat="1" ht="13.5" customHeight="1">
      <c r="A7" s="357" t="s">
        <v>1047</v>
      </c>
      <c r="B7" s="358" t="s">
        <v>1048</v>
      </c>
      <c r="C7" s="363">
        <f>ROUND(C6*F7,0)</f>
        <v>0</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59200</v>
      </c>
      <c r="D8" s="365"/>
      <c r="E8" s="363"/>
      <c r="F8" s="364"/>
      <c r="G8" s="2079" t="s">
        <v>1507</v>
      </c>
    </row>
    <row r="9" spans="1:8" s="334" customFormat="1" ht="13.5" customHeight="1">
      <c r="A9" s="367" t="s">
        <v>1051</v>
      </c>
      <c r="B9" s="368" t="s">
        <v>1052</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1054</v>
      </c>
      <c r="B10" s="368" t="s">
        <v>1055</v>
      </c>
      <c r="C10" s="369">
        <f ca="1">ROUND(D10*E10,0)</f>
        <v>59200</v>
      </c>
      <c r="D10" s="370">
        <f ca="1">IF(B1="",'数据-汇总表'!E6,IF(INDIRECT("'数据-取费表'!c"&amp;$G$1)="住宅",INDIRECT("'数据-取费表'!s"&amp;$G$1),INDIRECT("'数据-取费表'!k"&amp;$G$1)+INDIRECT("'数据-取费表'!s"&amp;$G$1)))</f>
        <v>296</v>
      </c>
      <c r="E10" s="369">
        <f>'数据-取费表'!B28</f>
        <v>200</v>
      </c>
      <c r="F10" s="364"/>
      <c r="G10" s="371"/>
    </row>
    <row r="11" spans="1:8" s="334" customFormat="1" ht="13.5" hidden="1" customHeight="1">
      <c r="A11" s="372" t="s">
        <v>1056</v>
      </c>
      <c r="B11" s="358" t="s">
        <v>1057</v>
      </c>
      <c r="C11" s="354"/>
      <c r="D11" s="361"/>
      <c r="E11" s="361"/>
      <c r="F11" s="361"/>
      <c r="G11" s="362"/>
    </row>
    <row r="12" spans="1:8" s="334" customFormat="1" ht="13.5" hidden="1" customHeight="1">
      <c r="A12" s="372" t="s">
        <v>1058</v>
      </c>
      <c r="B12" s="358" t="s">
        <v>977</v>
      </c>
      <c r="C12" s="354">
        <v>0</v>
      </c>
      <c r="D12" s="361"/>
      <c r="E12" s="373"/>
      <c r="F12" s="364">
        <v>3.0499999999999999E-2</v>
      </c>
      <c r="G12" s="362"/>
    </row>
    <row r="13" spans="1:8" s="334" customFormat="1" ht="13.5" hidden="1" customHeight="1">
      <c r="A13" s="372" t="s">
        <v>1059</v>
      </c>
      <c r="B13" s="358" t="s">
        <v>1060</v>
      </c>
      <c r="C13" s="354"/>
      <c r="D13" s="361"/>
      <c r="E13" s="361"/>
      <c r="F13" s="361"/>
      <c r="G13" s="362"/>
    </row>
    <row r="14" spans="1:8" s="334" customFormat="1" ht="13.5" hidden="1" customHeight="1">
      <c r="A14" s="372" t="s">
        <v>1061</v>
      </c>
      <c r="B14" s="358" t="s">
        <v>1050</v>
      </c>
      <c r="C14" s="354"/>
      <c r="D14" s="361"/>
      <c r="E14" s="361"/>
      <c r="F14" s="361"/>
      <c r="G14" s="362" t="s">
        <v>1062</v>
      </c>
    </row>
    <row r="15" spans="1:8" s="334" customFormat="1" ht="13.5" hidden="1" customHeight="1">
      <c r="A15" s="372" t="s">
        <v>1063</v>
      </c>
      <c r="B15" s="358" t="s">
        <v>1064</v>
      </c>
      <c r="C15" s="363"/>
      <c r="D15" s="361"/>
      <c r="E15" s="361"/>
      <c r="F15" s="361"/>
      <c r="G15" s="362" t="s">
        <v>1065</v>
      </c>
    </row>
    <row r="16" spans="1:8"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t="str">
        <f>IF(G19="已包含在土地取得成本中","0",ROUND(D19*E19,0))</f>
        <v>0</v>
      </c>
      <c r="D19" s="355">
        <f ca="1">D9+D10</f>
        <v>296</v>
      </c>
      <c r="E19" s="354">
        <f>'数据-取费表'!B31</f>
        <v>200</v>
      </c>
      <c r="F19" s="376"/>
      <c r="G19" s="2079" t="s">
        <v>1508</v>
      </c>
    </row>
    <row r="20" spans="1:7" s="334" customFormat="1" ht="13.5" customHeight="1">
      <c r="A20" s="352" t="s">
        <v>1074</v>
      </c>
      <c r="B20" s="353" t="s">
        <v>1075</v>
      </c>
      <c r="C20" s="377">
        <f ca="1">ROUND((C5+C19)*F20,0)</f>
        <v>1776</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77">
        <f ca="1">ROUND(SUM(C23:C25),0)</f>
        <v>3820</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7">
        <f ca="1">ROUND(IF('数据-取费表'!B22&lt;=1,C5*F22*'数据-取费表'!B22,C5*(POWER((1+F22),'数据-取费表'!B22)-1)),0)</f>
        <v>3764</v>
      </c>
      <c r="D23" s="387"/>
      <c r="E23" s="387"/>
      <c r="F23" s="388"/>
      <c r="G23" s="389" t="s">
        <v>1084</v>
      </c>
    </row>
    <row r="24" spans="1:7" s="334" customFormat="1" ht="13.5" customHeight="1">
      <c r="A24" s="385" t="s">
        <v>1047</v>
      </c>
      <c r="B24" s="358" t="s">
        <v>1085</v>
      </c>
      <c r="C24" s="387">
        <f ca="1">ROUND(IF('数据-取费表'!B22&lt;=1,C19*F22*('数据-取费表'!B19/2+'数据-取费表'!B20),C19*(POWER((1+F22),('数据-取费表'!B19/2+'数据-取费表'!B20))-1)),0)</f>
        <v>0</v>
      </c>
      <c r="D24" s="387"/>
      <c r="E24" s="387"/>
      <c r="F24" s="388"/>
      <c r="G24" s="389" t="s">
        <v>1086</v>
      </c>
    </row>
    <row r="25" spans="1:7" s="334" customFormat="1" ht="24">
      <c r="A25" s="385" t="s">
        <v>1049</v>
      </c>
      <c r="B25" s="358" t="s">
        <v>1087</v>
      </c>
      <c r="C25" s="387">
        <f ca="1">ROUND(IF('数据-取费表'!B22&lt;=1,C20*F22*'数据-取费表'!B22/2,C20*(POWER((1+F22),'数据-取费表'!B22/2)-1)),0)</f>
        <v>56</v>
      </c>
      <c r="D25" s="387"/>
      <c r="E25" s="390"/>
      <c r="F25" s="388"/>
      <c r="G25" s="391" t="s">
        <v>1088</v>
      </c>
    </row>
    <row r="26" spans="1:7" s="334" customFormat="1">
      <c r="A26" s="385" t="s">
        <v>1089</v>
      </c>
      <c r="B26" s="358" t="s">
        <v>1090</v>
      </c>
      <c r="C26" s="387">
        <f ca="1">ROUND(IF('数据-取费表'!B22&lt;=1,F21*F22*'数据-取费表'!B22/2,F21*(POWER((1+F22),'数据-取费表'!B22/2)-1)),4)</f>
        <v>8.9999999999999998E-4</v>
      </c>
      <c r="D26" s="387"/>
      <c r="E26" s="390"/>
      <c r="F26" s="388"/>
      <c r="G26" s="392"/>
    </row>
    <row r="27" spans="1:7" s="334" customFormat="1" ht="24.75">
      <c r="A27" s="352" t="s">
        <v>1091</v>
      </c>
      <c r="B27" s="393" t="s">
        <v>1092</v>
      </c>
      <c r="C27" s="394">
        <f ca="1">C28</f>
        <v>9146</v>
      </c>
      <c r="D27" s="380">
        <f ca="1">C29</f>
        <v>4.4999999999999997E-3</v>
      </c>
      <c r="E27" s="381" t="s">
        <v>1079</v>
      </c>
      <c r="F27" s="395">
        <f ca="1">IF(B1="",'数据-取费表'!Q16,INDIRECT("'数据-取费表'!q"&amp;$G$1))</f>
        <v>0.15</v>
      </c>
      <c r="G27" s="396" t="s">
        <v>1093</v>
      </c>
    </row>
    <row r="28" spans="1:7" s="334" customFormat="1" ht="13.5" customHeight="1">
      <c r="A28" s="385" t="s">
        <v>1045</v>
      </c>
      <c r="B28" s="397" t="s">
        <v>1094</v>
      </c>
      <c r="C28" s="398">
        <f ca="1">ROUND((C5+C19+C20)*F27,0)</f>
        <v>9146</v>
      </c>
      <c r="D28" s="380"/>
      <c r="E28" s="381"/>
      <c r="F28" s="395"/>
      <c r="G28" s="396"/>
    </row>
    <row r="29" spans="1:7" s="334" customFormat="1" ht="13.5" customHeight="1">
      <c r="A29" s="385" t="s">
        <v>1047</v>
      </c>
      <c r="B29" s="397" t="s">
        <v>1095</v>
      </c>
      <c r="C29" s="387">
        <f ca="1">ROUND(C21*F27,4)</f>
        <v>4.4999999999999997E-3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81139</v>
      </c>
      <c r="D31" s="400"/>
      <c r="E31" s="354"/>
      <c r="F31" s="401"/>
      <c r="G31" s="382" t="s">
        <v>1100</v>
      </c>
    </row>
    <row r="32" spans="1:7" s="333" customFormat="1" ht="15.75">
      <c r="A32" s="402" t="s">
        <v>1509</v>
      </c>
      <c r="B32" s="403"/>
      <c r="C32" s="403"/>
      <c r="D32" s="403"/>
      <c r="E32" s="403"/>
      <c r="F32" s="403"/>
      <c r="G32" s="404"/>
    </row>
    <row r="33" spans="1:7" s="334" customFormat="1" ht="13.5" customHeight="1">
      <c r="A33" s="352" t="s">
        <v>1041</v>
      </c>
      <c r="B33" s="353" t="s">
        <v>1510</v>
      </c>
      <c r="C33" s="405">
        <f ca="1">SUM(C34:C38)</f>
        <v>1524400</v>
      </c>
      <c r="D33" s="377"/>
      <c r="E33" s="355"/>
      <c r="F33" s="390"/>
      <c r="G33" s="382"/>
    </row>
    <row r="34" spans="1:7" s="336" customFormat="1" ht="13.5" customHeight="1">
      <c r="A34" s="385" t="s">
        <v>1045</v>
      </c>
      <c r="B34" s="358" t="s">
        <v>1103</v>
      </c>
      <c r="C34" s="363">
        <f ca="1">ROUND(IF(B1="",SUMPRODUCT('数据-取费表'!K6:K14,'数据-取费表'!L6:L14),INDIRECT("'数据-取费表'!l"&amp;$G$1)*INDIRECT("'数据-取费表'!k"&amp;$G$1)+'数据-取费表'!L14*INDIRECT("'数据-取费表'!S"&amp;$G$1)),0)</f>
        <v>1332000</v>
      </c>
      <c r="D34" s="360"/>
      <c r="E34" s="363"/>
      <c r="F34" s="406"/>
      <c r="G34" s="362"/>
    </row>
    <row r="35" spans="1:7" ht="13.5" customHeight="1">
      <c r="A35" s="385" t="s">
        <v>1047</v>
      </c>
      <c r="B35" s="358" t="s">
        <v>1105</v>
      </c>
      <c r="C35" s="363">
        <f ca="1">ROUND(C34*F35,0)</f>
        <v>106560</v>
      </c>
      <c r="D35" s="363"/>
      <c r="E35" s="363"/>
      <c r="F35" s="407">
        <f>'数据-取费表'!B33</f>
        <v>0.08</v>
      </c>
      <c r="G35" s="362" t="s">
        <v>1106</v>
      </c>
    </row>
    <row r="36" spans="1:7" ht="24">
      <c r="A36" s="385" t="s">
        <v>1049</v>
      </c>
      <c r="B36" s="358" t="s">
        <v>1107</v>
      </c>
      <c r="C36" s="363">
        <f ca="1">ROUND(IF(B1="",SUM('数据-取费表'!AP6:AP13)*F36,IF(INDIRECT("'数据-取费表'!c"&amp;$G$1)="住宅",INDIRECT("'数据-取费表'!k"&amp;$G$1)*INDIRECT("'数据-取费表'!l"&amp;$G$1)*F36,0)),0)</f>
        <v>0</v>
      </c>
      <c r="D36" s="363"/>
      <c r="E36" s="363"/>
      <c r="F36" s="407">
        <f>'数据-取费表'!B34</f>
        <v>0</v>
      </c>
      <c r="G36" s="408" t="s">
        <v>1108</v>
      </c>
    </row>
    <row r="37" spans="1:7" s="336" customFormat="1" ht="13.5" customHeight="1">
      <c r="A37" s="385" t="s">
        <v>1089</v>
      </c>
      <c r="B37" s="358" t="s">
        <v>1109</v>
      </c>
      <c r="C37" s="398">
        <f ca="1">ROUND(E37*D37,0)</f>
        <v>59200</v>
      </c>
      <c r="D37" s="360">
        <f ca="1">D19</f>
        <v>296</v>
      </c>
      <c r="E37" s="398">
        <f>'数据-取费表'!B35</f>
        <v>200</v>
      </c>
      <c r="F37" s="407"/>
      <c r="G37" s="409"/>
    </row>
    <row r="38" spans="1:7" ht="13.5" customHeight="1">
      <c r="A38" s="385" t="s">
        <v>1111</v>
      </c>
      <c r="B38" s="358" t="s">
        <v>977</v>
      </c>
      <c r="C38" s="363">
        <f ca="1">ROUND(C34*F38,0)</f>
        <v>26640</v>
      </c>
      <c r="D38" s="363"/>
      <c r="E38" s="363"/>
      <c r="F38" s="407">
        <f>'数据-取费表'!B36</f>
        <v>0.02</v>
      </c>
      <c r="G38" s="362" t="s">
        <v>1106</v>
      </c>
    </row>
    <row r="39" spans="1:7" s="334" customFormat="1" ht="13.5" customHeight="1">
      <c r="A39" s="352" t="s">
        <v>1072</v>
      </c>
      <c r="B39" s="353" t="s">
        <v>1075</v>
      </c>
      <c r="C39" s="377">
        <f ca="1">ROUND(C33*F20,0)</f>
        <v>45732</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49145</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ROUND(IF('数据-取费表'!B22&lt;=1,C33*F22*'数据-取费表'!B20/2,C33*(POWER((1+F22),'数据-取费表'!B20/2)-1)),0)</f>
        <v>47714</v>
      </c>
      <c r="D42" s="387"/>
      <c r="E42" s="387"/>
      <c r="F42" s="388"/>
      <c r="G42" s="3359" t="s">
        <v>1511</v>
      </c>
    </row>
    <row r="43" spans="1:7" ht="13.5" customHeight="1">
      <c r="A43" s="385" t="s">
        <v>1047</v>
      </c>
      <c r="B43" s="358" t="s">
        <v>1085</v>
      </c>
      <c r="C43" s="387">
        <f ca="1">ROUND(IF('数据-取费表'!B22&lt;=1,C39*F22*'数据-取费表'!B20/2,C39*(POWER((1+F22),'数据-取费表'!B20/2)-1)),0)</f>
        <v>1431</v>
      </c>
      <c r="D43" s="387"/>
      <c r="E43" s="387"/>
      <c r="F43" s="388"/>
      <c r="G43" s="3360"/>
    </row>
    <row r="44" spans="1:7" ht="13.5" customHeight="1">
      <c r="A44" s="385" t="s">
        <v>1049</v>
      </c>
      <c r="B44" s="358" t="s">
        <v>1087</v>
      </c>
      <c r="C44" s="387">
        <f ca="1">ROUND(IF('数据-取费表'!B22&lt;=1,C40*F22*'数据-取费表'!B20/2,C40*(POWER((1+F22),'数据-取费表'!B20/2)-1)),4)</f>
        <v>8.9999999999999998E-4</v>
      </c>
      <c r="D44" s="387"/>
      <c r="E44" s="387"/>
      <c r="F44" s="388"/>
      <c r="G44" s="3361"/>
    </row>
    <row r="45" spans="1:7" s="334" customFormat="1" ht="13.5" customHeight="1">
      <c r="A45" s="352" t="s">
        <v>1081</v>
      </c>
      <c r="B45" s="393" t="s">
        <v>1092</v>
      </c>
      <c r="C45" s="394">
        <f ca="1">C46</f>
        <v>235520</v>
      </c>
      <c r="D45" s="380">
        <f ca="1">C47</f>
        <v>4.4999999999999997E-3</v>
      </c>
      <c r="E45" s="381" t="s">
        <v>1113</v>
      </c>
      <c r="F45" s="395">
        <f ca="1">F27</f>
        <v>0.15</v>
      </c>
      <c r="G45" s="396" t="s">
        <v>1116</v>
      </c>
    </row>
    <row r="46" spans="1:7" s="334" customFormat="1" ht="13.5" customHeight="1">
      <c r="A46" s="385" t="s">
        <v>1045</v>
      </c>
      <c r="B46" s="397" t="s">
        <v>1117</v>
      </c>
      <c r="C46" s="398">
        <f ca="1">ROUND((C33+C39)*F27,0)</f>
        <v>235520</v>
      </c>
      <c r="D46" s="411"/>
      <c r="E46" s="381"/>
      <c r="F46" s="395"/>
      <c r="G46" s="396"/>
    </row>
    <row r="47" spans="1:7" s="334" customFormat="1" ht="13.5" customHeight="1">
      <c r="A47" s="385" t="s">
        <v>1047</v>
      </c>
      <c r="B47" s="397" t="s">
        <v>1118</v>
      </c>
      <c r="C47" s="387">
        <f ca="1">ROUND(C40*F27,4)</f>
        <v>4.4999999999999997E-3</v>
      </c>
      <c r="D47" s="411"/>
      <c r="E47" s="381"/>
      <c r="F47" s="395"/>
      <c r="G47" s="396"/>
    </row>
    <row r="48" spans="1:7" s="334" customFormat="1" ht="13.5" customHeight="1">
      <c r="A48" s="352" t="s">
        <v>1091</v>
      </c>
      <c r="B48" s="353" t="s">
        <v>1097</v>
      </c>
      <c r="C48" s="410">
        <f>ROUND(F30/(1+'数据-取费表'!C42),4)</f>
        <v>5.33E-2</v>
      </c>
      <c r="D48" s="381" t="s">
        <v>1113</v>
      </c>
      <c r="E48" s="377"/>
      <c r="F48" s="384">
        <f>F30</f>
        <v>5.6000000000000001E-2</v>
      </c>
      <c r="G48" s="382" t="s">
        <v>1119</v>
      </c>
    </row>
    <row r="49" spans="1:7" ht="16.5" customHeight="1">
      <c r="A49" s="352" t="s">
        <v>1096</v>
      </c>
      <c r="B49" s="353" t="s">
        <v>1512</v>
      </c>
      <c r="C49" s="377">
        <f ca="1">ROUND((C33+C39+C41+C45)/(1-C40-D41-D45-C48),0)</f>
        <v>2035331</v>
      </c>
      <c r="D49" s="377"/>
      <c r="E49" s="377"/>
      <c r="F49" s="412"/>
      <c r="G49" s="382" t="s">
        <v>1121</v>
      </c>
    </row>
    <row r="50" spans="1:7" s="336" customFormat="1">
      <c r="A50" s="352" t="s">
        <v>1122</v>
      </c>
      <c r="B50" s="353" t="s">
        <v>1123</v>
      </c>
      <c r="C50" s="377"/>
      <c r="D50" s="377"/>
      <c r="E50" s="377"/>
      <c r="F50" s="412">
        <f>IF('数据-取费表'!B24=0,'数据-取费表'!N16,1)</f>
        <v>0.75</v>
      </c>
      <c r="G50" s="396"/>
    </row>
    <row r="51" spans="1:7" ht="16.5" customHeight="1">
      <c r="A51" s="352" t="s">
        <v>1125</v>
      </c>
      <c r="B51" s="353" t="s">
        <v>1513</v>
      </c>
      <c r="C51" s="377">
        <f ca="1">ROUND(C49*F50,0)</f>
        <v>1526498</v>
      </c>
      <c r="D51" s="377"/>
      <c r="E51" s="377"/>
      <c r="F51" s="412"/>
      <c r="G51" s="382" t="s">
        <v>1127</v>
      </c>
    </row>
    <row r="52" spans="1:7" s="333" customFormat="1" ht="15.75">
      <c r="A52" s="413" t="s">
        <v>1128</v>
      </c>
      <c r="B52" s="414"/>
      <c r="C52" s="415">
        <f ca="1">C31+C51</f>
        <v>1607637</v>
      </c>
      <c r="D52" s="414"/>
      <c r="E52" s="414"/>
      <c r="F52" s="414"/>
      <c r="G52" s="416"/>
    </row>
    <row r="55" spans="1:7" ht="15">
      <c r="B55" s="417" t="s">
        <v>1129</v>
      </c>
      <c r="C55" s="418"/>
    </row>
    <row r="56" spans="1:7">
      <c r="B56" s="419" t="s">
        <v>1130</v>
      </c>
      <c r="C56" s="421">
        <f ca="1">1-C57</f>
        <v>5.0000000000000044E-2</v>
      </c>
    </row>
    <row r="57" spans="1:7">
      <c r="B57" s="419" t="s">
        <v>1131</v>
      </c>
      <c r="C57" s="420">
        <f ca="1">ROUND(C51/C52,3)</f>
        <v>0.95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25" sqref="M25"/>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23</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310.52550000000002</v>
      </c>
      <c r="C2" s="1812" t="s">
        <v>1188</v>
      </c>
      <c r="D2" s="1813">
        <f ca="1">C40+J29+L46</f>
        <v>3105255</v>
      </c>
      <c r="E2" s="1814" t="s">
        <v>1492</v>
      </c>
      <c r="F2" s="1815"/>
      <c r="G2" s="1816"/>
      <c r="H2" s="1817"/>
      <c r="I2" s="1817"/>
      <c r="J2" s="1817"/>
      <c r="K2" s="1818"/>
      <c r="L2" s="1817"/>
      <c r="M2" s="1817"/>
    </row>
    <row r="3" spans="1:37" ht="18" customHeight="1">
      <c r="A3" s="1819" t="s">
        <v>1189</v>
      </c>
      <c r="B3" s="1820">
        <f ca="1">IF(ISERROR(D2/F43),0,ROUND(D2/F43,0))</f>
        <v>10491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237985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237688</v>
      </c>
      <c r="D6" s="1836" t="s">
        <v>1493</v>
      </c>
      <c r="E6" s="1837" t="s">
        <v>1201</v>
      </c>
      <c r="F6" s="1838">
        <f ca="1">INDIRECT("'数据-取费表'!u"&amp;$G$1)</f>
        <v>2.5</v>
      </c>
      <c r="G6" s="551"/>
      <c r="H6" s="1834" t="s">
        <v>946</v>
      </c>
      <c r="I6" s="3364" t="s">
        <v>1199</v>
      </c>
      <c r="J6" s="1839">
        <f ca="1">ROUND(M6*M8*M7*(1-M9),0)</f>
        <v>0</v>
      </c>
      <c r="K6" s="1840" t="s">
        <v>1494</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296</v>
      </c>
      <c r="G7" s="551"/>
      <c r="H7" s="1845"/>
      <c r="I7" s="3365"/>
      <c r="J7" s="1846"/>
      <c r="K7" s="1843"/>
      <c r="L7" s="1837" t="s">
        <v>1203</v>
      </c>
      <c r="M7" s="1838">
        <f ca="1">F7</f>
        <v>296</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297</v>
      </c>
      <c r="D10" s="1851" t="s">
        <v>1207</v>
      </c>
      <c r="E10" s="1848" t="s">
        <v>1208</v>
      </c>
      <c r="F10" s="1852" t="s">
        <v>1495</v>
      </c>
      <c r="G10" s="551"/>
      <c r="H10" s="1834" t="s">
        <v>950</v>
      </c>
      <c r="I10" s="1850" t="s">
        <v>1206</v>
      </c>
      <c r="J10" s="1839">
        <f ca="1">ROUND(IF(M10="押一",J6/12*M11,IF(M10="押二",J6/12*2*M11,IF(M10="押三",J6/12*3*M11,J11*M11))),0)</f>
        <v>0</v>
      </c>
      <c r="K10" s="1853" t="s">
        <v>1496</v>
      </c>
      <c r="L10" s="1848" t="s">
        <v>1208</v>
      </c>
      <c r="M10" s="1852"/>
    </row>
    <row r="11" spans="1:37" ht="18" customHeight="1">
      <c r="A11" s="1854"/>
      <c r="B11" s="1855" t="s">
        <v>1497</v>
      </c>
      <c r="C11" s="1856"/>
      <c r="D11" s="1843"/>
      <c r="E11" s="1848" t="s">
        <v>1210</v>
      </c>
      <c r="F11" s="1849">
        <f ca="1">'数据-取费表'!B39</f>
        <v>1.4999999999999999E-2</v>
      </c>
      <c r="G11" s="551"/>
      <c r="H11" s="1857"/>
      <c r="I11" s="1855" t="s">
        <v>1498</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1526498</v>
      </c>
      <c r="D13" s="1871" t="s">
        <v>1213</v>
      </c>
      <c r="E13" s="1871" t="s">
        <v>1214</v>
      </c>
      <c r="F13" s="1872">
        <f ca="1">INDIRECT("'数据-取费表'!y"&amp;$G$1)</f>
        <v>0.75</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1332000</v>
      </c>
      <c r="D14" s="1879" t="s">
        <v>1216</v>
      </c>
      <c r="E14" s="1880"/>
      <c r="F14" s="1881"/>
      <c r="G14" s="551"/>
      <c r="H14" s="1877" t="s">
        <v>946</v>
      </c>
      <c r="I14" s="1837" t="s">
        <v>1217</v>
      </c>
      <c r="J14" s="994">
        <f ca="1">C29</f>
        <v>2035331</v>
      </c>
      <c r="K14" s="1882"/>
      <c r="L14" s="1883"/>
      <c r="M14" s="1884"/>
    </row>
    <row r="15" spans="1:37" s="1799" customFormat="1" ht="18" customHeight="1">
      <c r="A15" s="1877" t="s">
        <v>973</v>
      </c>
      <c r="B15" s="1837" t="s">
        <v>1146</v>
      </c>
      <c r="C15" s="994">
        <f ca="1">ROUND(C14*F15,0)</f>
        <v>106560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4071</v>
      </c>
      <c r="K16" s="1874" t="s">
        <v>1222</v>
      </c>
      <c r="L16" s="1893"/>
      <c r="M16" s="1833"/>
    </row>
    <row r="17" spans="1:37" s="1799" customFormat="1" ht="18" customHeight="1">
      <c r="A17" s="1877" t="s">
        <v>1223</v>
      </c>
      <c r="B17" s="1837" t="s">
        <v>1224</v>
      </c>
      <c r="C17" s="994">
        <f ca="1">ROUND(F17*(F43+INDIRECT("'数据-取费表'!S"&amp;$G$1)),0)</f>
        <v>59200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26640</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1524400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45732</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4071</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49145</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-4071</v>
      </c>
      <c r="K25" s="1914" t="s">
        <v>1260</v>
      </c>
      <c r="L25" s="1915"/>
      <c r="M25" s="1916"/>
    </row>
    <row r="26" spans="1:37" ht="18" customHeight="1">
      <c r="A26" s="1877" t="s">
        <v>969</v>
      </c>
      <c r="B26" s="1837" t="s">
        <v>1261</v>
      </c>
      <c r="C26" s="994">
        <f ca="1">ROUND((C19+C20)*F26,0)</f>
        <v>235520</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2035331</v>
      </c>
      <c r="D29" s="1912"/>
      <c r="E29" s="1864"/>
      <c r="F29" s="1921"/>
      <c r="G29" s="1887"/>
      <c r="H29" s="1922" t="s">
        <v>1276</v>
      </c>
      <c r="I29" s="1923" t="s">
        <v>1277</v>
      </c>
      <c r="J29" s="1924">
        <f ca="1">ROUND(J26/(1+F40)^F41,0)</f>
        <v>0</v>
      </c>
      <c r="K29" s="1925" t="s">
        <v>1278</v>
      </c>
      <c r="L29" s="1926"/>
      <c r="M29" s="1927">
        <f ca="1">INDIRECT("'数据-取费表'!k"&amp;$G$1)</f>
        <v>296</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46628</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39841</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12677</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27164</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4071</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1526</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1190</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191357</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2950978</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23</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9970</v>
      </c>
      <c r="D43" s="1925" t="s">
        <v>1283</v>
      </c>
      <c r="E43" s="1926" t="s">
        <v>1284</v>
      </c>
      <c r="F43" s="1927">
        <f ca="1">INDIRECT("'数据-取费表'!k"&amp;$G$1)</f>
        <v>296</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1499</v>
      </c>
      <c r="B45" s="1943"/>
      <c r="C45" s="1947">
        <f ca="1">ROUND((C68-C40)/10000,4)</f>
        <v>-302.30399999999997</v>
      </c>
      <c r="D45" s="1948" t="s">
        <v>1500</v>
      </c>
      <c r="E45" s="1943"/>
      <c r="F45" s="1943"/>
      <c r="O45" s="1949" t="s">
        <v>1285</v>
      </c>
      <c r="P45" s="1942"/>
      <c r="Q45" s="1942"/>
      <c r="R45" s="1942"/>
    </row>
    <row r="46" spans="1:18" s="551" customFormat="1">
      <c r="A46" s="1950" t="s">
        <v>1286</v>
      </c>
      <c r="C46" s="1951">
        <f ca="1">ROUND(C45,0)</f>
        <v>-302</v>
      </c>
      <c r="D46" s="1952" t="str">
        <f>C2</f>
        <v>万元</v>
      </c>
      <c r="I46" s="1953" t="s">
        <v>1287</v>
      </c>
      <c r="J46" s="1954"/>
      <c r="K46" s="1955"/>
      <c r="L46" s="1956">
        <f ca="1">IF(M47="住宅",0,IF(L48&gt;J51,L60,J60))</f>
        <v>154277</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2950978</v>
      </c>
      <c r="R47" s="1971" t="s">
        <v>1295</v>
      </c>
    </row>
    <row r="48" spans="1:18" s="551" customFormat="1" ht="27.75">
      <c r="A48" s="1972" t="s">
        <v>1296</v>
      </c>
      <c r="B48" s="1829" t="s">
        <v>1197</v>
      </c>
      <c r="C48" s="995">
        <f ca="1">C49+C53+C55</f>
        <v>0</v>
      </c>
      <c r="D48" s="1973"/>
      <c r="E48" s="1974"/>
      <c r="F48" s="1975"/>
      <c r="G48" s="1963"/>
      <c r="H48" s="1976"/>
      <c r="I48" s="1977" t="s">
        <v>1297</v>
      </c>
      <c r="J48" s="1978" t="s">
        <v>1501</v>
      </c>
      <c r="K48" s="1979" t="s">
        <v>1298</v>
      </c>
      <c r="L48" s="1980">
        <f ca="1">INDIRECT("'数据-取费表'!f"&amp;$G$1)</f>
        <v>23</v>
      </c>
      <c r="O48" s="1969" t="s">
        <v>1054</v>
      </c>
      <c r="P48" s="1970" t="s">
        <v>1299</v>
      </c>
      <c r="Q48" s="1971">
        <f ca="1">J60</f>
        <v>154277</v>
      </c>
      <c r="R48" s="1971" t="s">
        <v>1300</v>
      </c>
    </row>
    <row r="49" spans="1:18" s="551" customFormat="1">
      <c r="A49" s="1981" t="s">
        <v>1301</v>
      </c>
      <c r="B49" s="1982" t="s">
        <v>1302</v>
      </c>
      <c r="C49" s="1983">
        <f ca="1">ROUND(F49*F51*F50*(1-F52),0)</f>
        <v>0</v>
      </c>
      <c r="D49" s="1984" t="s">
        <v>1502</v>
      </c>
      <c r="E49" s="1985" t="s">
        <v>1303</v>
      </c>
      <c r="F49" s="1986"/>
      <c r="H49" s="1976"/>
      <c r="I49" s="1977" t="s">
        <v>1304</v>
      </c>
      <c r="J49" s="1987">
        <f>'数据-取费表'!N17</f>
        <v>2010</v>
      </c>
      <c r="K49" s="1979" t="s">
        <v>1305</v>
      </c>
      <c r="L49" s="1988"/>
      <c r="O49" s="1989" t="s">
        <v>1306</v>
      </c>
      <c r="P49" s="1970" t="s">
        <v>1307</v>
      </c>
      <c r="Q49" s="1971">
        <f ca="1">C29</f>
        <v>2035331</v>
      </c>
      <c r="R49" s="1971" t="s">
        <v>1295</v>
      </c>
    </row>
    <row r="50" spans="1:18" s="551" customFormat="1">
      <c r="A50" s="1990"/>
      <c r="B50" s="925"/>
      <c r="C50" s="1991"/>
      <c r="D50" s="1992"/>
      <c r="E50" s="1993" t="s">
        <v>1203</v>
      </c>
      <c r="F50" s="1994">
        <f ca="1">F7</f>
        <v>296</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45</v>
      </c>
      <c r="K51" s="2001" t="s">
        <v>1313</v>
      </c>
      <c r="L51" s="2002">
        <f ca="1">ROUND(-PV(INDIRECT("'数据-取费表'!h"&amp;$G$1),J51,(C39-C13*C76),0),0)</f>
        <v>1773268</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23</v>
      </c>
      <c r="R52" s="1971" t="s">
        <v>1320</v>
      </c>
    </row>
    <row r="53" spans="1:18" s="551" customFormat="1" ht="30.75" customHeight="1">
      <c r="A53" s="2007" t="s">
        <v>1321</v>
      </c>
      <c r="B53" s="1900" t="s">
        <v>1206</v>
      </c>
      <c r="C53" s="993">
        <f ca="1">ROUND(IF(F53="押一",C49/12*F11,IF(F53="押二",C49/12*2*F11,IF(F53="押三",C49/12*3*F11,C54*F11))),0)</f>
        <v>0</v>
      </c>
      <c r="D53" s="1851" t="s">
        <v>1503</v>
      </c>
      <c r="E53" s="1848" t="s">
        <v>1208</v>
      </c>
      <c r="F53" s="1852"/>
      <c r="I53" s="2008" t="s">
        <v>1322</v>
      </c>
      <c r="J53" s="2009">
        <f ca="1">IF(M47="住宅",IF(D1="——",MAX(J51,L48),MAX(J51,L48-'数据-取费表'!B24)),IF(D1="——",MIN(J51,L48),MIN(J51,L48-'数据-取费表'!B24)))</f>
        <v>23</v>
      </c>
      <c r="K53" s="3362" t="s">
        <v>1323</v>
      </c>
      <c r="L53" s="3363"/>
      <c r="O53" s="1969" t="s">
        <v>1148</v>
      </c>
      <c r="P53" s="1970" t="s">
        <v>1324</v>
      </c>
      <c r="Q53" s="1971">
        <f ca="1">Q47+Q48</f>
        <v>3105255</v>
      </c>
      <c r="R53" s="1971" t="s">
        <v>1325</v>
      </c>
    </row>
    <row r="54" spans="1:18" s="551" customFormat="1">
      <c r="A54" s="1981"/>
      <c r="B54" s="2010" t="s">
        <v>1498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0.36699999999999999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1526498</v>
      </c>
      <c r="D56" s="2021"/>
      <c r="E56" s="2022"/>
      <c r="F56" s="2012"/>
      <c r="I56" s="2023" t="s">
        <v>1329</v>
      </c>
      <c r="J56" s="2024" t="s">
        <v>537</v>
      </c>
      <c r="K56" s="1977" t="s">
        <v>1330</v>
      </c>
      <c r="L56" s="1980" t="str">
        <f ca="1">IF(L48&lt;J51,"——",L48-J51)</f>
        <v>——</v>
      </c>
      <c r="O56" s="1969" t="s">
        <v>1051</v>
      </c>
      <c r="P56" s="1970" t="s">
        <v>1294</v>
      </c>
      <c r="Q56" s="1971">
        <f ca="1">C40+J29</f>
        <v>2950978</v>
      </c>
      <c r="R56" s="1971" t="s">
        <v>1295</v>
      </c>
    </row>
    <row r="57" spans="1:18" s="551" customFormat="1" ht="24">
      <c r="A57" s="2025"/>
      <c r="B57" s="2026" t="s">
        <v>1275</v>
      </c>
      <c r="C57" s="387">
        <f ca="1">C29</f>
        <v>2035331</v>
      </c>
      <c r="D57" s="2027"/>
      <c r="E57" s="2028"/>
      <c r="F57" s="2029"/>
      <c r="I57" s="2030" t="s">
        <v>1331</v>
      </c>
      <c r="J57" s="2031">
        <f ca="1">IF(OR(M47="住宅",J51&lt;L48,J56="是"),"——",J51-L48)</f>
        <v>22</v>
      </c>
      <c r="K57" s="1977" t="s">
        <v>1504</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5597</v>
      </c>
      <c r="D58" s="2033" t="s">
        <v>1222</v>
      </c>
      <c r="E58" s="2034"/>
      <c r="F58" s="1975"/>
      <c r="I58" s="2030" t="s">
        <v>1335</v>
      </c>
      <c r="J58" s="2035">
        <f ca="1">IF(J55&lt;0.4,0.4,J55)</f>
        <v>0.4</v>
      </c>
      <c r="K58" s="2001" t="s">
        <v>1505</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814132</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154277</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2950978</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4071</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1526</v>
      </c>
      <c r="D65" s="2037" t="s">
        <v>1252</v>
      </c>
      <c r="E65" s="2026" t="s">
        <v>1219</v>
      </c>
      <c r="F65" s="1909">
        <f t="shared" ca="1" si="0"/>
        <v>1E-3</v>
      </c>
      <c r="I65" s="2043" t="s">
        <v>1353</v>
      </c>
      <c r="J65" s="1205">
        <v>40</v>
      </c>
      <c r="K65" s="1205">
        <v>30</v>
      </c>
      <c r="L65" s="1205">
        <v>50</v>
      </c>
      <c r="M65" s="2047">
        <v>0.02</v>
      </c>
      <c r="O65" s="1969" t="s">
        <v>1051</v>
      </c>
      <c r="P65" s="1970" t="s">
        <v>1294</v>
      </c>
      <c r="Q65" s="1971">
        <f ca="1">C40+J29</f>
        <v>2950978</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-5597</v>
      </c>
      <c r="D67" s="2036" t="s">
        <v>1260</v>
      </c>
      <c r="E67" s="2049"/>
      <c r="F67" s="2050"/>
      <c r="O67" s="1989" t="s">
        <v>1306</v>
      </c>
      <c r="P67" s="1970" t="s">
        <v>1337</v>
      </c>
      <c r="Q67" s="2051">
        <f ca="1">L51</f>
        <v>1773268</v>
      </c>
      <c r="R67" s="1971" t="s">
        <v>1354</v>
      </c>
    </row>
    <row r="68" spans="1:18" s="551" customFormat="1" ht="15.75">
      <c r="A68" s="2052" t="s">
        <v>1264</v>
      </c>
      <c r="B68" s="2053" t="s">
        <v>1281</v>
      </c>
      <c r="C68" s="1839">
        <f ca="1">ROUND(C67*(1-((1+F70)/(1+F68))^F69)/(F68-F70),0)</f>
        <v>-72062</v>
      </c>
      <c r="D68" s="2042" t="s">
        <v>1266</v>
      </c>
      <c r="E68" s="2026" t="s">
        <v>1267</v>
      </c>
      <c r="F68" s="1847">
        <f ca="1">F40</f>
        <v>5.5E-2</v>
      </c>
      <c r="O68" s="1989" t="s">
        <v>1310</v>
      </c>
      <c r="P68" s="2054" t="s">
        <v>1355</v>
      </c>
      <c r="Q68" s="1971">
        <f ca="1">ROUND(Q69-Q70*Q71,0)</f>
        <v>99767</v>
      </c>
      <c r="R68" s="1971" t="s">
        <v>1356</v>
      </c>
    </row>
    <row r="69" spans="1:18" s="551" customFormat="1">
      <c r="A69" s="2055"/>
      <c r="B69" s="2056"/>
      <c r="C69" s="1846"/>
      <c r="D69" s="2057" t="s">
        <v>1270</v>
      </c>
      <c r="E69" s="2026" t="s">
        <v>1271</v>
      </c>
      <c r="F69" s="1919">
        <f ca="1">F41</f>
        <v>23</v>
      </c>
      <c r="O69" s="1989" t="s">
        <v>1357</v>
      </c>
      <c r="P69" s="2054" t="s">
        <v>1358</v>
      </c>
      <c r="Q69" s="1971">
        <f ca="1">C39</f>
        <v>191357</v>
      </c>
      <c r="R69" s="1971" t="s">
        <v>1295</v>
      </c>
    </row>
    <row r="70" spans="1:18" s="551" customFormat="1">
      <c r="A70" s="2058"/>
      <c r="B70" s="2059"/>
      <c r="C70" s="1870"/>
      <c r="D70" s="2046"/>
      <c r="E70" s="2026" t="s">
        <v>1274</v>
      </c>
      <c r="F70" s="2004"/>
      <c r="O70" s="1989" t="s">
        <v>1359</v>
      </c>
      <c r="P70" s="2054" t="s">
        <v>1360</v>
      </c>
      <c r="Q70" s="1971">
        <f ca="1">C13</f>
        <v>1526498</v>
      </c>
      <c r="R70" s="1971" t="s">
        <v>1295</v>
      </c>
    </row>
    <row r="71" spans="1:18" s="551" customFormat="1">
      <c r="A71" s="2060" t="s">
        <v>1276</v>
      </c>
      <c r="B71" s="2061" t="s">
        <v>1282</v>
      </c>
      <c r="C71" s="1924">
        <f ca="1">ROUND(C68/F71,0)</f>
        <v>-243</v>
      </c>
      <c r="D71" s="2062" t="s">
        <v>1283</v>
      </c>
      <c r="E71" s="2063" t="s">
        <v>1284</v>
      </c>
      <c r="F71" s="1927">
        <f ca="1">F43</f>
        <v>296</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91590</v>
      </c>
      <c r="D75" s="551"/>
      <c r="E75" s="551"/>
      <c r="F75" s="551"/>
      <c r="K75" s="1945"/>
      <c r="L75" s="551"/>
      <c r="O75" s="1969" t="s">
        <v>1148</v>
      </c>
      <c r="P75" s="1970" t="s">
        <v>1324</v>
      </c>
      <c r="Q75" s="1971">
        <f ca="1">Q65+Q66</f>
        <v>2950978</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0.52100000000000002</v>
      </c>
    </row>
    <row r="80" spans="1:18">
      <c r="B80" s="2065" t="s">
        <v>1370</v>
      </c>
      <c r="C80" s="420">
        <f ca="1">ROUND(C75/C39,3)</f>
        <v>0.47899999999999998</v>
      </c>
    </row>
    <row r="81" spans="2:3">
      <c r="B81" s="417" t="s">
        <v>1371</v>
      </c>
      <c r="C81" s="387"/>
    </row>
    <row r="82" spans="2:3">
      <c r="B82" s="419" t="s">
        <v>1130</v>
      </c>
      <c r="C82" s="421">
        <f ca="1">1-C83</f>
        <v>0.48299999999999998</v>
      </c>
    </row>
    <row r="83" spans="2:3">
      <c r="B83" s="419" t="s">
        <v>1131</v>
      </c>
      <c r="C83" s="420">
        <f ca="1">ROUND(C13/C40,3)</f>
        <v>0.51700000000000002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1514</v>
      </c>
      <c r="B1" s="1634"/>
      <c r="C1" s="1635"/>
      <c r="D1" s="1635"/>
      <c r="E1" s="1636"/>
      <c r="F1" s="1637"/>
      <c r="G1" s="1638"/>
      <c r="J1" s="1639" t="s">
        <v>1515</v>
      </c>
      <c r="K1" s="1640"/>
      <c r="L1" s="1640"/>
      <c r="M1" s="1640"/>
      <c r="N1" s="1640"/>
      <c r="O1" s="1640"/>
      <c r="P1" s="1640"/>
      <c r="Q1" s="1640"/>
      <c r="R1" s="1641"/>
      <c r="S1" s="1642"/>
      <c r="T1" s="1642"/>
      <c r="U1" s="1642"/>
    </row>
    <row r="2" spans="1:22" s="1627" customFormat="1" ht="13.15" customHeight="1">
      <c r="A2" s="1643" t="s">
        <v>1187</v>
      </c>
      <c r="B2" s="1644" t="e">
        <f>IF(D2="——",C40,C40+E2)</f>
        <v>#DIV/0!</v>
      </c>
      <c r="C2" s="1635" t="s">
        <v>1188</v>
      </c>
      <c r="D2" s="1645" t="s">
        <v>1516</v>
      </c>
      <c r="E2" s="1646"/>
      <c r="F2" s="1647"/>
      <c r="G2" s="1648"/>
      <c r="H2" s="1649"/>
      <c r="I2" s="1650"/>
      <c r="J2" s="3428" t="s">
        <v>1517</v>
      </c>
      <c r="K2" s="3429"/>
      <c r="L2" s="1651" t="s">
        <v>1518</v>
      </c>
      <c r="M2" s="1651" t="s">
        <v>1519</v>
      </c>
      <c r="N2" s="1651" t="s">
        <v>1520</v>
      </c>
      <c r="O2" s="1651" t="s">
        <v>1521</v>
      </c>
      <c r="P2" s="1651" t="s">
        <v>1522</v>
      </c>
      <c r="Q2" s="1652" t="s">
        <v>1523</v>
      </c>
      <c r="R2" s="1653" t="s">
        <v>1524</v>
      </c>
      <c r="S2" s="1642"/>
      <c r="T2" s="1642"/>
      <c r="U2" s="1642"/>
      <c r="V2" s="1650"/>
    </row>
    <row r="3" spans="1:22" s="1627" customFormat="1" ht="13.15" customHeight="1">
      <c r="A3" s="1654" t="s">
        <v>1189</v>
      </c>
      <c r="B3" s="1655" t="e">
        <f>ROUND(B2*10000/B4,0)</f>
        <v>#DIV/0!</v>
      </c>
      <c r="C3" s="1635" t="s">
        <v>1190</v>
      </c>
      <c r="D3" s="1635"/>
      <c r="E3" s="1656"/>
      <c r="F3" s="1647"/>
      <c r="G3" s="1648"/>
      <c r="H3" s="1649"/>
      <c r="I3" s="1650"/>
      <c r="J3" s="3430" t="s">
        <v>1525</v>
      </c>
      <c r="K3" s="3431"/>
      <c r="L3" s="1657"/>
      <c r="M3" s="1657"/>
      <c r="N3" s="1657"/>
      <c r="O3" s="1657"/>
      <c r="P3" s="1657"/>
      <c r="Q3" s="1658"/>
      <c r="R3" s="1659">
        <f>SUM(L3:Q3)</f>
        <v>0</v>
      </c>
      <c r="S3" s="1642"/>
      <c r="T3" s="1642"/>
      <c r="U3" s="1642"/>
      <c r="V3" s="1650"/>
    </row>
    <row r="4" spans="1:22" s="1627" customFormat="1" ht="13.15" customHeight="1">
      <c r="A4" s="1660" t="s">
        <v>1526</v>
      </c>
      <c r="B4" s="1661"/>
      <c r="C4" s="1635"/>
      <c r="D4" s="1635"/>
      <c r="E4" s="1656"/>
      <c r="F4" s="1647"/>
      <c r="G4" s="1648"/>
      <c r="H4" s="1649"/>
      <c r="I4" s="1650"/>
      <c r="J4" s="3430" t="s">
        <v>1527</v>
      </c>
      <c r="K4" s="3431"/>
      <c r="L4" s="1662"/>
      <c r="M4" s="1662"/>
      <c r="N4" s="1662"/>
      <c r="O4" s="1662"/>
      <c r="P4" s="1662"/>
      <c r="Q4" s="1663"/>
      <c r="R4" s="1664">
        <f>SUM(L4:Q4)</f>
        <v>0</v>
      </c>
      <c r="S4" s="1642"/>
      <c r="T4" s="1642"/>
      <c r="U4" s="1642"/>
      <c r="V4" s="1650"/>
    </row>
    <row r="5" spans="1:22" s="1627" customFormat="1" ht="13.15" customHeight="1">
      <c r="A5" s="1665" t="s">
        <v>1528</v>
      </c>
      <c r="B5" s="1666"/>
      <c r="C5" s="1635"/>
      <c r="D5" s="1667"/>
      <c r="E5" s="1647"/>
      <c r="F5" s="1647"/>
      <c r="G5" s="1648"/>
      <c r="H5" s="1649"/>
      <c r="I5" s="1650"/>
      <c r="J5" s="1668" t="s">
        <v>1529</v>
      </c>
      <c r="K5" s="1669"/>
      <c r="L5" s="1669"/>
      <c r="M5" s="1670"/>
      <c r="N5" s="1670"/>
      <c r="O5" s="1670"/>
      <c r="P5" s="1670"/>
      <c r="Q5" s="1670"/>
      <c r="R5" s="1653">
        <f>SUM(R14,R19,R24,R25,R27,R28)</f>
        <v>0</v>
      </c>
      <c r="S5" s="1642"/>
      <c r="T5" s="1642" t="s">
        <v>1530</v>
      </c>
      <c r="U5" s="1642" t="e">
        <f>ROUND(R5*10000/365/R3,1)</f>
        <v>#DIV/0!</v>
      </c>
      <c r="V5" s="1650"/>
    </row>
    <row r="6" spans="1:22" s="1627" customFormat="1" ht="13.15" customHeight="1">
      <c r="A6" s="3432" t="s">
        <v>1531</v>
      </c>
      <c r="B6" s="3433"/>
      <c r="C6" s="3434"/>
      <c r="D6" s="1671"/>
      <c r="E6" s="1672"/>
      <c r="F6" s="1673"/>
      <c r="G6" s="1674"/>
      <c r="H6" s="1649"/>
      <c r="I6" s="1650"/>
      <c r="J6" s="3441">
        <v>1</v>
      </c>
      <c r="K6" s="3444" t="s">
        <v>1532</v>
      </c>
      <c r="L6" s="1676" t="s">
        <v>1533</v>
      </c>
      <c r="M6" s="1677" t="s">
        <v>1534</v>
      </c>
      <c r="N6" s="1677" t="s">
        <v>1535</v>
      </c>
      <c r="O6" s="1677" t="s">
        <v>1536</v>
      </c>
      <c r="P6" s="1677" t="s">
        <v>1537</v>
      </c>
      <c r="Q6" s="1677" t="s">
        <v>1538</v>
      </c>
      <c r="R6" s="1659" t="s">
        <v>1539</v>
      </c>
      <c r="S6" s="1642"/>
      <c r="T6" s="1642" t="s">
        <v>1540</v>
      </c>
      <c r="U6" s="1642"/>
      <c r="V6" s="1650"/>
    </row>
    <row r="7" spans="1:22" s="1627" customFormat="1" ht="13.15" customHeight="1">
      <c r="A7" s="1678" t="s">
        <v>1541</v>
      </c>
      <c r="B7" s="1679"/>
      <c r="C7" s="1680"/>
      <c r="D7" s="1681">
        <f>SUM(D9,D10,D11,D17,0)</f>
        <v>0</v>
      </c>
      <c r="E7" s="1682" t="e">
        <f>E9+E10+E11+E17</f>
        <v>#DIV/0!</v>
      </c>
      <c r="F7" s="1683"/>
      <c r="G7" s="1684"/>
      <c r="H7" s="1649"/>
      <c r="I7" s="1650"/>
      <c r="J7" s="3441"/>
      <c r="K7" s="3445"/>
      <c r="L7" s="1685" t="s">
        <v>1542</v>
      </c>
      <c r="M7" s="1686"/>
      <c r="N7" s="1661"/>
      <c r="O7" s="1687"/>
      <c r="P7" s="1687"/>
      <c r="Q7" s="1688">
        <v>365</v>
      </c>
      <c r="R7" s="1689">
        <f>ROUND(M7*N7*O7*P7*Q7/10000,0)</f>
        <v>0</v>
      </c>
      <c r="S7" s="1642"/>
      <c r="T7" s="1642" t="s">
        <v>1543</v>
      </c>
      <c r="U7" s="1642"/>
      <c r="V7" s="1650"/>
    </row>
    <row r="8" spans="1:22" s="1627" customFormat="1" ht="13.15" customHeight="1">
      <c r="A8" s="1690" t="s">
        <v>1544</v>
      </c>
      <c r="B8" s="3435" t="s">
        <v>1545</v>
      </c>
      <c r="C8" s="3436"/>
      <c r="D8" s="1693" t="s">
        <v>1546</v>
      </c>
      <c r="E8" s="1694" t="s">
        <v>1547</v>
      </c>
      <c r="F8" s="1695" t="s">
        <v>1548</v>
      </c>
      <c r="G8" s="1696"/>
      <c r="H8" s="1649"/>
      <c r="I8" s="1650"/>
      <c r="J8" s="3441"/>
      <c r="K8" s="3445"/>
      <c r="L8" s="1685" t="s">
        <v>1549</v>
      </c>
      <c r="M8" s="1686"/>
      <c r="N8" s="1661"/>
      <c r="O8" s="1687"/>
      <c r="P8" s="1687"/>
      <c r="Q8" s="1688">
        <v>365</v>
      </c>
      <c r="R8" s="1689">
        <f t="shared" ref="R8:R13" si="0">ROUND(M8*N8*O8*P8*Q8/10000,0)</f>
        <v>0</v>
      </c>
      <c r="S8" s="1642"/>
      <c r="T8" s="1642" t="s">
        <v>1550</v>
      </c>
      <c r="U8" s="1642"/>
      <c r="V8" s="1650"/>
    </row>
    <row r="9" spans="1:22" s="1627" customFormat="1" ht="13.15" customHeight="1">
      <c r="A9" s="1690">
        <v>1</v>
      </c>
      <c r="B9" s="3435" t="s">
        <v>1551</v>
      </c>
      <c r="C9" s="3436"/>
      <c r="D9" s="1693">
        <f>ROUND(D6*E9,0)</f>
        <v>0</v>
      </c>
      <c r="E9" s="1697"/>
      <c r="F9" s="1698" t="s">
        <v>1552</v>
      </c>
      <c r="G9" s="1674"/>
      <c r="H9" s="1649"/>
      <c r="I9" s="1650"/>
      <c r="J9" s="3441"/>
      <c r="K9" s="3445"/>
      <c r="L9" s="1685" t="s">
        <v>1553</v>
      </c>
      <c r="M9" s="1686"/>
      <c r="N9" s="1661"/>
      <c r="O9" s="1687"/>
      <c r="P9" s="1687"/>
      <c r="Q9" s="1688">
        <v>365</v>
      </c>
      <c r="R9" s="1689">
        <f t="shared" si="0"/>
        <v>0</v>
      </c>
      <c r="S9" s="1642"/>
      <c r="T9" s="1642"/>
      <c r="U9" s="1642"/>
      <c r="V9" s="1650"/>
    </row>
    <row r="10" spans="1:22" s="1627" customFormat="1" ht="13.15" customHeight="1">
      <c r="A10" s="1690">
        <v>2</v>
      </c>
      <c r="B10" s="3435" t="s">
        <v>1554</v>
      </c>
      <c r="C10" s="3436"/>
      <c r="D10" s="1693">
        <f>ROUND(D6*E10,0)</f>
        <v>0</v>
      </c>
      <c r="E10" s="1697"/>
      <c r="F10" s="1698" t="s">
        <v>1555</v>
      </c>
      <c r="G10" s="1674"/>
      <c r="H10" s="1649"/>
      <c r="I10" s="1650"/>
      <c r="J10" s="3441"/>
      <c r="K10" s="3445"/>
      <c r="L10" s="1685" t="s">
        <v>1556</v>
      </c>
      <c r="M10" s="1686"/>
      <c r="N10" s="1661"/>
      <c r="O10" s="1687"/>
      <c r="P10" s="1687"/>
      <c r="Q10" s="1688">
        <v>365</v>
      </c>
      <c r="R10" s="1689">
        <f t="shared" si="0"/>
        <v>0</v>
      </c>
      <c r="S10" s="1642"/>
      <c r="T10" s="1642"/>
      <c r="U10" s="1642"/>
      <c r="V10" s="1650"/>
    </row>
    <row r="11" spans="1:22" s="1627" customFormat="1" ht="13.15" customHeight="1">
      <c r="A11" s="1690">
        <v>3</v>
      </c>
      <c r="B11" s="3435" t="s">
        <v>1557</v>
      </c>
      <c r="C11" s="3436"/>
      <c r="D11" s="1693">
        <f>D12+D14+D15+D16</f>
        <v>0</v>
      </c>
      <c r="E11" s="1699" t="e">
        <f>D11/D6</f>
        <v>#DIV/0!</v>
      </c>
      <c r="F11" s="1695"/>
      <c r="G11" s="1696"/>
      <c r="H11" s="1649"/>
      <c r="I11" s="1650"/>
      <c r="J11" s="3441"/>
      <c r="K11" s="3445"/>
      <c r="L11" s="1685" t="s">
        <v>1558</v>
      </c>
      <c r="M11" s="1686"/>
      <c r="N11" s="1661"/>
      <c r="O11" s="1687"/>
      <c r="P11" s="1687"/>
      <c r="Q11" s="1688">
        <v>365</v>
      </c>
      <c r="R11" s="1689">
        <f t="shared" si="0"/>
        <v>0</v>
      </c>
      <c r="S11" s="1642"/>
      <c r="T11" s="1642"/>
      <c r="U11" s="1642"/>
      <c r="V11" s="1650"/>
    </row>
    <row r="12" spans="1:22" s="1627" customFormat="1" ht="13.15" customHeight="1">
      <c r="A12" s="1700" t="s">
        <v>1559</v>
      </c>
      <c r="B12" s="3437" t="s">
        <v>1560</v>
      </c>
      <c r="C12" s="3438"/>
      <c r="D12" s="1703">
        <f>ROUND(D13*1.2%*(1-30%),0)</f>
        <v>0</v>
      </c>
      <c r="E12" s="1704">
        <v>1.2E-2</v>
      </c>
      <c r="F12" s="1695" t="s">
        <v>1561</v>
      </c>
      <c r="G12" s="1696"/>
      <c r="H12" s="1649"/>
      <c r="I12" s="1650"/>
      <c r="J12" s="3441"/>
      <c r="K12" s="3445"/>
      <c r="L12" s="1685" t="s">
        <v>1562</v>
      </c>
      <c r="M12" s="1686"/>
      <c r="N12" s="1661"/>
      <c r="O12" s="1687"/>
      <c r="P12" s="1687"/>
      <c r="Q12" s="1688">
        <v>365</v>
      </c>
      <c r="R12" s="1689">
        <f t="shared" si="0"/>
        <v>0</v>
      </c>
      <c r="S12" s="1642"/>
      <c r="T12" s="1642"/>
      <c r="U12" s="1642"/>
      <c r="V12" s="1650"/>
    </row>
    <row r="13" spans="1:22" s="1627" customFormat="1" ht="13.15" customHeight="1">
      <c r="A13" s="1700"/>
      <c r="B13" s="1701"/>
      <c r="C13" s="1705" t="s">
        <v>1563</v>
      </c>
      <c r="D13" s="1706"/>
      <c r="E13" s="1707"/>
      <c r="F13" s="1695"/>
      <c r="G13" s="1696"/>
      <c r="H13" s="1649"/>
      <c r="I13" s="1650"/>
      <c r="J13" s="3441"/>
      <c r="K13" s="3445"/>
      <c r="L13" s="1685" t="s">
        <v>1564</v>
      </c>
      <c r="M13" s="1686"/>
      <c r="N13" s="1661"/>
      <c r="O13" s="1687"/>
      <c r="P13" s="1687"/>
      <c r="Q13" s="1688">
        <v>365</v>
      </c>
      <c r="R13" s="1689">
        <f t="shared" si="0"/>
        <v>0</v>
      </c>
      <c r="S13" s="1642"/>
      <c r="T13" s="1642"/>
      <c r="U13" s="1642"/>
      <c r="V13" s="1650"/>
    </row>
    <row r="14" spans="1:22" s="1627" customFormat="1" ht="13.15" customHeight="1">
      <c r="A14" s="1700" t="s">
        <v>1565</v>
      </c>
      <c r="B14" s="3437" t="s">
        <v>1566</v>
      </c>
      <c r="C14" s="3438"/>
      <c r="D14" s="1703">
        <f>ROUND(E14*B5/10000,0)</f>
        <v>0</v>
      </c>
      <c r="E14" s="1688"/>
      <c r="F14" s="1695" t="s">
        <v>1567</v>
      </c>
      <c r="G14" s="1696"/>
      <c r="H14" s="1649"/>
      <c r="I14" s="1650"/>
      <c r="J14" s="3441"/>
      <c r="K14" s="3446"/>
      <c r="L14" s="1708" t="s">
        <v>1568</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1569</v>
      </c>
      <c r="B15" s="3437" t="s">
        <v>1570</v>
      </c>
      <c r="C15" s="3438"/>
      <c r="D15" s="1703">
        <f>ROUND(D6*E15,0)</f>
        <v>0</v>
      </c>
      <c r="E15" s="1704">
        <v>5.5E-2</v>
      </c>
      <c r="F15" s="1695" t="s">
        <v>1571</v>
      </c>
      <c r="G15" s="1674"/>
      <c r="H15" s="1649"/>
      <c r="I15" s="1650"/>
      <c r="J15" s="3441">
        <v>2</v>
      </c>
      <c r="K15" s="3444" t="s">
        <v>1572</v>
      </c>
      <c r="L15" s="1685" t="s">
        <v>1573</v>
      </c>
      <c r="M15" s="1686" t="s">
        <v>1574</v>
      </c>
      <c r="N15" s="1686" t="s">
        <v>1575</v>
      </c>
      <c r="O15" s="1687" t="s">
        <v>1576</v>
      </c>
      <c r="P15" s="1687" t="s">
        <v>1538</v>
      </c>
      <c r="Q15" s="1661" t="s">
        <v>124</v>
      </c>
      <c r="R15" s="1712" t="s">
        <v>1539</v>
      </c>
      <c r="S15" s="1642"/>
      <c r="T15" s="1642"/>
      <c r="U15" s="1642"/>
      <c r="V15" s="1650"/>
    </row>
    <row r="16" spans="1:22" s="1627" customFormat="1" ht="13.15" customHeight="1">
      <c r="A16" s="1700" t="s">
        <v>1577</v>
      </c>
      <c r="B16" s="3437" t="s">
        <v>1578</v>
      </c>
      <c r="C16" s="3438"/>
      <c r="D16" s="1713">
        <f>D6*E16</f>
        <v>0</v>
      </c>
      <c r="E16" s="1714"/>
      <c r="F16" s="1698" t="s">
        <v>1579</v>
      </c>
      <c r="G16" s="1674"/>
      <c r="H16" s="1649"/>
      <c r="I16" s="1650"/>
      <c r="J16" s="3441"/>
      <c r="K16" s="3445"/>
      <c r="L16" s="1685" t="s">
        <v>1580</v>
      </c>
      <c r="M16" s="1686"/>
      <c r="N16" s="1686"/>
      <c r="O16" s="1687"/>
      <c r="P16" s="1688">
        <v>365</v>
      </c>
      <c r="Q16" s="1661"/>
      <c r="R16" s="1712">
        <f>ROUND(M16*N16*O16*P16/10000,0)</f>
        <v>0</v>
      </c>
      <c r="S16" s="1642"/>
      <c r="T16" s="1642"/>
      <c r="U16" s="1642"/>
      <c r="V16" s="1650"/>
    </row>
    <row r="17" spans="1:22" s="1627" customFormat="1" ht="13.15" customHeight="1">
      <c r="A17" s="1715">
        <v>4</v>
      </c>
      <c r="B17" s="3439" t="s">
        <v>1581</v>
      </c>
      <c r="C17" s="3440"/>
      <c r="D17" s="1716">
        <f>ROUND(D6*E17,0)</f>
        <v>0</v>
      </c>
      <c r="E17" s="1717"/>
      <c r="F17" s="1718" t="s">
        <v>1582</v>
      </c>
      <c r="G17" s="1674"/>
      <c r="H17" s="1649"/>
      <c r="I17" s="1650"/>
      <c r="J17" s="3441"/>
      <c r="K17" s="3445"/>
      <c r="L17" s="1685" t="s">
        <v>1583</v>
      </c>
      <c r="M17" s="1686"/>
      <c r="N17" s="1686"/>
      <c r="O17" s="1687"/>
      <c r="P17" s="1688">
        <v>365</v>
      </c>
      <c r="Q17" s="1661"/>
      <c r="R17" s="1712">
        <f>ROUND(M17*N17*O17*P17/10000,0)</f>
        <v>0</v>
      </c>
      <c r="S17" s="1642"/>
      <c r="T17" s="1642"/>
      <c r="U17" s="1642"/>
      <c r="V17" s="1650"/>
    </row>
    <row r="18" spans="1:22" s="1627" customFormat="1" ht="13.15" customHeight="1">
      <c r="A18" s="1678" t="s">
        <v>1584</v>
      </c>
      <c r="B18" s="1679"/>
      <c r="C18" s="1679"/>
      <c r="D18" s="1719">
        <f>ROUND(D6*E18,0)</f>
        <v>0</v>
      </c>
      <c r="E18" s="1720"/>
      <c r="F18" s="1721" t="s">
        <v>1585</v>
      </c>
      <c r="G18" s="1674"/>
      <c r="H18" s="1649"/>
      <c r="I18" s="1650"/>
      <c r="J18" s="3441"/>
      <c r="K18" s="3445"/>
      <c r="L18" s="1685" t="s">
        <v>1586</v>
      </c>
      <c r="M18" s="1686"/>
      <c r="N18" s="1686"/>
      <c r="O18" s="1687"/>
      <c r="P18" s="1688">
        <v>365</v>
      </c>
      <c r="Q18" s="1661"/>
      <c r="R18" s="1712">
        <f>ROUND(M18*N18*O18*P18/10000,0)</f>
        <v>0</v>
      </c>
      <c r="S18" s="1642"/>
      <c r="T18" s="1642"/>
      <c r="U18" s="1642"/>
      <c r="V18" s="1650"/>
    </row>
    <row r="19" spans="1:22" s="1627" customFormat="1" ht="13.15" customHeight="1">
      <c r="A19" s="1722" t="s">
        <v>1587</v>
      </c>
      <c r="B19" s="1672"/>
      <c r="C19" s="1672"/>
      <c r="D19" s="1672"/>
      <c r="E19" s="1672"/>
      <c r="F19" s="1673"/>
      <c r="G19" s="1696"/>
      <c r="H19" s="1649"/>
      <c r="I19" s="1650"/>
      <c r="J19" s="3441"/>
      <c r="K19" s="3446"/>
      <c r="L19" s="1708" t="s">
        <v>1568</v>
      </c>
      <c r="M19" s="1709"/>
      <c r="N19" s="1709">
        <f>SUM(N16:N18)</f>
        <v>0</v>
      </c>
      <c r="O19" s="1710"/>
      <c r="P19" s="1723" t="s">
        <v>1588</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1">
        <v>3</v>
      </c>
      <c r="K20" s="3444" t="s">
        <v>1589</v>
      </c>
      <c r="L20" s="1685" t="s">
        <v>1590</v>
      </c>
      <c r="M20" s="1686" t="s">
        <v>1591</v>
      </c>
      <c r="N20" s="1726" t="s">
        <v>1592</v>
      </c>
      <c r="O20" s="1687" t="s">
        <v>1593</v>
      </c>
      <c r="P20" s="1688" t="s">
        <v>1538</v>
      </c>
      <c r="Q20" s="1661" t="s">
        <v>124</v>
      </c>
      <c r="R20" s="1712" t="s">
        <v>1539</v>
      </c>
      <c r="S20" s="1642"/>
      <c r="T20" s="1642"/>
      <c r="U20" s="1642"/>
      <c r="V20" s="1650"/>
    </row>
    <row r="21" spans="1:22" s="1627" customFormat="1" ht="13.15" customHeight="1">
      <c r="A21" s="1678"/>
      <c r="B21" s="1679"/>
      <c r="C21" s="1691" t="s">
        <v>1594</v>
      </c>
      <c r="D21" s="1727" t="s">
        <v>1595</v>
      </c>
      <c r="E21" s="1692" t="s">
        <v>1596</v>
      </c>
      <c r="F21" s="1725"/>
      <c r="G21" s="1696"/>
      <c r="H21" s="1649"/>
      <c r="I21" s="1650"/>
      <c r="J21" s="3441"/>
      <c r="K21" s="3445"/>
      <c r="L21" s="1685" t="s">
        <v>1597</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1598</v>
      </c>
      <c r="D22" s="1730" t="s">
        <v>1599</v>
      </c>
      <c r="E22" s="1731" t="s">
        <v>1600</v>
      </c>
      <c r="F22" s="1725"/>
      <c r="G22" s="1642"/>
      <c r="H22" s="1649"/>
      <c r="I22" s="1650"/>
      <c r="J22" s="3441"/>
      <c r="K22" s="3445"/>
      <c r="L22" s="1685" t="s">
        <v>1601</v>
      </c>
      <c r="M22" s="1686"/>
      <c r="N22" s="1686"/>
      <c r="O22" s="1687"/>
      <c r="P22" s="1688">
        <v>365</v>
      </c>
      <c r="Q22" s="1661"/>
      <c r="R22" s="1728">
        <f>ROUND(M22*N22*O22*P22/10000,0)</f>
        <v>0</v>
      </c>
      <c r="S22" s="1642"/>
      <c r="T22" s="1642"/>
      <c r="U22" s="1642"/>
      <c r="V22" s="1650"/>
    </row>
    <row r="23" spans="1:22" s="1627" customFormat="1" ht="13.15" customHeight="1">
      <c r="A23" s="1732">
        <v>1</v>
      </c>
      <c r="B23" s="1733" t="s">
        <v>1602</v>
      </c>
      <c r="C23" s="1734">
        <f>D6</f>
        <v>0</v>
      </c>
      <c r="D23" s="1735">
        <f>C23*(1+D24)</f>
        <v>0</v>
      </c>
      <c r="E23" s="1736">
        <f>D23*(1+E24)</f>
        <v>0</v>
      </c>
      <c r="F23" s="1737"/>
      <c r="G23" s="1738"/>
      <c r="H23" s="1649"/>
      <c r="I23" s="1650"/>
      <c r="J23" s="3441"/>
      <c r="K23" s="3445"/>
      <c r="L23" s="1685" t="s">
        <v>1603</v>
      </c>
      <c r="M23" s="1686"/>
      <c r="N23" s="1686"/>
      <c r="O23" s="1687"/>
      <c r="P23" s="1688">
        <v>365</v>
      </c>
      <c r="Q23" s="1661"/>
      <c r="R23" s="1728">
        <f>ROUND(M23*N23*O23*P23/10000,0)</f>
        <v>0</v>
      </c>
      <c r="S23" s="1642"/>
      <c r="T23" s="1642"/>
      <c r="U23" s="1642"/>
      <c r="V23" s="1650"/>
    </row>
    <row r="24" spans="1:22" s="1627" customFormat="1" ht="13.15" customHeight="1">
      <c r="A24" s="1739"/>
      <c r="B24" s="1740" t="s">
        <v>1604</v>
      </c>
      <c r="C24" s="1741"/>
      <c r="D24" s="1742"/>
      <c r="E24" s="1743"/>
      <c r="F24" s="1744"/>
      <c r="G24" s="1738"/>
      <c r="H24" s="1649"/>
      <c r="I24" s="1650"/>
      <c r="J24" s="3441"/>
      <c r="K24" s="3446"/>
      <c r="L24" s="1708" t="s">
        <v>1568</v>
      </c>
      <c r="M24" s="1709">
        <f>SUM(M21:M23)</f>
        <v>0</v>
      </c>
      <c r="N24" s="1709"/>
      <c r="O24" s="1710"/>
      <c r="P24" s="1723" t="s">
        <v>1588</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1605</v>
      </c>
      <c r="L25" s="1746"/>
      <c r="M25" s="1746"/>
      <c r="N25" s="1746"/>
      <c r="O25" s="1746"/>
      <c r="P25" s="1747"/>
      <c r="Q25" s="1748">
        <v>0</v>
      </c>
      <c r="R25" s="1724">
        <f>ROUND(R14*Q25,0)</f>
        <v>0</v>
      </c>
      <c r="S25" s="1642"/>
      <c r="T25" s="1642"/>
      <c r="U25" s="1642"/>
      <c r="V25" s="1749"/>
    </row>
    <row r="26" spans="1:22" s="1628" customFormat="1" ht="13.15" customHeight="1">
      <c r="A26" s="1732">
        <v>2</v>
      </c>
      <c r="B26" s="1733" t="s">
        <v>1606</v>
      </c>
      <c r="C26" s="1734">
        <f>D7</f>
        <v>0</v>
      </c>
      <c r="D26" s="1735">
        <f>D23*D27</f>
        <v>0</v>
      </c>
      <c r="E26" s="1736">
        <f>E23*E27</f>
        <v>0</v>
      </c>
      <c r="F26" s="1737"/>
      <c r="G26" s="1738"/>
      <c r="H26" s="1649"/>
      <c r="I26" s="1650"/>
      <c r="J26" s="3442">
        <v>5</v>
      </c>
      <c r="K26" s="1750" t="s">
        <v>1607</v>
      </c>
      <c r="L26" s="1751"/>
      <c r="M26" s="1752"/>
      <c r="N26" s="1753" t="s">
        <v>507</v>
      </c>
      <c r="O26" s="1753" t="s">
        <v>1608</v>
      </c>
      <c r="P26" s="1754" t="s">
        <v>1609</v>
      </c>
      <c r="Q26" s="1754" t="s">
        <v>1610</v>
      </c>
      <c r="R26" s="1659" t="s">
        <v>1539</v>
      </c>
      <c r="S26" s="1696"/>
      <c r="T26" s="1696"/>
      <c r="U26" s="1696"/>
      <c r="V26" s="1749"/>
    </row>
    <row r="27" spans="1:22" s="1627" customFormat="1" ht="13.15" customHeight="1">
      <c r="A27" s="1739"/>
      <c r="B27" s="1740" t="s">
        <v>1611</v>
      </c>
      <c r="C27" s="1755" t="e">
        <f>E7</f>
        <v>#DIV/0!</v>
      </c>
      <c r="D27" s="1742"/>
      <c r="E27" s="1743"/>
      <c r="F27" s="1744"/>
      <c r="G27" s="1738"/>
      <c r="H27" s="1756"/>
      <c r="I27" s="1749"/>
      <c r="J27" s="3443"/>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1612</v>
      </c>
      <c r="F28" s="1744"/>
      <c r="G28" s="1642"/>
      <c r="H28" s="1756"/>
      <c r="I28" s="1749"/>
      <c r="J28" s="1762">
        <v>6</v>
      </c>
      <c r="K28" s="1763" t="s">
        <v>1613</v>
      </c>
      <c r="L28" s="1764" t="s">
        <v>1614</v>
      </c>
      <c r="M28" s="1765"/>
      <c r="N28" s="1764" t="s">
        <v>1615</v>
      </c>
      <c r="O28" s="1766"/>
      <c r="P28" s="1764" t="s">
        <v>1616</v>
      </c>
      <c r="Q28" s="1767">
        <v>1.4999999999999999E-2</v>
      </c>
      <c r="R28" s="1768"/>
      <c r="S28" s="1642"/>
      <c r="T28" s="1642"/>
      <c r="U28" s="1642"/>
      <c r="V28" s="1749"/>
    </row>
    <row r="29" spans="1:22" s="1628" customFormat="1" ht="13.15" customHeight="1">
      <c r="A29" s="1732">
        <v>3</v>
      </c>
      <c r="B29" s="1733" t="s">
        <v>1617</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1611</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1618</v>
      </c>
      <c r="K31" s="1640"/>
      <c r="L31" s="1640"/>
      <c r="M31" s="1640"/>
      <c r="N31" s="1640"/>
      <c r="O31" s="1640"/>
      <c r="P31" s="1640"/>
      <c r="Q31" s="1640"/>
      <c r="R31" s="1641"/>
      <c r="S31" s="1642"/>
      <c r="T31" s="1642"/>
      <c r="U31" s="1642"/>
      <c r="V31" s="1749"/>
    </row>
    <row r="32" spans="1:22" s="1628" customFormat="1" ht="13.15" customHeight="1">
      <c r="A32" s="1732">
        <v>4</v>
      </c>
      <c r="B32" s="1733" t="s">
        <v>1619</v>
      </c>
      <c r="C32" s="1734">
        <f>C23-C26-C29</f>
        <v>0</v>
      </c>
      <c r="D32" s="1735">
        <f>D23-D26-D29</f>
        <v>0</v>
      </c>
      <c r="E32" s="1736">
        <f>E23-E26-E29</f>
        <v>0</v>
      </c>
      <c r="F32" s="1737"/>
      <c r="G32" s="1642"/>
      <c r="H32" s="1649"/>
      <c r="I32" s="1650"/>
      <c r="J32" s="3428" t="s">
        <v>1517</v>
      </c>
      <c r="K32" s="3429"/>
      <c r="L32" s="1651" t="s">
        <v>1518</v>
      </c>
      <c r="M32" s="1651" t="s">
        <v>1519</v>
      </c>
      <c r="N32" s="1651" t="s">
        <v>1520</v>
      </c>
      <c r="O32" s="1651" t="s">
        <v>1521</v>
      </c>
      <c r="P32" s="1651" t="s">
        <v>1522</v>
      </c>
      <c r="Q32" s="1652" t="s">
        <v>1523</v>
      </c>
      <c r="R32" s="1771" t="s">
        <v>1524</v>
      </c>
      <c r="S32" s="1642"/>
      <c r="T32" s="1642"/>
      <c r="U32" s="1642"/>
      <c r="V32" s="1749"/>
    </row>
    <row r="33" spans="1:23" s="1627" customFormat="1" ht="13.15" customHeight="1">
      <c r="A33" s="1732"/>
      <c r="B33" s="1733"/>
      <c r="C33" s="1734"/>
      <c r="D33" s="1772"/>
      <c r="E33" s="1702"/>
      <c r="F33" s="1737"/>
      <c r="G33" s="1642"/>
      <c r="H33" s="1756"/>
      <c r="I33" s="1749"/>
      <c r="J33" s="3430" t="s">
        <v>1525</v>
      </c>
      <c r="K33" s="3431"/>
      <c r="L33" s="1657"/>
      <c r="M33" s="1657"/>
      <c r="N33" s="1657"/>
      <c r="O33" s="1657"/>
      <c r="P33" s="1657"/>
      <c r="Q33" s="1658"/>
      <c r="R33" s="1773">
        <f>SUM(L33:Q33)</f>
        <v>0</v>
      </c>
      <c r="S33" s="1642"/>
      <c r="T33" s="1642"/>
      <c r="U33" s="1642"/>
      <c r="V33" s="1650"/>
    </row>
    <row r="34" spans="1:23" s="1627" customFormat="1" ht="13.15" customHeight="1">
      <c r="A34" s="1732">
        <v>5</v>
      </c>
      <c r="B34" s="1733" t="s">
        <v>1620</v>
      </c>
      <c r="C34" s="1774"/>
      <c r="D34" s="1775"/>
      <c r="E34" s="1776"/>
      <c r="F34" s="1737"/>
      <c r="G34" s="1642"/>
      <c r="H34" s="1756"/>
      <c r="I34" s="1749"/>
      <c r="J34" s="3430" t="s">
        <v>1527</v>
      </c>
      <c r="K34" s="3431"/>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1621</v>
      </c>
      <c r="C35" s="1778"/>
      <c r="D35" s="1779"/>
      <c r="E35" s="1780"/>
      <c r="F35" s="1737"/>
      <c r="G35" s="1781"/>
      <c r="H35" s="1649"/>
      <c r="I35" s="1749"/>
      <c r="J35" s="1668" t="s">
        <v>1529</v>
      </c>
      <c r="K35" s="1669"/>
      <c r="L35" s="1669"/>
      <c r="M35" s="1670"/>
      <c r="N35" s="1670"/>
      <c r="O35" s="1670"/>
      <c r="P35" s="1670"/>
      <c r="Q35" s="1670"/>
      <c r="R35" s="1782">
        <f>R40+R41+R43</f>
        <v>0</v>
      </c>
      <c r="S35" s="1642"/>
      <c r="T35" s="1642" t="s">
        <v>1530</v>
      </c>
      <c r="U35" s="1642"/>
      <c r="V35" s="1650"/>
    </row>
    <row r="36" spans="1:23" s="1627" customFormat="1" ht="13.15" customHeight="1">
      <c r="A36" s="1732">
        <v>7</v>
      </c>
      <c r="B36" s="1783" t="s">
        <v>1622</v>
      </c>
      <c r="C36" s="1784"/>
      <c r="D36" s="1785"/>
      <c r="E36" s="1786"/>
      <c r="F36" s="1787">
        <f>C36+D36+E36</f>
        <v>0</v>
      </c>
      <c r="G36" s="1642"/>
      <c r="H36" s="1649"/>
      <c r="I36" s="1650"/>
      <c r="J36" s="3441">
        <v>1</v>
      </c>
      <c r="K36" s="3444" t="s">
        <v>1623</v>
      </c>
      <c r="L36" s="1676"/>
      <c r="M36" s="1677"/>
      <c r="N36" s="1677"/>
      <c r="O36" s="1677"/>
      <c r="P36" s="1677"/>
      <c r="Q36" s="1677"/>
      <c r="R36" s="1659" t="s">
        <v>1539</v>
      </c>
      <c r="S36" s="1642"/>
      <c r="T36" s="1642" t="s">
        <v>1540</v>
      </c>
      <c r="U36" s="1642"/>
      <c r="V36" s="1650"/>
    </row>
    <row r="37" spans="1:23" s="1627" customFormat="1" ht="13.15" customHeight="1">
      <c r="A37" s="1732"/>
      <c r="B37" s="1733"/>
      <c r="C37" s="1733"/>
      <c r="D37" s="1733"/>
      <c r="E37" s="1733"/>
      <c r="F37" s="1737"/>
      <c r="G37" s="1642"/>
      <c r="H37" s="1649"/>
      <c r="I37" s="1650"/>
      <c r="J37" s="3441"/>
      <c r="K37" s="3445"/>
      <c r="L37" s="1685"/>
      <c r="M37" s="1686"/>
      <c r="N37" s="1661"/>
      <c r="O37" s="1687"/>
      <c r="P37" s="1687"/>
      <c r="Q37" s="1688"/>
      <c r="R37" s="1689"/>
      <c r="S37" s="1642"/>
      <c r="T37" s="1642" t="s">
        <v>1543</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1"/>
      <c r="K38" s="3445"/>
      <c r="L38" s="1685"/>
      <c r="M38" s="1686"/>
      <c r="N38" s="1661"/>
      <c r="O38" s="1687"/>
      <c r="P38" s="1687"/>
      <c r="Q38" s="1688"/>
      <c r="R38" s="1689"/>
      <c r="S38" s="1642"/>
      <c r="T38" s="1642" t="s">
        <v>1550</v>
      </c>
      <c r="U38" s="1642"/>
      <c r="V38" s="1650"/>
    </row>
    <row r="39" spans="1:23" s="1627" customFormat="1" ht="13.15" customHeight="1">
      <c r="A39" s="1732">
        <v>9</v>
      </c>
      <c r="B39" s="1733" t="s">
        <v>1624</v>
      </c>
      <c r="C39" s="1703" t="e">
        <f>C38</f>
        <v>#DIV/0!</v>
      </c>
      <c r="D39" s="1733">
        <f>D38/(1+D34)^C36</f>
        <v>0</v>
      </c>
      <c r="E39" s="1733">
        <f>E38/(1+E34)^(C36+D36)</f>
        <v>0</v>
      </c>
      <c r="F39" s="1737"/>
      <c r="G39" s="1650"/>
      <c r="H39" s="1649"/>
      <c r="I39" s="1650"/>
      <c r="J39" s="3441"/>
      <c r="K39" s="3445"/>
      <c r="L39" s="1685"/>
      <c r="M39" s="1686"/>
      <c r="N39" s="1661"/>
      <c r="O39" s="1687"/>
      <c r="P39" s="1687"/>
      <c r="Q39" s="1688"/>
      <c r="R39" s="1689"/>
      <c r="S39" s="1642"/>
      <c r="T39" s="1642"/>
      <c r="U39" s="1642"/>
      <c r="V39" s="1650"/>
    </row>
    <row r="40" spans="1:23" s="1627" customFormat="1" ht="13.15" customHeight="1">
      <c r="A40" s="1788">
        <v>10</v>
      </c>
      <c r="B40" s="1733" t="s">
        <v>1625</v>
      </c>
      <c r="C40" s="1789" t="e">
        <f>C39+D39+E39</f>
        <v>#DIV/0!</v>
      </c>
      <c r="D40" s="1790"/>
      <c r="E40" s="1790"/>
      <c r="F40" s="1791"/>
      <c r="G40" s="1642"/>
      <c r="H40" s="1649"/>
      <c r="I40" s="1650"/>
      <c r="J40" s="3441"/>
      <c r="K40" s="3446"/>
      <c r="L40" s="1708" t="s">
        <v>1568</v>
      </c>
      <c r="M40" s="1709"/>
      <c r="N40" s="1709"/>
      <c r="O40" s="1710"/>
      <c r="P40" s="1710"/>
      <c r="Q40" s="1711"/>
      <c r="R40" s="1653">
        <f>SUM(R37:R39)</f>
        <v>0</v>
      </c>
      <c r="S40" s="1642"/>
      <c r="T40" s="1642"/>
      <c r="U40" s="1642"/>
      <c r="V40" s="1650"/>
    </row>
    <row r="41" spans="1:23" s="1627" customFormat="1" ht="13.15" customHeight="1">
      <c r="A41" s="1792">
        <v>11</v>
      </c>
      <c r="B41" s="1793" t="s">
        <v>1626</v>
      </c>
      <c r="C41" s="1793" t="e">
        <f>ROUND(C40*10000/B4,0)</f>
        <v>#DIV/0!</v>
      </c>
      <c r="D41" s="1794"/>
      <c r="E41" s="1794"/>
      <c r="F41" s="1795"/>
      <c r="G41" s="1649"/>
      <c r="H41" s="1649"/>
      <c r="I41" s="1650"/>
      <c r="J41" s="1675">
        <v>2</v>
      </c>
      <c r="K41" s="1745" t="s">
        <v>1605</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2">
        <v>3</v>
      </c>
      <c r="K42" s="1750" t="s">
        <v>1607</v>
      </c>
      <c r="L42" s="1751"/>
      <c r="M42" s="1752"/>
      <c r="N42" s="1753" t="s">
        <v>507</v>
      </c>
      <c r="O42" s="1753" t="s">
        <v>1608</v>
      </c>
      <c r="P42" s="1754" t="s">
        <v>1609</v>
      </c>
      <c r="Q42" s="1754" t="s">
        <v>1610</v>
      </c>
      <c r="R42" s="1659" t="s">
        <v>1539</v>
      </c>
      <c r="S42" s="1696"/>
      <c r="T42" s="1696"/>
      <c r="U42" s="1642"/>
      <c r="V42" s="1650"/>
    </row>
    <row r="43" spans="1:23" ht="13.15" customHeight="1">
      <c r="A43" s="1627"/>
      <c r="B43" s="1627"/>
      <c r="C43" s="1627"/>
      <c r="D43" s="1627"/>
      <c r="E43" s="1627"/>
      <c r="F43" s="1627"/>
      <c r="I43" s="1630"/>
      <c r="J43" s="3443"/>
      <c r="K43" s="1757"/>
      <c r="L43" s="1758"/>
      <c r="M43" s="1759"/>
      <c r="N43" s="1686"/>
      <c r="O43" s="1686"/>
      <c r="P43" s="1686"/>
      <c r="Q43" s="1748"/>
      <c r="R43" s="1724">
        <f>ROUND(O43*N43*P43*(1-Q43)/10000,0)</f>
        <v>0</v>
      </c>
      <c r="S43" s="1642"/>
      <c r="T43" s="1642"/>
      <c r="V43" s="1632"/>
      <c r="W43" s="1796"/>
    </row>
    <row r="44" spans="1:23" ht="13.15" customHeight="1">
      <c r="J44" s="1762">
        <v>6</v>
      </c>
      <c r="K44" s="1763" t="s">
        <v>1613</v>
      </c>
      <c r="L44" s="1797" t="s">
        <v>1614</v>
      </c>
      <c r="M44" s="1765"/>
      <c r="N44" s="1797" t="s">
        <v>1615</v>
      </c>
      <c r="O44" s="1765"/>
      <c r="P44" s="1797" t="s">
        <v>1616</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1627</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310.52550000000002</v>
      </c>
      <c r="C2" s="1612" t="s">
        <v>1628</v>
      </c>
      <c r="D2" s="1613" t="s">
        <v>1629</v>
      </c>
      <c r="E2" s="1614">
        <f>SUM(E6:E13)</f>
        <v>296</v>
      </c>
      <c r="F2" s="1610"/>
      <c r="G2" s="1510"/>
      <c r="H2" s="1510"/>
      <c r="I2" s="1510"/>
      <c r="J2" s="1510"/>
      <c r="K2" s="1510"/>
      <c r="L2" s="1510"/>
      <c r="M2" s="1510"/>
      <c r="N2" s="1510"/>
      <c r="O2" s="1510"/>
      <c r="P2" s="1510"/>
      <c r="Q2" s="1510"/>
      <c r="R2" s="1510"/>
      <c r="S2" s="1510"/>
    </row>
    <row r="3" spans="1:22" ht="15.75">
      <c r="A3" s="1611" t="s">
        <v>1038</v>
      </c>
      <c r="B3" s="1615">
        <f ca="1">ROUND(B2*10000/E2,0)</f>
        <v>10491</v>
      </c>
      <c r="C3" s="1612" t="s">
        <v>1630</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1631</v>
      </c>
      <c r="B5" s="3447" t="s">
        <v>1632</v>
      </c>
      <c r="C5" s="3448"/>
      <c r="D5" s="1620"/>
      <c r="E5" s="1619" t="s">
        <v>1633</v>
      </c>
      <c r="F5" s="1577" t="s">
        <v>1634</v>
      </c>
      <c r="G5" s="1510"/>
      <c r="H5" s="1510"/>
      <c r="I5" s="1510"/>
      <c r="J5" s="1510"/>
      <c r="K5" s="1510"/>
      <c r="L5" s="1510"/>
      <c r="M5" s="1510"/>
      <c r="N5" s="1510"/>
      <c r="O5" s="1510"/>
      <c r="P5" s="1510"/>
      <c r="Q5" s="1510"/>
      <c r="R5" s="1510"/>
      <c r="S5" s="1510"/>
    </row>
    <row r="6" spans="1:22">
      <c r="A6" s="1621" t="str">
        <f>'数据-取费表'!AN6</f>
        <v>收益法 (元)办公</v>
      </c>
      <c r="B6" s="885">
        <f ca="1">IF(F6="是",'数据-取费表'!AO6,0)</f>
        <v>310.52550000000002</v>
      </c>
      <c r="C6" s="1612" t="s">
        <v>1628</v>
      </c>
      <c r="D6" s="1610"/>
      <c r="E6" s="1622">
        <f>IF(OR(A6=0,F6="否"),0,'数据-取费表'!K6+'数据-取费表'!S6)</f>
        <v>296</v>
      </c>
      <c r="F6" s="1623" t="s">
        <v>1635</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1628</v>
      </c>
      <c r="D7" s="1610"/>
      <c r="E7" s="1622">
        <f>IF(OR(A7=0,F7="否"),0,'数据-取费表'!K7+'数据-取费表'!S7)</f>
        <v>0</v>
      </c>
      <c r="F7" s="1623" t="s">
        <v>1635</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1628</v>
      </c>
      <c r="D8" s="1610"/>
      <c r="E8" s="1622">
        <f>IF(OR(A8=0,F8="否"),0,'数据-取费表'!K8+'数据-取费表'!S8)</f>
        <v>0</v>
      </c>
      <c r="F8" s="1623" t="s">
        <v>1635</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1628</v>
      </c>
      <c r="D9" s="1610"/>
      <c r="E9" s="1622">
        <f>IF(OR(A9=0,F9="否"),0,'数据-取费表'!K9+'数据-取费表'!S9)</f>
        <v>0</v>
      </c>
      <c r="F9" s="1623" t="s">
        <v>1635</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1628</v>
      </c>
      <c r="D10" s="1610"/>
      <c r="E10" s="1622">
        <f>IF(OR(A10=0,F10="否"),0,'数据-取费表'!K10+'数据-取费表'!S10)</f>
        <v>0</v>
      </c>
      <c r="F10" s="1623" t="s">
        <v>1635</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1628</v>
      </c>
      <c r="D11" s="1610"/>
      <c r="E11" s="1622">
        <f>IF(OR(A11=0,F11="否"),0,'数据-取费表'!K11+'数据-取费表'!S11)</f>
        <v>0</v>
      </c>
      <c r="F11" s="1623" t="s">
        <v>1635</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1628</v>
      </c>
      <c r="D12" s="1610"/>
      <c r="E12" s="1622">
        <f>IF(OR(A12=0,F12="否"),0,'数据-取费表'!K12+'数据-取费表'!S12)</f>
        <v>0</v>
      </c>
      <c r="F12" s="1623" t="s">
        <v>1635</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1628</v>
      </c>
      <c r="D13" s="1626"/>
      <c r="E13" s="1622">
        <f>IF(OR(A13=0,F13="否"),0,'数据-取费表'!K13+'数据-取费表'!S13)</f>
        <v>0</v>
      </c>
      <c r="F13" s="1623" t="s">
        <v>1635</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估价对象为北京市房地产，为所有。根据《国有土地使用证》[]，估价对象（分摊）出让国有建设用地使用权面积为0平方米，建筑面积为296平方米。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估价对象为北京市房地产,属开发建设的办公项目，该项目尚在开发建设中。根据《国有土地使用证》[]，估价对象（分摊）出让国有建设用地使用权面积为0平方米，规划建筑面积为296平方米。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2025年11月20日（评估专业人员实地查勘之日）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1636</v>
      </c>
      <c r="C1" s="1380" t="s">
        <v>1374</v>
      </c>
      <c r="D1" s="1373"/>
      <c r="E1" s="1524"/>
      <c r="F1" s="1375"/>
      <c r="G1" s="1376" t="s">
        <v>1377</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1378</v>
      </c>
      <c r="D3" s="1388">
        <f>IF(D1="",'数据-汇总表'!E3,SUMIF('数据-汇总表'!$C19:$C33,D1,'数据-汇总表'!$E19:$E33))</f>
        <v>296</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1379</v>
      </c>
      <c r="B4" s="1037"/>
      <c r="C4" s="3367" t="s">
        <v>1380</v>
      </c>
      <c r="D4" s="3368"/>
      <c r="E4" s="3369" t="s">
        <v>1381</v>
      </c>
      <c r="F4" s="3370"/>
      <c r="G4" s="3367" t="s">
        <v>1382</v>
      </c>
      <c r="H4" s="3368"/>
      <c r="I4" s="3367" t="s">
        <v>1383</v>
      </c>
      <c r="J4" s="3368"/>
      <c r="K4" s="1535"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421" t="s">
        <v>1382</v>
      </c>
      <c r="AC4" s="3421" t="s">
        <v>1383</v>
      </c>
    </row>
    <row r="5" spans="1:29" ht="15">
      <c r="A5" s="1047"/>
      <c r="B5" s="1048"/>
      <c r="C5" s="3415" t="s">
        <v>1466</v>
      </c>
      <c r="D5" s="3372"/>
      <c r="E5" s="3416" t="s">
        <v>1637</v>
      </c>
      <c r="F5" s="3417"/>
      <c r="G5" s="3415" t="s">
        <v>1638</v>
      </c>
      <c r="H5" s="3372"/>
      <c r="I5" s="3415" t="s">
        <v>1639</v>
      </c>
      <c r="J5" s="3372"/>
      <c r="K5" s="1536"/>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536"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45981</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19" si="3">D8/F8</f>
        <v>1</v>
      </c>
      <c r="AB8" s="1069">
        <f t="shared" ref="AB8:AB19" si="4">D8/H8</f>
        <v>1</v>
      </c>
      <c r="AC8" s="1069">
        <f t="shared" ref="AC8:AC19" si="5">D8/J8</f>
        <v>1</v>
      </c>
    </row>
    <row r="9" spans="1:29" s="1009" customFormat="1">
      <c r="A9" s="1071" t="s">
        <v>1398</v>
      </c>
      <c r="B9" s="1072" t="s">
        <v>1399</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1" t="s">
        <v>1400</v>
      </c>
      <c r="Q9" s="809" t="str">
        <f t="shared" ref="Q9:Q15" si="6">B9</f>
        <v>用途</v>
      </c>
      <c r="R9" s="1065" t="s">
        <v>1393</v>
      </c>
      <c r="S9" s="1066">
        <f t="shared" si="0"/>
        <v>100</v>
      </c>
      <c r="T9" s="1065" t="s">
        <v>1393</v>
      </c>
      <c r="U9" s="1066">
        <f t="shared" si="1"/>
        <v>100</v>
      </c>
      <c r="V9" s="1065" t="s">
        <v>1393</v>
      </c>
      <c r="W9" s="1066">
        <f t="shared" si="2"/>
        <v>100</v>
      </c>
      <c r="X9" s="1067"/>
      <c r="Y9" s="3358"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1"/>
      <c r="Q10" s="809" t="str">
        <f t="shared" si="6"/>
        <v>土地使用年限（年）</v>
      </c>
      <c r="R10" s="1065" t="s">
        <v>1393</v>
      </c>
      <c r="S10" s="1066">
        <f t="shared" si="0"/>
        <v>100</v>
      </c>
      <c r="T10" s="1065" t="s">
        <v>1393</v>
      </c>
      <c r="U10" s="1066">
        <f t="shared" si="1"/>
        <v>100</v>
      </c>
      <c r="V10" s="1065" t="s">
        <v>1393</v>
      </c>
      <c r="W10" s="1066">
        <f t="shared" si="2"/>
        <v>100</v>
      </c>
      <c r="X10" s="1067"/>
      <c r="Y10" s="3358"/>
      <c r="Z10" s="1069" t="str">
        <f t="shared" si="7"/>
        <v>土地使用年限（年）</v>
      </c>
      <c r="AA10" s="1069">
        <f t="shared" si="3"/>
        <v>1</v>
      </c>
      <c r="AB10" s="1069">
        <f t="shared" si="4"/>
        <v>1</v>
      </c>
      <c r="AC10" s="1069">
        <f t="shared" si="5"/>
        <v>1</v>
      </c>
    </row>
    <row r="11" spans="1:29" ht="15">
      <c r="A11" s="1084"/>
      <c r="B11" s="1077" t="s">
        <v>1403</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1"/>
      <c r="Q11" s="809" t="str">
        <f t="shared" si="6"/>
        <v>容积率</v>
      </c>
      <c r="R11" s="1065" t="s">
        <v>1393</v>
      </c>
      <c r="S11" s="1066" t="e">
        <f t="shared" si="0"/>
        <v>#N/A</v>
      </c>
      <c r="T11" s="1065" t="s">
        <v>1393</v>
      </c>
      <c r="U11" s="1066" t="e">
        <f t="shared" si="1"/>
        <v>#N/A</v>
      </c>
      <c r="V11" s="1065" t="s">
        <v>1393</v>
      </c>
      <c r="W11" s="1066" t="e">
        <f t="shared" si="2"/>
        <v>#N/A</v>
      </c>
      <c r="X11" s="1067"/>
      <c r="Y11" s="3358"/>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1"/>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1"/>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1"/>
      <c r="Q14" s="809">
        <f t="shared" si="6"/>
        <v>111</v>
      </c>
      <c r="R14" s="1065" t="s">
        <v>1393</v>
      </c>
      <c r="S14" s="1066">
        <f t="shared" si="0"/>
        <v>100</v>
      </c>
      <c r="T14" s="1065" t="s">
        <v>1393</v>
      </c>
      <c r="U14" s="1066">
        <f t="shared" si="1"/>
        <v>100</v>
      </c>
      <c r="V14" s="1065" t="s">
        <v>1393</v>
      </c>
      <c r="W14" s="1066">
        <f t="shared" si="2"/>
        <v>100</v>
      </c>
      <c r="X14" s="1067"/>
      <c r="Y14" s="3358"/>
      <c r="Z14" s="1069">
        <f t="shared" si="7"/>
        <v>111</v>
      </c>
      <c r="AA14" s="1069">
        <f t="shared" si="3"/>
        <v>1</v>
      </c>
      <c r="AB14" s="1069">
        <f t="shared" si="4"/>
        <v>1</v>
      </c>
      <c r="AC14" s="1069">
        <f t="shared" si="5"/>
        <v>1</v>
      </c>
    </row>
    <row r="15" spans="1:29" ht="15">
      <c r="A15" s="1101" t="s">
        <v>1404</v>
      </c>
      <c r="B15" s="1342" t="s">
        <v>1478</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84" t="s">
        <v>1406</v>
      </c>
      <c r="Q15" s="705" t="str">
        <f t="shared" si="6"/>
        <v>居住社区成熟度</v>
      </c>
      <c r="R15" s="1107" t="s">
        <v>1393</v>
      </c>
      <c r="S15" s="1108">
        <f t="shared" si="0"/>
        <v>100</v>
      </c>
      <c r="T15" s="1107" t="s">
        <v>1393</v>
      </c>
      <c r="U15" s="1108">
        <f t="shared" si="1"/>
        <v>100</v>
      </c>
      <c r="V15" s="1107" t="s">
        <v>1393</v>
      </c>
      <c r="W15" s="1108">
        <f t="shared" si="2"/>
        <v>100</v>
      </c>
      <c r="X15" s="1046"/>
      <c r="Y15" s="3389" t="s">
        <v>1406</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85"/>
      <c r="Q16" s="705"/>
      <c r="R16" s="1107"/>
      <c r="S16" s="1108"/>
      <c r="T16" s="1107"/>
      <c r="U16" s="1108"/>
      <c r="V16" s="1107"/>
      <c r="W16" s="1108"/>
      <c r="X16" s="1046"/>
      <c r="Y16" s="3390"/>
      <c r="Z16" s="1045"/>
      <c r="AA16" s="1045">
        <v>1</v>
      </c>
      <c r="AB16" s="1045">
        <v>1</v>
      </c>
      <c r="AC16" s="1045">
        <v>1</v>
      </c>
    </row>
    <row r="17" spans="1:29" ht="15">
      <c r="A17" s="1084"/>
      <c r="B17" s="1344" t="s">
        <v>1408</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85"/>
      <c r="Q17" s="705" t="str">
        <f>B17</f>
        <v>交通便捷度</v>
      </c>
      <c r="R17" s="1107" t="s">
        <v>1393</v>
      </c>
      <c r="S17" s="1108">
        <f>F17</f>
        <v>100</v>
      </c>
      <c r="T17" s="1107" t="s">
        <v>1393</v>
      </c>
      <c r="U17" s="1108">
        <f>H17</f>
        <v>100</v>
      </c>
      <c r="V17" s="1107" t="s">
        <v>1393</v>
      </c>
      <c r="W17" s="1108">
        <f>J17</f>
        <v>100</v>
      </c>
      <c r="X17" s="1046"/>
      <c r="Y17" s="3390"/>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85"/>
      <c r="Q18" s="705"/>
      <c r="R18" s="1107"/>
      <c r="S18" s="1108"/>
      <c r="T18" s="1107"/>
      <c r="U18" s="1108"/>
      <c r="V18" s="1107"/>
      <c r="W18" s="1108"/>
      <c r="X18" s="1046"/>
      <c r="Y18" s="3390"/>
      <c r="Z18" s="1045"/>
      <c r="AA18" s="1045">
        <v>1</v>
      </c>
      <c r="AB18" s="1045">
        <v>1</v>
      </c>
      <c r="AC18" s="1045">
        <v>1</v>
      </c>
    </row>
    <row r="19" spans="1:29" ht="15">
      <c r="A19" s="1084"/>
      <c r="B19" s="1344" t="s">
        <v>1409</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85"/>
      <c r="Q19" s="705" t="str">
        <f>B19</f>
        <v>公共配套设施</v>
      </c>
      <c r="R19" s="1107" t="s">
        <v>1393</v>
      </c>
      <c r="S19" s="1108">
        <f>F19</f>
        <v>100</v>
      </c>
      <c r="T19" s="1107" t="s">
        <v>1393</v>
      </c>
      <c r="U19" s="1108">
        <f>H19</f>
        <v>100</v>
      </c>
      <c r="V19" s="1107" t="s">
        <v>1393</v>
      </c>
      <c r="W19" s="1108">
        <f>J19</f>
        <v>100</v>
      </c>
      <c r="X19" s="1046"/>
      <c r="Y19" s="3390"/>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85"/>
      <c r="Q20" s="705"/>
      <c r="R20" s="1107"/>
      <c r="S20" s="1108"/>
      <c r="T20" s="1107"/>
      <c r="U20" s="1108"/>
      <c r="V20" s="1107"/>
      <c r="W20" s="1108"/>
      <c r="X20" s="1046"/>
      <c r="Y20" s="3390"/>
      <c r="Z20" s="1045"/>
      <c r="AA20" s="1045">
        <v>1</v>
      </c>
      <c r="AB20" s="1045">
        <v>1</v>
      </c>
      <c r="AC20" s="1045">
        <v>1</v>
      </c>
    </row>
    <row r="21" spans="1:29" ht="15">
      <c r="A21" s="1084"/>
      <c r="B21" s="1350" t="s">
        <v>1410</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85"/>
      <c r="Q21" s="705" t="str">
        <f>B21</f>
        <v>基础设施水平</v>
      </c>
      <c r="R21" s="1107" t="s">
        <v>1393</v>
      </c>
      <c r="S21" s="1108">
        <f>F21</f>
        <v>100</v>
      </c>
      <c r="T21" s="1107" t="s">
        <v>1393</v>
      </c>
      <c r="U21" s="1108">
        <f>H21</f>
        <v>100</v>
      </c>
      <c r="V21" s="1107" t="s">
        <v>1393</v>
      </c>
      <c r="W21" s="1108">
        <f>J21</f>
        <v>100</v>
      </c>
      <c r="X21" s="1046"/>
      <c r="Y21" s="3390"/>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85"/>
      <c r="Q22" s="705"/>
      <c r="R22" s="1107"/>
      <c r="S22" s="1108"/>
      <c r="T22" s="1107"/>
      <c r="U22" s="1108"/>
      <c r="V22" s="1107"/>
      <c r="W22" s="1108"/>
      <c r="X22" s="1046"/>
      <c r="Y22" s="3390"/>
      <c r="Z22" s="1045"/>
      <c r="AA22" s="1045">
        <v>1</v>
      </c>
      <c r="AB22" s="1045">
        <v>1</v>
      </c>
      <c r="AC22" s="1045">
        <v>1</v>
      </c>
    </row>
    <row r="23" spans="1:29" ht="15">
      <c r="A23" s="1084"/>
      <c r="B23" s="1344" t="s">
        <v>1468</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85"/>
      <c r="Q23" s="705" t="str">
        <f>B23</f>
        <v>自然及人文环境</v>
      </c>
      <c r="R23" s="1107" t="s">
        <v>1393</v>
      </c>
      <c r="S23" s="1108">
        <f>F23</f>
        <v>100</v>
      </c>
      <c r="T23" s="1107" t="s">
        <v>1393</v>
      </c>
      <c r="U23" s="1108">
        <f>H23</f>
        <v>100</v>
      </c>
      <c r="V23" s="1107" t="s">
        <v>1393</v>
      </c>
      <c r="W23" s="1108">
        <f>J23</f>
        <v>100</v>
      </c>
      <c r="X23" s="1046"/>
      <c r="Y23" s="3390"/>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85"/>
      <c r="Q24" s="705"/>
      <c r="R24" s="1107"/>
      <c r="S24" s="1108"/>
      <c r="T24" s="1107"/>
      <c r="U24" s="1108"/>
      <c r="V24" s="1107"/>
      <c r="W24" s="1108"/>
      <c r="X24" s="1046"/>
      <c r="Y24" s="3390"/>
      <c r="Z24" s="1045"/>
      <c r="AA24" s="1045">
        <v>1</v>
      </c>
      <c r="AB24" s="1045">
        <v>1</v>
      </c>
      <c r="AC24" s="1045">
        <v>1</v>
      </c>
    </row>
    <row r="25" spans="1:29" ht="15">
      <c r="A25" s="1084"/>
      <c r="B25" s="1077" t="s">
        <v>1640</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85"/>
      <c r="Q25" s="705" t="str">
        <f t="shared" ref="Q25:Q46" si="11">B25</f>
        <v>楼层-1</v>
      </c>
      <c r="R25" s="1107" t="s">
        <v>1393</v>
      </c>
      <c r="S25" s="1108">
        <f t="shared" ref="S25:S46" si="12">F25</f>
        <v>100</v>
      </c>
      <c r="T25" s="1107" t="s">
        <v>1393</v>
      </c>
      <c r="U25" s="1108">
        <f t="shared" ref="U25:U46" si="13">H25</f>
        <v>100</v>
      </c>
      <c r="V25" s="1107" t="s">
        <v>1393</v>
      </c>
      <c r="W25" s="1108">
        <f t="shared" ref="W25:W46" si="14">J25</f>
        <v>100</v>
      </c>
      <c r="X25" s="1046"/>
      <c r="Y25" s="3390"/>
      <c r="Z25" s="1045" t="str">
        <f>Q25</f>
        <v>楼层-1</v>
      </c>
      <c r="AA25" s="1045">
        <f t="shared" ref="AA25:AA46" si="15">D25/F25</f>
        <v>1</v>
      </c>
      <c r="AB25" s="1045">
        <f t="shared" ref="AB25:AB46" si="16">D25/H25</f>
        <v>1</v>
      </c>
      <c r="AC25" s="1045">
        <f t="shared" ref="AC25:AC46" si="17">D25/J25</f>
        <v>1</v>
      </c>
    </row>
    <row r="26" spans="1:29" ht="15">
      <c r="A26" s="1084"/>
      <c r="B26" s="1077" t="s">
        <v>1417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85"/>
      <c r="Q26" s="705" t="str">
        <f t="shared" si="11"/>
        <v>朝向</v>
      </c>
      <c r="R26" s="1107" t="s">
        <v>1393</v>
      </c>
      <c r="S26" s="1108">
        <f t="shared" si="12"/>
        <v>100</v>
      </c>
      <c r="T26" s="1107" t="s">
        <v>1393</v>
      </c>
      <c r="U26" s="1108">
        <f t="shared" si="13"/>
        <v>100</v>
      </c>
      <c r="V26" s="1107" t="s">
        <v>1393</v>
      </c>
      <c r="W26" s="1108">
        <f t="shared" si="14"/>
        <v>100</v>
      </c>
      <c r="X26" s="1046"/>
      <c r="Y26" s="3390"/>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85"/>
      <c r="Q27" s="809">
        <f t="shared" si="11"/>
        <v>111</v>
      </c>
      <c r="R27" s="1065" t="s">
        <v>1393</v>
      </c>
      <c r="S27" s="1066">
        <f t="shared" si="12"/>
        <v>100</v>
      </c>
      <c r="T27" s="1065" t="s">
        <v>1393</v>
      </c>
      <c r="U27" s="1066">
        <f t="shared" si="13"/>
        <v>100</v>
      </c>
      <c r="V27" s="1065" t="s">
        <v>1393</v>
      </c>
      <c r="W27" s="1066">
        <f t="shared" si="14"/>
        <v>100</v>
      </c>
      <c r="X27" s="1067"/>
      <c r="Y27" s="3390"/>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85"/>
      <c r="Q28" s="705">
        <f t="shared" si="11"/>
        <v>111</v>
      </c>
      <c r="R28" s="1107" t="s">
        <v>1393</v>
      </c>
      <c r="S28" s="1108">
        <f t="shared" si="12"/>
        <v>100</v>
      </c>
      <c r="T28" s="1107" t="s">
        <v>1393</v>
      </c>
      <c r="U28" s="1108">
        <f t="shared" si="13"/>
        <v>100</v>
      </c>
      <c r="V28" s="1107" t="s">
        <v>1393</v>
      </c>
      <c r="W28" s="1108">
        <f t="shared" si="14"/>
        <v>100</v>
      </c>
      <c r="X28" s="1046"/>
      <c r="Y28" s="3390"/>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85"/>
      <c r="Q29" s="705">
        <f t="shared" si="11"/>
        <v>111</v>
      </c>
      <c r="R29" s="1107" t="s">
        <v>1393</v>
      </c>
      <c r="S29" s="1108">
        <f t="shared" si="12"/>
        <v>100</v>
      </c>
      <c r="T29" s="1107" t="s">
        <v>1393</v>
      </c>
      <c r="U29" s="1108">
        <f t="shared" si="13"/>
        <v>100</v>
      </c>
      <c r="V29" s="1107" t="s">
        <v>1393</v>
      </c>
      <c r="W29" s="1108">
        <f t="shared" si="14"/>
        <v>100</v>
      </c>
      <c r="X29" s="1046"/>
      <c r="Y29" s="3390"/>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85"/>
      <c r="Q30" s="705">
        <f t="shared" si="11"/>
        <v>111</v>
      </c>
      <c r="R30" s="1107" t="s">
        <v>1393</v>
      </c>
      <c r="S30" s="1108">
        <f t="shared" si="12"/>
        <v>100</v>
      </c>
      <c r="T30" s="1107" t="s">
        <v>1393</v>
      </c>
      <c r="U30" s="1108">
        <f t="shared" si="13"/>
        <v>100</v>
      </c>
      <c r="V30" s="1107" t="s">
        <v>1393</v>
      </c>
      <c r="W30" s="1108">
        <f t="shared" si="14"/>
        <v>100</v>
      </c>
      <c r="X30" s="1046"/>
      <c r="Y30" s="3390"/>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85"/>
      <c r="Q31" s="705">
        <f t="shared" si="11"/>
        <v>111</v>
      </c>
      <c r="R31" s="1107" t="s">
        <v>1393</v>
      </c>
      <c r="S31" s="1108">
        <f t="shared" si="12"/>
        <v>100</v>
      </c>
      <c r="T31" s="1107" t="s">
        <v>1393</v>
      </c>
      <c r="U31" s="1108">
        <f t="shared" si="13"/>
        <v>100</v>
      </c>
      <c r="V31" s="1107" t="s">
        <v>1393</v>
      </c>
      <c r="W31" s="1108">
        <f t="shared" si="14"/>
        <v>100</v>
      </c>
      <c r="X31" s="1046"/>
      <c r="Y31" s="3390"/>
      <c r="Z31" s="1045">
        <f t="shared" si="18"/>
        <v>111</v>
      </c>
      <c r="AA31" s="1045">
        <f t="shared" si="15"/>
        <v>1</v>
      </c>
      <c r="AB31" s="1045">
        <f t="shared" si="16"/>
        <v>1</v>
      </c>
      <c r="AC31" s="1045">
        <f t="shared" si="17"/>
        <v>1</v>
      </c>
    </row>
    <row r="32" spans="1:29" ht="15">
      <c r="A32" s="1101" t="s">
        <v>1418</v>
      </c>
      <c r="B32" s="1072" t="s">
        <v>1419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86" t="s">
        <v>1421</v>
      </c>
      <c r="Q32" s="705" t="str">
        <f t="shared" si="11"/>
        <v>建筑类型</v>
      </c>
      <c r="R32" s="1107" t="s">
        <v>1393</v>
      </c>
      <c r="S32" s="1108">
        <f t="shared" si="12"/>
        <v>100</v>
      </c>
      <c r="T32" s="1107" t="s">
        <v>1393</v>
      </c>
      <c r="U32" s="1108">
        <f t="shared" si="13"/>
        <v>100</v>
      </c>
      <c r="V32" s="1107" t="s">
        <v>1393</v>
      </c>
      <c r="W32" s="1108">
        <f t="shared" si="14"/>
        <v>100</v>
      </c>
      <c r="X32" s="1046"/>
      <c r="Y32" s="3391" t="s">
        <v>1421</v>
      </c>
      <c r="Z32" s="1045" t="str">
        <f t="shared" si="18"/>
        <v>建筑类型</v>
      </c>
      <c r="AA32" s="1045">
        <f t="shared" si="15"/>
        <v>1</v>
      </c>
      <c r="AB32" s="1045">
        <f t="shared" si="16"/>
        <v>1</v>
      </c>
      <c r="AC32" s="1045">
        <f t="shared" si="17"/>
        <v>1</v>
      </c>
    </row>
    <row r="33" spans="1:29" s="1011" customFormat="1" ht="15">
      <c r="A33" s="1157"/>
      <c r="B33" s="1077" t="s">
        <v>1422</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87"/>
      <c r="Q33" s="1404" t="str">
        <f t="shared" si="11"/>
        <v>项目建筑规模</v>
      </c>
      <c r="R33" s="1145" t="s">
        <v>1393</v>
      </c>
      <c r="S33" s="1146" t="e">
        <f t="shared" si="12"/>
        <v>#N/A</v>
      </c>
      <c r="T33" s="1145" t="s">
        <v>1393</v>
      </c>
      <c r="U33" s="1146" t="e">
        <f t="shared" si="13"/>
        <v>#N/A</v>
      </c>
      <c r="V33" s="1145" t="s">
        <v>1393</v>
      </c>
      <c r="W33" s="1146" t="e">
        <f t="shared" si="14"/>
        <v>#N/A</v>
      </c>
      <c r="X33" s="1147"/>
      <c r="Y33" s="3391"/>
      <c r="Z33" s="1148" t="str">
        <f t="shared" si="18"/>
        <v>项目建筑规模</v>
      </c>
      <c r="AA33" s="1045" t="e">
        <f t="shared" si="15"/>
        <v>#N/A</v>
      </c>
      <c r="AB33" s="1045" t="e">
        <f t="shared" si="16"/>
        <v>#N/A</v>
      </c>
      <c r="AC33" s="1045" t="e">
        <f t="shared" si="17"/>
        <v>#N/A</v>
      </c>
    </row>
    <row r="34" spans="1:29" ht="15">
      <c r="A34" s="1152"/>
      <c r="B34" s="1077" t="s">
        <v>1423</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87"/>
      <c r="Q34" s="705" t="str">
        <f t="shared" si="11"/>
        <v>建筑结构</v>
      </c>
      <c r="R34" s="1107" t="s">
        <v>1393</v>
      </c>
      <c r="S34" s="1108">
        <f t="shared" si="12"/>
        <v>100</v>
      </c>
      <c r="T34" s="1107" t="s">
        <v>1393</v>
      </c>
      <c r="U34" s="1108">
        <f t="shared" si="13"/>
        <v>100</v>
      </c>
      <c r="V34" s="1107" t="s">
        <v>1393</v>
      </c>
      <c r="W34" s="1108">
        <f t="shared" si="14"/>
        <v>100</v>
      </c>
      <c r="X34" s="1046"/>
      <c r="Y34" s="3391"/>
      <c r="Z34" s="1045" t="str">
        <f t="shared" si="18"/>
        <v>建筑结构</v>
      </c>
      <c r="AA34" s="1045">
        <f t="shared" si="15"/>
        <v>1</v>
      </c>
      <c r="AB34" s="1045">
        <f t="shared" si="16"/>
        <v>1</v>
      </c>
      <c r="AC34" s="1045">
        <f t="shared" si="17"/>
        <v>1</v>
      </c>
    </row>
    <row r="35" spans="1:29" ht="15">
      <c r="A35" s="1152"/>
      <c r="B35" s="1077" t="s">
        <v>1641</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87"/>
      <c r="Q35" s="705" t="str">
        <f t="shared" si="11"/>
        <v>建筑品质</v>
      </c>
      <c r="R35" s="1107" t="s">
        <v>1393</v>
      </c>
      <c r="S35" s="1108">
        <f t="shared" si="12"/>
        <v>100</v>
      </c>
      <c r="T35" s="1107" t="s">
        <v>1393</v>
      </c>
      <c r="U35" s="1108">
        <f t="shared" si="13"/>
        <v>100</v>
      </c>
      <c r="V35" s="1107" t="s">
        <v>1393</v>
      </c>
      <c r="W35" s="1108">
        <f t="shared" si="14"/>
        <v>100</v>
      </c>
      <c r="X35" s="1046"/>
      <c r="Y35" s="3391"/>
      <c r="Z35" s="1045" t="str">
        <f t="shared" si="18"/>
        <v>建筑品质</v>
      </c>
      <c r="AA35" s="1045">
        <f t="shared" si="15"/>
        <v>1</v>
      </c>
      <c r="AB35" s="1045">
        <f t="shared" si="16"/>
        <v>1</v>
      </c>
      <c r="AC35" s="1045">
        <f t="shared" si="17"/>
        <v>1</v>
      </c>
    </row>
    <row r="36" spans="1:29" ht="15">
      <c r="A36" s="1152"/>
      <c r="B36" s="1077" t="s">
        <v>1425</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87"/>
      <c r="Q36" s="705" t="str">
        <f t="shared" si="11"/>
        <v>公共部分装修</v>
      </c>
      <c r="R36" s="1107" t="s">
        <v>1393</v>
      </c>
      <c r="S36" s="1108">
        <f t="shared" si="12"/>
        <v>100</v>
      </c>
      <c r="T36" s="1107" t="s">
        <v>1393</v>
      </c>
      <c r="U36" s="1108">
        <f t="shared" si="13"/>
        <v>100</v>
      </c>
      <c r="V36" s="1107" t="s">
        <v>1393</v>
      </c>
      <c r="W36" s="1108">
        <f t="shared" si="14"/>
        <v>100</v>
      </c>
      <c r="X36" s="1046"/>
      <c r="Y36" s="3391"/>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87"/>
      <c r="Q37" s="809" t="str">
        <f t="shared" si="11"/>
        <v>成新度</v>
      </c>
      <c r="R37" s="1065" t="s">
        <v>1393</v>
      </c>
      <c r="S37" s="1066" t="e">
        <f t="shared" si="12"/>
        <v>#N/A</v>
      </c>
      <c r="T37" s="1065" t="s">
        <v>1393</v>
      </c>
      <c r="U37" s="1066" t="e">
        <f t="shared" si="13"/>
        <v>#N/A</v>
      </c>
      <c r="V37" s="1065" t="s">
        <v>1393</v>
      </c>
      <c r="W37" s="1066" t="e">
        <f t="shared" si="14"/>
        <v>#N/A</v>
      </c>
      <c r="X37" s="1067"/>
      <c r="Y37" s="3391"/>
      <c r="Z37" s="1069" t="str">
        <f t="shared" si="18"/>
        <v>成新度</v>
      </c>
      <c r="AA37" s="1069" t="e">
        <f t="shared" si="15"/>
        <v>#N/A</v>
      </c>
      <c r="AB37" s="1069" t="e">
        <f t="shared" si="16"/>
        <v>#N/A</v>
      </c>
      <c r="AC37" s="1069" t="e">
        <f t="shared" si="17"/>
        <v>#N/A</v>
      </c>
    </row>
    <row r="38" spans="1:29" ht="15">
      <c r="A38" s="1152"/>
      <c r="B38" s="1077" t="s">
        <v>1429</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87" t="s">
        <v>1421</v>
      </c>
      <c r="Q38" s="705" t="str">
        <f t="shared" si="11"/>
        <v>物业管理</v>
      </c>
      <c r="R38" s="1107" t="s">
        <v>1393</v>
      </c>
      <c r="S38" s="1108">
        <f t="shared" si="12"/>
        <v>100</v>
      </c>
      <c r="T38" s="1107" t="s">
        <v>1393</v>
      </c>
      <c r="U38" s="1108">
        <f t="shared" si="13"/>
        <v>100</v>
      </c>
      <c r="V38" s="1107" t="s">
        <v>1393</v>
      </c>
      <c r="W38" s="1108">
        <f t="shared" si="14"/>
        <v>100</v>
      </c>
      <c r="X38" s="1046"/>
      <c r="Y38" s="3391" t="s">
        <v>1421</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87"/>
      <c r="Q39" s="705" t="str">
        <f t="shared" si="11"/>
        <v>市政基础设施</v>
      </c>
      <c r="R39" s="1107" t="s">
        <v>1393</v>
      </c>
      <c r="S39" s="1108">
        <f t="shared" si="12"/>
        <v>100</v>
      </c>
      <c r="T39" s="1107" t="s">
        <v>1393</v>
      </c>
      <c r="U39" s="1108">
        <f t="shared" si="13"/>
        <v>100</v>
      </c>
      <c r="V39" s="1107" t="s">
        <v>1393</v>
      </c>
      <c r="W39" s="1108">
        <f t="shared" si="14"/>
        <v>100</v>
      </c>
      <c r="X39" s="1046"/>
      <c r="Y39" s="3391"/>
      <c r="Z39" s="1045" t="str">
        <f t="shared" si="18"/>
        <v>市政基础设施</v>
      </c>
      <c r="AA39" s="1045">
        <f t="shared" si="15"/>
        <v>1</v>
      </c>
      <c r="AB39" s="1045">
        <f t="shared" si="16"/>
        <v>1</v>
      </c>
      <c r="AC39" s="1045">
        <f t="shared" si="17"/>
        <v>1</v>
      </c>
    </row>
    <row r="40" spans="1:29" ht="15">
      <c r="A40" s="1152"/>
      <c r="B40" s="1077" t="s">
        <v>1642</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87"/>
      <c r="Q40" s="705" t="str">
        <f t="shared" si="11"/>
        <v>房型</v>
      </c>
      <c r="R40" s="1107" t="s">
        <v>1393</v>
      </c>
      <c r="S40" s="1108">
        <f t="shared" si="12"/>
        <v>100</v>
      </c>
      <c r="T40" s="1107" t="s">
        <v>1393</v>
      </c>
      <c r="U40" s="1108">
        <f t="shared" si="13"/>
        <v>100</v>
      </c>
      <c r="V40" s="1107" t="s">
        <v>1393</v>
      </c>
      <c r="W40" s="1108">
        <f t="shared" si="14"/>
        <v>100</v>
      </c>
      <c r="X40" s="1046"/>
      <c r="Y40" s="3391"/>
      <c r="Z40" s="1045" t="str">
        <f t="shared" si="18"/>
        <v>房型</v>
      </c>
      <c r="AA40" s="1045">
        <f t="shared" si="15"/>
        <v>1</v>
      </c>
      <c r="AB40" s="1045">
        <f t="shared" si="16"/>
        <v>1</v>
      </c>
      <c r="AC40" s="1045">
        <f t="shared" si="17"/>
        <v>1</v>
      </c>
    </row>
    <row r="41" spans="1:29" s="1011" customFormat="1" ht="28.5">
      <c r="A41" s="1157"/>
      <c r="B41" s="1077" t="s">
        <v>1643</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87"/>
      <c r="Q41" s="1404" t="str">
        <f t="shared" si="11"/>
        <v>单套/主力户型建筑面积</v>
      </c>
      <c r="R41" s="1145" t="s">
        <v>1393</v>
      </c>
      <c r="S41" s="1146">
        <f t="shared" si="12"/>
        <v>100</v>
      </c>
      <c r="T41" s="1145" t="s">
        <v>1393</v>
      </c>
      <c r="U41" s="1146">
        <f t="shared" si="13"/>
        <v>100</v>
      </c>
      <c r="V41" s="1145" t="s">
        <v>1393</v>
      </c>
      <c r="W41" s="1146">
        <f t="shared" si="14"/>
        <v>100</v>
      </c>
      <c r="X41" s="1147"/>
      <c r="Y41" s="3391"/>
      <c r="Z41" s="1148" t="str">
        <f t="shared" si="18"/>
        <v>单套/主力户型建筑面积</v>
      </c>
      <c r="AA41" s="1045">
        <f t="shared" si="15"/>
        <v>1</v>
      </c>
      <c r="AB41" s="1045">
        <f t="shared" si="16"/>
        <v>1</v>
      </c>
      <c r="AC41" s="1045">
        <f t="shared" si="17"/>
        <v>1</v>
      </c>
    </row>
    <row r="42" spans="1:29" ht="15">
      <c r="A42" s="1152"/>
      <c r="B42" s="1077" t="s">
        <v>1434</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87"/>
      <c r="Q42" s="705" t="str">
        <f t="shared" si="11"/>
        <v>内部装修</v>
      </c>
      <c r="R42" s="1107" t="s">
        <v>1393</v>
      </c>
      <c r="S42" s="1108">
        <f t="shared" si="12"/>
        <v>100</v>
      </c>
      <c r="T42" s="1107" t="s">
        <v>1393</v>
      </c>
      <c r="U42" s="1108">
        <f t="shared" si="13"/>
        <v>100</v>
      </c>
      <c r="V42" s="1107" t="s">
        <v>1393</v>
      </c>
      <c r="W42" s="1108">
        <f t="shared" si="14"/>
        <v>100</v>
      </c>
      <c r="X42" s="1046"/>
      <c r="Y42" s="3391"/>
      <c r="Z42" s="1045" t="str">
        <f t="shared" si="18"/>
        <v>内部装修</v>
      </c>
      <c r="AA42" s="1045">
        <f t="shared" si="15"/>
        <v>1</v>
      </c>
      <c r="AB42" s="1045">
        <f t="shared" si="16"/>
        <v>1</v>
      </c>
      <c r="AC42" s="1045">
        <f t="shared" si="17"/>
        <v>1</v>
      </c>
    </row>
    <row r="43" spans="1:29" ht="15">
      <c r="A43" s="1152"/>
      <c r="B43" s="1077" t="s">
        <v>1437</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87"/>
      <c r="Q43" s="705" t="str">
        <f t="shared" si="11"/>
        <v>内部装修维护情况</v>
      </c>
      <c r="R43" s="1107" t="s">
        <v>1393</v>
      </c>
      <c r="S43" s="1108">
        <f t="shared" si="12"/>
        <v>100</v>
      </c>
      <c r="T43" s="1107" t="s">
        <v>1393</v>
      </c>
      <c r="U43" s="1108">
        <f t="shared" si="13"/>
        <v>100</v>
      </c>
      <c r="V43" s="1107" t="s">
        <v>1393</v>
      </c>
      <c r="W43" s="1108">
        <f t="shared" si="14"/>
        <v>100</v>
      </c>
      <c r="X43" s="1046"/>
      <c r="Y43" s="3391"/>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87"/>
      <c r="Q44" s="809">
        <f t="shared" si="11"/>
        <v>111</v>
      </c>
      <c r="R44" s="1065" t="s">
        <v>1393</v>
      </c>
      <c r="S44" s="1066">
        <f t="shared" si="12"/>
        <v>100</v>
      </c>
      <c r="T44" s="1065" t="s">
        <v>1393</v>
      </c>
      <c r="U44" s="1066">
        <f t="shared" si="13"/>
        <v>100</v>
      </c>
      <c r="V44" s="1065" t="s">
        <v>1393</v>
      </c>
      <c r="W44" s="1066">
        <f t="shared" si="14"/>
        <v>100</v>
      </c>
      <c r="X44" s="1067"/>
      <c r="Y44" s="3391"/>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87"/>
      <c r="Q45" s="705">
        <f t="shared" si="11"/>
        <v>111</v>
      </c>
      <c r="R45" s="1107" t="s">
        <v>1393</v>
      </c>
      <c r="S45" s="1108">
        <f t="shared" si="12"/>
        <v>100</v>
      </c>
      <c r="T45" s="1107" t="s">
        <v>1393</v>
      </c>
      <c r="U45" s="1108">
        <f t="shared" si="13"/>
        <v>100</v>
      </c>
      <c r="V45" s="1107" t="s">
        <v>1393</v>
      </c>
      <c r="W45" s="1108">
        <f t="shared" si="14"/>
        <v>100</v>
      </c>
      <c r="X45" s="1046"/>
      <c r="Y45" s="3391"/>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88"/>
      <c r="Q46" s="705">
        <f t="shared" si="11"/>
        <v>111</v>
      </c>
      <c r="R46" s="1107" t="s">
        <v>1393</v>
      </c>
      <c r="S46" s="1108">
        <f t="shared" si="12"/>
        <v>100</v>
      </c>
      <c r="T46" s="1107" t="s">
        <v>1393</v>
      </c>
      <c r="U46" s="1108">
        <f t="shared" si="13"/>
        <v>100</v>
      </c>
      <c r="V46" s="1107" t="s">
        <v>1393</v>
      </c>
      <c r="W46" s="1108">
        <f t="shared" si="14"/>
        <v>100</v>
      </c>
      <c r="X46" s="1046"/>
      <c r="Y46" s="3392"/>
      <c r="Z46" s="1045">
        <f t="shared" si="18"/>
        <v>111</v>
      </c>
      <c r="AA46" s="1045">
        <f t="shared" si="15"/>
        <v>1</v>
      </c>
      <c r="AB46" s="1045">
        <f t="shared" si="16"/>
        <v>1</v>
      </c>
      <c r="AC46" s="1045">
        <f t="shared" si="17"/>
        <v>1</v>
      </c>
    </row>
    <row r="47" spans="1:29" ht="15">
      <c r="A47" s="1160" t="s">
        <v>1438</v>
      </c>
      <c r="B47" s="1409"/>
      <c r="C47" s="1410" t="s">
        <v>124</v>
      </c>
      <c r="D47" s="1163"/>
      <c r="E47" s="1164"/>
      <c r="F47" s="1165"/>
      <c r="G47" s="1166"/>
      <c r="H47" s="1167"/>
      <c r="I47" s="1164"/>
      <c r="J47" s="1167"/>
      <c r="K47" s="1549"/>
      <c r="L47" s="1169"/>
      <c r="M47" s="1042"/>
      <c r="N47" s="1042"/>
      <c r="O47" s="1042"/>
      <c r="P47" s="3382" t="str">
        <f>A47</f>
        <v>成交单价（元/平方米）</v>
      </c>
      <c r="Q47" s="3382"/>
      <c r="R47" s="3383">
        <f>E47</f>
        <v>0</v>
      </c>
      <c r="S47" s="3383"/>
      <c r="T47" s="3383">
        <f>G47</f>
        <v>0</v>
      </c>
      <c r="U47" s="3383"/>
      <c r="V47" s="3383">
        <f>I47</f>
        <v>0</v>
      </c>
      <c r="W47" s="3383"/>
      <c r="X47" s="1170"/>
      <c r="Y47" s="1171"/>
      <c r="Z47" s="1170"/>
      <c r="AA47" s="1170"/>
      <c r="AB47" s="1170"/>
      <c r="AC47" s="1170"/>
    </row>
    <row r="48" spans="1:29" ht="15">
      <c r="A48" s="1172" t="s">
        <v>1439</v>
      </c>
      <c r="B48" s="1411"/>
      <c r="C48" s="1412" t="e">
        <f>R49</f>
        <v>#DIV/0!</v>
      </c>
      <c r="D48" s="1175" t="s">
        <v>1440</v>
      </c>
      <c r="E48" s="1413" t="e">
        <f>R48</f>
        <v>#DIV/0!</v>
      </c>
      <c r="F48" s="1176"/>
      <c r="G48" s="1412" t="e">
        <f>T48</f>
        <v>#DIV/0!</v>
      </c>
      <c r="H48" s="1176"/>
      <c r="I48" s="1413" t="e">
        <f>V48</f>
        <v>#DIV/0!</v>
      </c>
      <c r="J48" s="1176"/>
      <c r="K48" s="1550">
        <f>F48+H48+J48</f>
        <v>0</v>
      </c>
      <c r="L48" s="1169"/>
      <c r="M48" s="1042"/>
      <c r="N48" s="1042"/>
      <c r="O48" s="1042"/>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1441</v>
      </c>
      <c r="B49" s="1180"/>
      <c r="C49" s="1551" t="e">
        <f>R49</f>
        <v>#DIV/0!</v>
      </c>
      <c r="D49" s="1051"/>
      <c r="E49" s="1051"/>
      <c r="F49" s="1051"/>
      <c r="G49" s="1051"/>
      <c r="H49" s="1051"/>
      <c r="I49" s="1051"/>
      <c r="J49" s="1051"/>
      <c r="K49" s="1552"/>
      <c r="L49" s="1169"/>
      <c r="M49" s="1042"/>
      <c r="N49" s="1042"/>
      <c r="O49" s="104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1442</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1443</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1444</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1445</v>
      </c>
      <c r="B57" s="1170"/>
      <c r="C57" s="1232"/>
      <c r="D57" s="1232"/>
      <c r="E57" s="1232"/>
      <c r="F57" s="1233"/>
      <c r="G57" s="1233"/>
      <c r="H57" s="1232"/>
      <c r="I57" s="1232"/>
      <c r="J57" s="1232"/>
      <c r="K57" s="1364"/>
      <c r="L57" s="1365"/>
      <c r="M57" s="1236"/>
      <c r="N57" s="1236"/>
      <c r="O57" s="1236"/>
      <c r="P57" s="1554"/>
      <c r="Q57" s="1506"/>
    </row>
    <row r="58" spans="1:29" s="1014" customFormat="1" ht="15">
      <c r="A58" s="1415" t="s">
        <v>1391</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1446</v>
      </c>
      <c r="B60" s="1248"/>
      <c r="C60" s="1249"/>
      <c r="D60" s="1250"/>
      <c r="E60" s="1250"/>
      <c r="F60" s="1250"/>
      <c r="G60" s="1250"/>
      <c r="H60" s="1250"/>
      <c r="I60" s="1250"/>
      <c r="J60" s="1250"/>
      <c r="K60" s="1250"/>
      <c r="L60" s="1250"/>
      <c r="M60" s="1251"/>
      <c r="N60" s="1250"/>
      <c r="O60" s="1251"/>
      <c r="P60" s="1559"/>
      <c r="Q60" s="1506"/>
    </row>
    <row r="61" spans="1:29" s="1009" customFormat="1" ht="15">
      <c r="A61" s="1253" t="s">
        <v>1394</v>
      </c>
      <c r="B61" s="1254"/>
      <c r="C61" s="1255" t="s">
        <v>1447</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1448</v>
      </c>
      <c r="B63" s="1263" t="s">
        <v>1399</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1402</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1403</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1404</v>
      </c>
      <c r="B76" s="1263" t="s">
        <v>1478</v>
      </c>
      <c r="C76" s="1306" t="s">
        <v>1449</v>
      </c>
      <c r="D76" s="1306" t="s">
        <v>1450</v>
      </c>
      <c r="E76" s="1306" t="s">
        <v>1451</v>
      </c>
      <c r="F76" s="1306" t="s">
        <v>1452</v>
      </c>
      <c r="G76" s="1306" t="s">
        <v>1453</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1408</v>
      </c>
      <c r="C78" s="1311" t="s">
        <v>1449</v>
      </c>
      <c r="D78" s="1311" t="s">
        <v>1450</v>
      </c>
      <c r="E78" s="1311" t="s">
        <v>1451</v>
      </c>
      <c r="F78" s="1311" t="s">
        <v>1452</v>
      </c>
      <c r="G78" s="1311" t="s">
        <v>1453</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1409</v>
      </c>
      <c r="C80" s="1311" t="s">
        <v>1449</v>
      </c>
      <c r="D80" s="1311" t="s">
        <v>1450</v>
      </c>
      <c r="E80" s="1311" t="s">
        <v>1451</v>
      </c>
      <c r="F80" s="1311" t="s">
        <v>1452</v>
      </c>
      <c r="G80" s="1311" t="s">
        <v>1453</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1410</v>
      </c>
      <c r="C82" s="1273" t="s">
        <v>1454</v>
      </c>
      <c r="D82" s="1273" t="s">
        <v>1455</v>
      </c>
      <c r="E82" s="1273" t="s">
        <v>1456</v>
      </c>
      <c r="F82" s="1273" t="s">
        <v>1457</v>
      </c>
      <c r="G82" s="1273" t="s">
        <v>1458</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1468</v>
      </c>
      <c r="C84" s="1311" t="s">
        <v>1449</v>
      </c>
      <c r="D84" s="1311" t="s">
        <v>1450</v>
      </c>
      <c r="E84" s="1311" t="s">
        <v>1451</v>
      </c>
      <c r="F84" s="1311" t="s">
        <v>1452</v>
      </c>
      <c r="G84" s="1311" t="s">
        <v>1453</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1640</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1417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1418</v>
      </c>
      <c r="B100" s="1263" t="s">
        <v>1419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1422</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1423</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1641</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1425</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1429</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1642</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1643</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1434</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1437</v>
      </c>
      <c r="C124" s="1311" t="s">
        <v>1449</v>
      </c>
      <c r="D124" s="1311" t="s">
        <v>1450</v>
      </c>
      <c r="E124" s="1311" t="s">
        <v>1451</v>
      </c>
      <c r="F124" s="1311" t="s">
        <v>1452</v>
      </c>
      <c r="G124" s="1311" t="s">
        <v>1453</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1644</v>
      </c>
    </row>
    <row r="137" spans="1:17" ht="15">
      <c r="B137" s="1570" t="s">
        <v>1645</v>
      </c>
      <c r="C137" s="1571"/>
      <c r="D137" s="1571"/>
      <c r="E137" s="1571"/>
      <c r="F137" s="1571"/>
      <c r="G137" s="1572"/>
      <c r="H137" s="1573"/>
      <c r="I137" s="1574" t="s">
        <v>1646</v>
      </c>
      <c r="J137" s="1571"/>
      <c r="K137" s="1575"/>
    </row>
    <row r="138" spans="1:17" ht="15">
      <c r="B138" s="1576"/>
      <c r="C138" s="1577" t="s">
        <v>1647</v>
      </c>
      <c r="D138" s="1577" t="s">
        <v>1648</v>
      </c>
      <c r="E138" s="1578" t="s">
        <v>1649</v>
      </c>
      <c r="F138" s="1579" t="s">
        <v>1650</v>
      </c>
      <c r="G138" s="1577" t="s">
        <v>1648</v>
      </c>
      <c r="H138" s="1580" t="s">
        <v>1649</v>
      </c>
      <c r="I138" s="1581"/>
      <c r="J138" s="1577" t="s">
        <v>1651</v>
      </c>
      <c r="K138" s="1580" t="s">
        <v>1652</v>
      </c>
    </row>
    <row r="139" spans="1:17" ht="15">
      <c r="B139" s="1582">
        <v>6</v>
      </c>
      <c r="C139" s="1583">
        <v>96</v>
      </c>
      <c r="D139" s="1584" t="s">
        <v>1653</v>
      </c>
      <c r="E139" s="1585">
        <v>100</v>
      </c>
      <c r="F139" s="1586">
        <v>102.5</v>
      </c>
      <c r="G139" s="1584" t="s">
        <v>1653</v>
      </c>
      <c r="H139" s="1587">
        <v>105</v>
      </c>
      <c r="I139" s="1588" t="s">
        <v>1654</v>
      </c>
      <c r="J139" s="1583">
        <v>20</v>
      </c>
      <c r="K139" s="1589">
        <f>C145/(J139-2)</f>
        <v>4.0555555555555596E-3</v>
      </c>
    </row>
    <row r="140" spans="1:17" ht="15">
      <c r="B140" s="1590">
        <v>5</v>
      </c>
      <c r="C140" s="1591">
        <v>100</v>
      </c>
      <c r="D140" s="1591"/>
      <c r="E140" s="1592"/>
      <c r="F140" s="1593">
        <v>102</v>
      </c>
      <c r="G140" s="1591"/>
      <c r="H140" s="1594"/>
      <c r="I140" s="1595" t="s">
        <v>1655</v>
      </c>
      <c r="J140" s="418">
        <f>ROUNDUP((J139-1)/2,0)</f>
        <v>10</v>
      </c>
      <c r="K140" s="1596">
        <v>100</v>
      </c>
    </row>
    <row r="141" spans="1:17" ht="15">
      <c r="B141" s="1590">
        <v>4</v>
      </c>
      <c r="C141" s="1591">
        <v>102</v>
      </c>
      <c r="D141" s="1591"/>
      <c r="E141" s="1592"/>
      <c r="F141" s="1593">
        <v>101.5</v>
      </c>
      <c r="G141" s="1591"/>
      <c r="H141" s="1594"/>
      <c r="I141" s="1595" t="s">
        <v>1656</v>
      </c>
      <c r="J141" s="418">
        <v>1</v>
      </c>
      <c r="K141" s="1597">
        <f>ROUND(100+(J141-J140)*K139*100,1)</f>
        <v>96.4</v>
      </c>
    </row>
    <row r="142" spans="1:17" ht="15">
      <c r="B142" s="1590">
        <v>3</v>
      </c>
      <c r="C142" s="1591">
        <v>103</v>
      </c>
      <c r="D142" s="1591"/>
      <c r="E142" s="1592"/>
      <c r="F142" s="1593">
        <v>101</v>
      </c>
      <c r="G142" s="1591"/>
      <c r="H142" s="1594"/>
      <c r="I142" s="1595" t="s">
        <v>1657</v>
      </c>
      <c r="J142" s="418">
        <f>J139</f>
        <v>20</v>
      </c>
      <c r="K142" s="1598">
        <v>95</v>
      </c>
    </row>
    <row r="143" spans="1:17" ht="15">
      <c r="B143" s="1590">
        <v>2</v>
      </c>
      <c r="C143" s="1591">
        <v>100</v>
      </c>
      <c r="D143" s="1591"/>
      <c r="E143" s="1592"/>
      <c r="F143" s="1593">
        <v>100.5</v>
      </c>
      <c r="G143" s="1591"/>
      <c r="H143" s="1594"/>
      <c r="I143" s="1595" t="s">
        <v>1658</v>
      </c>
      <c r="J143" s="1591">
        <v>15</v>
      </c>
      <c r="K143" s="1597">
        <f>ROUND(100+(J143-J140)*K139*100,1)</f>
        <v>102</v>
      </c>
    </row>
    <row r="144" spans="1:17" ht="15">
      <c r="B144" s="1590">
        <v>1</v>
      </c>
      <c r="C144" s="1591">
        <v>98</v>
      </c>
      <c r="D144" s="1599" t="s">
        <v>1659</v>
      </c>
      <c r="E144" s="1592">
        <v>102</v>
      </c>
      <c r="F144" s="1600">
        <v>100</v>
      </c>
      <c r="G144" s="1599" t="s">
        <v>1659</v>
      </c>
      <c r="H144" s="1594">
        <v>105</v>
      </c>
      <c r="I144" s="1595" t="s">
        <v>1658</v>
      </c>
      <c r="J144" s="1591">
        <v>18</v>
      </c>
      <c r="K144" s="1597">
        <f>ROUND(100+(J144-J140)*K139*100,1)</f>
        <v>103.2</v>
      </c>
    </row>
    <row r="145" spans="2:11" ht="15">
      <c r="B145" s="592" t="s">
        <v>1660</v>
      </c>
      <c r="C145" s="1601">
        <f>ROUND(MAX(C139:C144)/MIN(C139:C144)-1,3)</f>
        <v>7.2999999999999995E-2</v>
      </c>
      <c r="D145" s="1602"/>
      <c r="E145" s="1602"/>
      <c r="F145" s="1603" t="s">
        <v>1661</v>
      </c>
      <c r="G145" s="1604"/>
      <c r="H145" s="1605"/>
      <c r="I145" s="1606" t="s">
        <v>1658</v>
      </c>
      <c r="J145" s="1607">
        <v>8</v>
      </c>
      <c r="K145" s="1608">
        <f>ROUND(100+(J145-J140)*K139*100,1)</f>
        <v>99.2</v>
      </c>
    </row>
    <row r="147" spans="2:11">
      <c r="B147" s="1569" t="s">
        <v>1662</v>
      </c>
    </row>
    <row r="148" spans="2:11">
      <c r="B148" s="1569" t="s">
        <v>1663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1664</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1378</v>
      </c>
      <c r="D3" s="1388">
        <f>IF(D1="",'数据-汇总表'!E3,SUMIF('数据-汇总表'!$C19:$C33,D1,'数据-汇总表'!$E19:$E33))</f>
        <v>296</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489"/>
      <c r="M4" s="1225"/>
      <c r="N4" s="1225"/>
      <c r="O4" s="1225"/>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489"/>
      <c r="M5" s="1225"/>
      <c r="N5" s="1225"/>
      <c r="O5" s="1225"/>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489"/>
      <c r="M6" s="1225"/>
      <c r="N6" s="1225"/>
      <c r="O6" s="1225"/>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45981</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40" si="3">D8/F8</f>
        <v>1</v>
      </c>
      <c r="AB8" s="1069">
        <f t="shared" ref="AB8:AB40" si="4">D8/H8</f>
        <v>1</v>
      </c>
      <c r="AC8" s="1069">
        <f t="shared" ref="AC8:AC40" si="5">D8/J8</f>
        <v>1</v>
      </c>
    </row>
    <row r="9" spans="1:29" s="1009" customFormat="1">
      <c r="A9" s="1071" t="s">
        <v>1398</v>
      </c>
      <c r="B9" s="1072" t="s">
        <v>1399</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2" t="s">
        <v>1400</v>
      </c>
      <c r="Q9" s="809" t="str">
        <f t="shared" ref="Q9:Q15" si="6">B9</f>
        <v>用途</v>
      </c>
      <c r="R9" s="1065" t="s">
        <v>1393</v>
      </c>
      <c r="S9" s="1066">
        <f t="shared" si="0"/>
        <v>100</v>
      </c>
      <c r="T9" s="1065" t="s">
        <v>1393</v>
      </c>
      <c r="U9" s="1066">
        <f t="shared" si="1"/>
        <v>100</v>
      </c>
      <c r="V9" s="1065" t="s">
        <v>1393</v>
      </c>
      <c r="W9" s="1066">
        <f t="shared" si="2"/>
        <v>100</v>
      </c>
      <c r="X9" s="1067"/>
      <c r="Y9" s="3358"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2"/>
      <c r="Q10" s="809" t="str">
        <f t="shared" si="6"/>
        <v>土地使用年限（年）</v>
      </c>
      <c r="R10" s="1065" t="s">
        <v>1393</v>
      </c>
      <c r="S10" s="1066">
        <f t="shared" si="0"/>
        <v>100</v>
      </c>
      <c r="T10" s="1065" t="s">
        <v>1393</v>
      </c>
      <c r="U10" s="1066">
        <f t="shared" si="1"/>
        <v>100</v>
      </c>
      <c r="V10" s="1065" t="s">
        <v>1393</v>
      </c>
      <c r="W10" s="1066">
        <f t="shared" si="2"/>
        <v>100</v>
      </c>
      <c r="X10" s="1067"/>
      <c r="Y10" s="3358"/>
      <c r="Z10" s="1069" t="str">
        <f t="shared" si="7"/>
        <v>土地使用年限（年）</v>
      </c>
      <c r="AA10" s="1069">
        <f t="shared" si="3"/>
        <v>1</v>
      </c>
      <c r="AB10" s="1069">
        <f t="shared" si="4"/>
        <v>1</v>
      </c>
      <c r="AC10" s="1069">
        <f t="shared" si="5"/>
        <v>1</v>
      </c>
    </row>
    <row r="11" spans="1:29" ht="15">
      <c r="A11" s="1084"/>
      <c r="B11" s="1077" t="s">
        <v>1403</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2"/>
      <c r="Q11" s="809" t="str">
        <f t="shared" si="6"/>
        <v>容积率</v>
      </c>
      <c r="R11" s="1065" t="s">
        <v>1393</v>
      </c>
      <c r="S11" s="1066">
        <f t="shared" si="0"/>
        <v>100</v>
      </c>
      <c r="T11" s="1065" t="s">
        <v>1393</v>
      </c>
      <c r="U11" s="1066">
        <f t="shared" si="1"/>
        <v>100</v>
      </c>
      <c r="V11" s="1065" t="s">
        <v>1393</v>
      </c>
      <c r="W11" s="1066">
        <f t="shared" si="2"/>
        <v>100</v>
      </c>
      <c r="X11" s="1067"/>
      <c r="Y11" s="3358"/>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2"/>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2"/>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2"/>
      <c r="Q14" s="809">
        <f t="shared" si="6"/>
        <v>111</v>
      </c>
      <c r="R14" s="1065" t="s">
        <v>1393</v>
      </c>
      <c r="S14" s="1066">
        <f t="shared" si="0"/>
        <v>100</v>
      </c>
      <c r="T14" s="1065" t="s">
        <v>1393</v>
      </c>
      <c r="U14" s="1066">
        <f t="shared" si="1"/>
        <v>100</v>
      </c>
      <c r="V14" s="1065" t="s">
        <v>1393</v>
      </c>
      <c r="W14" s="1066">
        <f t="shared" si="2"/>
        <v>100</v>
      </c>
      <c r="X14" s="1067"/>
      <c r="Y14" s="3358"/>
      <c r="Z14" s="1069">
        <f t="shared" si="7"/>
        <v>111</v>
      </c>
      <c r="AA14" s="1069">
        <f t="shared" si="3"/>
        <v>1</v>
      </c>
      <c r="AB14" s="1069">
        <f t="shared" si="4"/>
        <v>1</v>
      </c>
      <c r="AC14" s="1069">
        <f t="shared" si="5"/>
        <v>1</v>
      </c>
    </row>
    <row r="15" spans="1:29" ht="57">
      <c r="A15" s="1101" t="s">
        <v>1404</v>
      </c>
      <c r="B15" s="1342" t="s">
        <v>1665</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89" t="s">
        <v>1406</v>
      </c>
      <c r="Q15" s="705" t="str">
        <f t="shared" si="6"/>
        <v>产业集聚程度</v>
      </c>
      <c r="R15" s="1107" t="s">
        <v>1393</v>
      </c>
      <c r="S15" s="1108">
        <f t="shared" si="0"/>
        <v>100</v>
      </c>
      <c r="T15" s="1107" t="s">
        <v>1393</v>
      </c>
      <c r="U15" s="1108">
        <f t="shared" si="1"/>
        <v>100</v>
      </c>
      <c r="V15" s="1107" t="s">
        <v>1393</v>
      </c>
      <c r="W15" s="1108">
        <f t="shared" si="2"/>
        <v>100</v>
      </c>
      <c r="X15" s="1046"/>
      <c r="Y15" s="3389" t="s">
        <v>1406</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0"/>
      <c r="Q16" s="705"/>
      <c r="R16" s="1107"/>
      <c r="S16" s="1108"/>
      <c r="T16" s="1107"/>
      <c r="U16" s="1108"/>
      <c r="V16" s="1107"/>
      <c r="W16" s="1108"/>
      <c r="X16" s="1046"/>
      <c r="Y16" s="3390"/>
      <c r="Z16" s="1045"/>
      <c r="AA16" s="1045">
        <v>1</v>
      </c>
      <c r="AB16" s="1045">
        <v>1</v>
      </c>
      <c r="AC16" s="1045">
        <v>1</v>
      </c>
    </row>
    <row r="17" spans="1:29" ht="85.5">
      <c r="A17" s="1084"/>
      <c r="B17" s="1344" t="s">
        <v>1408</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0"/>
      <c r="Q17" s="705" t="str">
        <f>B17</f>
        <v>交通便捷度</v>
      </c>
      <c r="R17" s="1107" t="s">
        <v>1393</v>
      </c>
      <c r="S17" s="1108">
        <f>F17</f>
        <v>100</v>
      </c>
      <c r="T17" s="1107" t="s">
        <v>1393</v>
      </c>
      <c r="U17" s="1108">
        <f>H17</f>
        <v>100</v>
      </c>
      <c r="V17" s="1107" t="s">
        <v>1393</v>
      </c>
      <c r="W17" s="1108">
        <f>J17</f>
        <v>100</v>
      </c>
      <c r="X17" s="1046"/>
      <c r="Y17" s="3390"/>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0"/>
      <c r="Q18" s="705"/>
      <c r="R18" s="1107"/>
      <c r="S18" s="1108"/>
      <c r="T18" s="1107"/>
      <c r="U18" s="1108"/>
      <c r="V18" s="1107"/>
      <c r="W18" s="1108"/>
      <c r="X18" s="1046"/>
      <c r="Y18" s="3390"/>
      <c r="Z18" s="1045"/>
      <c r="AA18" s="1045">
        <v>1</v>
      </c>
      <c r="AB18" s="1045">
        <v>1</v>
      </c>
      <c r="AC18" s="1045">
        <v>1</v>
      </c>
    </row>
    <row r="19" spans="1:29" ht="42.75">
      <c r="A19" s="1084"/>
      <c r="B19" s="1344" t="s">
        <v>1409</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0"/>
      <c r="Q19" s="705" t="str">
        <f>B19</f>
        <v>公共配套设施</v>
      </c>
      <c r="R19" s="1107" t="s">
        <v>1393</v>
      </c>
      <c r="S19" s="1108">
        <f>F19</f>
        <v>100</v>
      </c>
      <c r="T19" s="1107" t="s">
        <v>1393</v>
      </c>
      <c r="U19" s="1108">
        <f>H19</f>
        <v>100</v>
      </c>
      <c r="V19" s="1107" t="s">
        <v>1393</v>
      </c>
      <c r="W19" s="1108">
        <f>J19</f>
        <v>100</v>
      </c>
      <c r="X19" s="1046"/>
      <c r="Y19" s="3390"/>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0"/>
      <c r="Q20" s="705"/>
      <c r="R20" s="1107"/>
      <c r="S20" s="1108"/>
      <c r="T20" s="1107"/>
      <c r="U20" s="1108"/>
      <c r="V20" s="1107"/>
      <c r="W20" s="1108"/>
      <c r="X20" s="1046"/>
      <c r="Y20" s="3390"/>
      <c r="Z20" s="1045"/>
      <c r="AA20" s="1045">
        <v>1</v>
      </c>
      <c r="AB20" s="1045">
        <v>1</v>
      </c>
      <c r="AC20" s="1045">
        <v>1</v>
      </c>
    </row>
    <row r="21" spans="1:29" ht="28.5">
      <c r="A21" s="1084"/>
      <c r="B21" s="1350" t="s">
        <v>1410</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0"/>
      <c r="Q21" s="705" t="str">
        <f>B21</f>
        <v>基础设施水平</v>
      </c>
      <c r="R21" s="1107" t="s">
        <v>1393</v>
      </c>
      <c r="S21" s="1108">
        <f>F21</f>
        <v>100</v>
      </c>
      <c r="T21" s="1107" t="s">
        <v>1393</v>
      </c>
      <c r="U21" s="1108">
        <f>H21</f>
        <v>100</v>
      </c>
      <c r="V21" s="1107" t="s">
        <v>1393</v>
      </c>
      <c r="W21" s="1108">
        <f>J21</f>
        <v>100</v>
      </c>
      <c r="X21" s="1046"/>
      <c r="Y21" s="3390"/>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0"/>
      <c r="Q22" s="705"/>
      <c r="R22" s="1107"/>
      <c r="S22" s="1108"/>
      <c r="T22" s="1107"/>
      <c r="U22" s="1108"/>
      <c r="V22" s="1107"/>
      <c r="W22" s="1108"/>
      <c r="X22" s="1046"/>
      <c r="Y22" s="3390"/>
      <c r="Z22" s="1045"/>
      <c r="AA22" s="1045">
        <v>1</v>
      </c>
      <c r="AB22" s="1045">
        <v>1</v>
      </c>
      <c r="AC22" s="1045">
        <v>1</v>
      </c>
    </row>
    <row r="23" spans="1:29" ht="71.25">
      <c r="A23" s="1084"/>
      <c r="B23" s="1344" t="s">
        <v>1411</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0"/>
      <c r="Q23" s="705" t="str">
        <f>B23</f>
        <v>环境质量</v>
      </c>
      <c r="R23" s="1107" t="s">
        <v>1393</v>
      </c>
      <c r="S23" s="1108">
        <f>F23</f>
        <v>100</v>
      </c>
      <c r="T23" s="1107" t="s">
        <v>1393</v>
      </c>
      <c r="U23" s="1108">
        <f>H23</f>
        <v>100</v>
      </c>
      <c r="V23" s="1107" t="s">
        <v>1393</v>
      </c>
      <c r="W23" s="1108">
        <f>J23</f>
        <v>100</v>
      </c>
      <c r="X23" s="1046"/>
      <c r="Y23" s="3390"/>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0"/>
      <c r="Q24" s="705"/>
      <c r="R24" s="1107"/>
      <c r="S24" s="1108"/>
      <c r="T24" s="1107"/>
      <c r="U24" s="1108"/>
      <c r="V24" s="1107"/>
      <c r="W24" s="1108"/>
      <c r="X24" s="1046"/>
      <c r="Y24" s="3390"/>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0"/>
      <c r="Q25" s="705">
        <f>B25</f>
        <v>111</v>
      </c>
      <c r="R25" s="1107" t="s">
        <v>1393</v>
      </c>
      <c r="S25" s="1108">
        <f>F25</f>
        <v>100</v>
      </c>
      <c r="T25" s="1107" t="s">
        <v>1393</v>
      </c>
      <c r="U25" s="1108">
        <f>H25</f>
        <v>100</v>
      </c>
      <c r="V25" s="1107" t="s">
        <v>1393</v>
      </c>
      <c r="W25" s="1108">
        <f>J25</f>
        <v>100</v>
      </c>
      <c r="X25" s="1046"/>
      <c r="Y25" s="3390"/>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0"/>
      <c r="Q26" s="705">
        <f t="shared" ref="Q26:Q40" si="11">B26</f>
        <v>111</v>
      </c>
      <c r="R26" s="1107" t="s">
        <v>1393</v>
      </c>
      <c r="S26" s="1108">
        <f>F26</f>
        <v>100</v>
      </c>
      <c r="T26" s="1107" t="s">
        <v>1393</v>
      </c>
      <c r="U26" s="1108">
        <f>H26</f>
        <v>100</v>
      </c>
      <c r="V26" s="1107" t="s">
        <v>1393</v>
      </c>
      <c r="W26" s="1108">
        <f>J26</f>
        <v>100</v>
      </c>
      <c r="X26" s="1046"/>
      <c r="Y26" s="3390"/>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0"/>
      <c r="Q27" s="809">
        <f t="shared" si="11"/>
        <v>111</v>
      </c>
      <c r="R27" s="1065" t="s">
        <v>1393</v>
      </c>
      <c r="S27" s="1066">
        <f>F27</f>
        <v>100</v>
      </c>
      <c r="T27" s="1065" t="s">
        <v>1393</v>
      </c>
      <c r="U27" s="1066">
        <f>H27</f>
        <v>100</v>
      </c>
      <c r="V27" s="1065" t="s">
        <v>1393</v>
      </c>
      <c r="W27" s="1066">
        <f>J27</f>
        <v>100</v>
      </c>
      <c r="X27" s="1067"/>
      <c r="Y27" s="3390"/>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0"/>
      <c r="Q28" s="705">
        <f t="shared" si="11"/>
        <v>111</v>
      </c>
      <c r="R28" s="1107" t="s">
        <v>1393</v>
      </c>
      <c r="S28" s="1108">
        <f t="shared" ref="S28:S40" si="12">F28</f>
        <v>100</v>
      </c>
      <c r="T28" s="1107" t="s">
        <v>1393</v>
      </c>
      <c r="U28" s="1108">
        <f t="shared" ref="U28:U40" si="13">H28</f>
        <v>100</v>
      </c>
      <c r="V28" s="1107" t="s">
        <v>1393</v>
      </c>
      <c r="W28" s="1108">
        <f t="shared" ref="W28:W40" si="14">J28</f>
        <v>100</v>
      </c>
      <c r="X28" s="1046"/>
      <c r="Y28" s="3390"/>
      <c r="Z28" s="1045">
        <f t="shared" ref="Z28:Z40" si="15">Q28</f>
        <v>111</v>
      </c>
      <c r="AA28" s="1045">
        <f t="shared" si="3"/>
        <v>1</v>
      </c>
      <c r="AB28" s="1045">
        <f t="shared" si="4"/>
        <v>1</v>
      </c>
      <c r="AC28" s="1045">
        <f t="shared" si="5"/>
        <v>1</v>
      </c>
    </row>
    <row r="29" spans="1:29" ht="28.5">
      <c r="A29" s="1399" t="s">
        <v>1418</v>
      </c>
      <c r="B29" s="1072" t="s">
        <v>1419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1421</v>
      </c>
      <c r="Q29" s="705" t="str">
        <f t="shared" si="11"/>
        <v>建筑类型</v>
      </c>
      <c r="R29" s="1107" t="s">
        <v>1393</v>
      </c>
      <c r="S29" s="1108">
        <f t="shared" si="12"/>
        <v>100</v>
      </c>
      <c r="T29" s="1107" t="s">
        <v>1393</v>
      </c>
      <c r="U29" s="1108">
        <f t="shared" si="13"/>
        <v>100</v>
      </c>
      <c r="V29" s="1107" t="s">
        <v>1393</v>
      </c>
      <c r="W29" s="1108">
        <f t="shared" si="14"/>
        <v>100</v>
      </c>
      <c r="X29" s="1046"/>
      <c r="Y29" s="3391" t="s">
        <v>1421</v>
      </c>
      <c r="Z29" s="1045" t="str">
        <f t="shared" si="15"/>
        <v>建筑类型</v>
      </c>
      <c r="AA29" s="1045">
        <f t="shared" si="3"/>
        <v>1</v>
      </c>
      <c r="AB29" s="1045">
        <f t="shared" si="4"/>
        <v>1</v>
      </c>
      <c r="AC29" s="1045">
        <f t="shared" si="5"/>
        <v>1</v>
      </c>
    </row>
    <row r="30" spans="1:29" s="1011" customFormat="1" ht="15">
      <c r="A30" s="1157"/>
      <c r="B30" s="1077" t="s">
        <v>1422</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1"/>
      <c r="Q30" s="1404" t="str">
        <f t="shared" si="11"/>
        <v>项目建筑规模</v>
      </c>
      <c r="R30" s="1145" t="s">
        <v>1393</v>
      </c>
      <c r="S30" s="1146" t="e">
        <f t="shared" si="12"/>
        <v>#N/A</v>
      </c>
      <c r="T30" s="1145" t="s">
        <v>1393</v>
      </c>
      <c r="U30" s="1146" t="e">
        <f t="shared" si="13"/>
        <v>#N/A</v>
      </c>
      <c r="V30" s="1145" t="s">
        <v>1393</v>
      </c>
      <c r="W30" s="1146" t="e">
        <f t="shared" si="14"/>
        <v>#N/A</v>
      </c>
      <c r="X30" s="1147"/>
      <c r="Y30" s="3391"/>
      <c r="Z30" s="1148" t="str">
        <f t="shared" si="15"/>
        <v>项目建筑规模</v>
      </c>
      <c r="AA30" s="1045" t="e">
        <f t="shared" si="3"/>
        <v>#N/A</v>
      </c>
      <c r="AB30" s="1045" t="e">
        <f t="shared" si="4"/>
        <v>#N/A</v>
      </c>
      <c r="AC30" s="1045" t="e">
        <f t="shared" si="5"/>
        <v>#N/A</v>
      </c>
    </row>
    <row r="31" spans="1:29" ht="15">
      <c r="A31" s="1152"/>
      <c r="B31" s="1077" t="s">
        <v>1423</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1"/>
      <c r="Q31" s="705" t="str">
        <f t="shared" si="11"/>
        <v>建筑结构</v>
      </c>
      <c r="R31" s="1107" t="s">
        <v>1393</v>
      </c>
      <c r="S31" s="1108">
        <f t="shared" si="12"/>
        <v>100</v>
      </c>
      <c r="T31" s="1107" t="s">
        <v>1393</v>
      </c>
      <c r="U31" s="1108">
        <f t="shared" si="13"/>
        <v>100</v>
      </c>
      <c r="V31" s="1107" t="s">
        <v>1393</v>
      </c>
      <c r="W31" s="1108">
        <f t="shared" si="14"/>
        <v>100</v>
      </c>
      <c r="X31" s="1046"/>
      <c r="Y31" s="3391"/>
      <c r="Z31" s="1045" t="str">
        <f t="shared" si="15"/>
        <v>建筑结构</v>
      </c>
      <c r="AA31" s="1045">
        <f t="shared" si="3"/>
        <v>1</v>
      </c>
      <c r="AB31" s="1045">
        <f t="shared" si="4"/>
        <v>1</v>
      </c>
      <c r="AC31" s="1045">
        <f t="shared" si="5"/>
        <v>1</v>
      </c>
    </row>
    <row r="32" spans="1:29" ht="15">
      <c r="A32" s="1152"/>
      <c r="B32" s="1077" t="s">
        <v>1425</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1"/>
      <c r="Q32" s="705" t="str">
        <f t="shared" si="11"/>
        <v>公共部分装修</v>
      </c>
      <c r="R32" s="1107" t="s">
        <v>1393</v>
      </c>
      <c r="S32" s="1108">
        <f t="shared" si="12"/>
        <v>100</v>
      </c>
      <c r="T32" s="1107" t="s">
        <v>1393</v>
      </c>
      <c r="U32" s="1108">
        <f t="shared" si="13"/>
        <v>100</v>
      </c>
      <c r="V32" s="1107" t="s">
        <v>1393</v>
      </c>
      <c r="W32" s="1108">
        <f t="shared" si="14"/>
        <v>100</v>
      </c>
      <c r="X32" s="1046"/>
      <c r="Y32" s="3391"/>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1"/>
      <c r="Q33" s="705" t="str">
        <f t="shared" si="11"/>
        <v>成新度</v>
      </c>
      <c r="R33" s="1107" t="s">
        <v>1393</v>
      </c>
      <c r="S33" s="1108" t="e">
        <f t="shared" si="12"/>
        <v>#N/A</v>
      </c>
      <c r="T33" s="1107" t="s">
        <v>1393</v>
      </c>
      <c r="U33" s="1108" t="e">
        <f t="shared" si="13"/>
        <v>#N/A</v>
      </c>
      <c r="V33" s="1107" t="s">
        <v>1393</v>
      </c>
      <c r="W33" s="1108" t="e">
        <f t="shared" si="14"/>
        <v>#N/A</v>
      </c>
      <c r="X33" s="1046"/>
      <c r="Y33" s="3391"/>
      <c r="Z33" s="1045" t="str">
        <f t="shared" si="15"/>
        <v>成新度</v>
      </c>
      <c r="AA33" s="1045" t="e">
        <f t="shared" si="3"/>
        <v>#N/A</v>
      </c>
      <c r="AB33" s="1045" t="e">
        <f t="shared" si="4"/>
        <v>#N/A</v>
      </c>
      <c r="AC33" s="1045" t="e">
        <f t="shared" si="5"/>
        <v>#N/A</v>
      </c>
    </row>
    <row r="34" spans="1:29" s="1009" customFormat="1" ht="15">
      <c r="A34" s="1154"/>
      <c r="B34" s="1077" t="s">
        <v>1429</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1"/>
      <c r="Q34" s="809" t="str">
        <f t="shared" si="11"/>
        <v>物业管理</v>
      </c>
      <c r="R34" s="1065" t="s">
        <v>1393</v>
      </c>
      <c r="S34" s="1066">
        <f t="shared" si="12"/>
        <v>100</v>
      </c>
      <c r="T34" s="1065" t="s">
        <v>1393</v>
      </c>
      <c r="U34" s="1066">
        <f t="shared" si="13"/>
        <v>100</v>
      </c>
      <c r="V34" s="1065" t="s">
        <v>1393</v>
      </c>
      <c r="W34" s="1066">
        <f t="shared" si="14"/>
        <v>100</v>
      </c>
      <c r="X34" s="1067"/>
      <c r="Y34" s="3391"/>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1" t="s">
        <v>1421</v>
      </c>
      <c r="Q35" s="705" t="str">
        <f t="shared" si="11"/>
        <v>市政基础设施</v>
      </c>
      <c r="R35" s="1107" t="s">
        <v>1393</v>
      </c>
      <c r="S35" s="1108">
        <f t="shared" si="12"/>
        <v>100</v>
      </c>
      <c r="T35" s="1107" t="s">
        <v>1393</v>
      </c>
      <c r="U35" s="1108">
        <f t="shared" si="13"/>
        <v>100</v>
      </c>
      <c r="V35" s="1107" t="s">
        <v>1393</v>
      </c>
      <c r="W35" s="1108">
        <f t="shared" si="14"/>
        <v>100</v>
      </c>
      <c r="X35" s="1046"/>
      <c r="Y35" s="3391" t="s">
        <v>1421</v>
      </c>
      <c r="Z35" s="1045" t="str">
        <f t="shared" si="15"/>
        <v>市政基础设施</v>
      </c>
      <c r="AA35" s="1045">
        <f t="shared" si="3"/>
        <v>1</v>
      </c>
      <c r="AB35" s="1045">
        <f t="shared" si="4"/>
        <v>1</v>
      </c>
      <c r="AC35" s="1045">
        <f t="shared" si="5"/>
        <v>1</v>
      </c>
    </row>
    <row r="36" spans="1:29" ht="15">
      <c r="A36" s="1152"/>
      <c r="B36" s="1077" t="s">
        <v>1434</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1"/>
      <c r="Q36" s="705" t="str">
        <f t="shared" si="11"/>
        <v>内部装修</v>
      </c>
      <c r="R36" s="1107" t="s">
        <v>1393</v>
      </c>
      <c r="S36" s="1108">
        <f t="shared" si="12"/>
        <v>100</v>
      </c>
      <c r="T36" s="1107" t="s">
        <v>1393</v>
      </c>
      <c r="U36" s="1108">
        <f t="shared" si="13"/>
        <v>100</v>
      </c>
      <c r="V36" s="1107" t="s">
        <v>1393</v>
      </c>
      <c r="W36" s="1108">
        <f t="shared" si="14"/>
        <v>100</v>
      </c>
      <c r="X36" s="1046"/>
      <c r="Y36" s="3391"/>
      <c r="Z36" s="1045" t="str">
        <f t="shared" si="15"/>
        <v>内部装修</v>
      </c>
      <c r="AA36" s="1045">
        <f t="shared" si="3"/>
        <v>1</v>
      </c>
      <c r="AB36" s="1045">
        <f t="shared" si="4"/>
        <v>1</v>
      </c>
      <c r="AC36" s="1045">
        <f t="shared" si="5"/>
        <v>1</v>
      </c>
    </row>
    <row r="37" spans="1:29" ht="15">
      <c r="A37" s="1152"/>
      <c r="B37" s="1077" t="s">
        <v>1666</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1"/>
      <c r="Q37" s="705" t="str">
        <f t="shared" si="11"/>
        <v>内部装修状况</v>
      </c>
      <c r="R37" s="1107" t="s">
        <v>1393</v>
      </c>
      <c r="S37" s="1108">
        <f t="shared" si="12"/>
        <v>100</v>
      </c>
      <c r="T37" s="1107" t="s">
        <v>1393</v>
      </c>
      <c r="U37" s="1108">
        <f t="shared" si="13"/>
        <v>100</v>
      </c>
      <c r="V37" s="1107" t="s">
        <v>1393</v>
      </c>
      <c r="W37" s="1108">
        <f t="shared" si="14"/>
        <v>100</v>
      </c>
      <c r="X37" s="1046"/>
      <c r="Y37" s="3391"/>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1"/>
      <c r="Q38" s="1404">
        <f t="shared" si="11"/>
        <v>111</v>
      </c>
      <c r="R38" s="1145" t="s">
        <v>1393</v>
      </c>
      <c r="S38" s="1146">
        <f t="shared" si="12"/>
        <v>100</v>
      </c>
      <c r="T38" s="1145" t="s">
        <v>1393</v>
      </c>
      <c r="U38" s="1146">
        <f t="shared" si="13"/>
        <v>100</v>
      </c>
      <c r="V38" s="1145" t="s">
        <v>1393</v>
      </c>
      <c r="W38" s="1146">
        <f t="shared" si="14"/>
        <v>100</v>
      </c>
      <c r="X38" s="1147"/>
      <c r="Y38" s="3391"/>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1"/>
      <c r="Q39" s="705">
        <f t="shared" si="11"/>
        <v>111</v>
      </c>
      <c r="R39" s="1107" t="s">
        <v>1393</v>
      </c>
      <c r="S39" s="1108">
        <f t="shared" si="12"/>
        <v>100</v>
      </c>
      <c r="T39" s="1107" t="s">
        <v>1393</v>
      </c>
      <c r="U39" s="1108">
        <f t="shared" si="13"/>
        <v>100</v>
      </c>
      <c r="V39" s="1107" t="s">
        <v>1393</v>
      </c>
      <c r="W39" s="1108">
        <f t="shared" si="14"/>
        <v>100</v>
      </c>
      <c r="X39" s="1046"/>
      <c r="Y39" s="3391"/>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2"/>
      <c r="Q40" s="705">
        <f t="shared" si="11"/>
        <v>111</v>
      </c>
      <c r="R40" s="1107" t="s">
        <v>1393</v>
      </c>
      <c r="S40" s="1108">
        <f t="shared" si="12"/>
        <v>100</v>
      </c>
      <c r="T40" s="1107" t="s">
        <v>1393</v>
      </c>
      <c r="U40" s="1108">
        <f t="shared" si="13"/>
        <v>100</v>
      </c>
      <c r="V40" s="1107" t="s">
        <v>1393</v>
      </c>
      <c r="W40" s="1108">
        <f t="shared" si="14"/>
        <v>100</v>
      </c>
      <c r="X40" s="1046"/>
      <c r="Y40" s="3392"/>
      <c r="Z40" s="1045">
        <f t="shared" si="15"/>
        <v>111</v>
      </c>
      <c r="AA40" s="1045">
        <f t="shared" si="3"/>
        <v>1</v>
      </c>
      <c r="AB40" s="1045">
        <f t="shared" si="4"/>
        <v>1</v>
      </c>
      <c r="AC40" s="1045">
        <f t="shared" si="5"/>
        <v>1</v>
      </c>
    </row>
    <row r="41" spans="1:29" ht="15">
      <c r="A41" s="1160" t="s">
        <v>1438</v>
      </c>
      <c r="B41" s="1409"/>
      <c r="C41" s="1410" t="s">
        <v>124</v>
      </c>
      <c r="D41" s="1163"/>
      <c r="E41" s="1164"/>
      <c r="F41" s="1165"/>
      <c r="G41" s="1166"/>
      <c r="H41" s="1167"/>
      <c r="I41" s="1164"/>
      <c r="J41" s="1167"/>
      <c r="K41" s="1168"/>
      <c r="L41" s="1502"/>
      <c r="M41" s="1225"/>
      <c r="N41" s="1225"/>
      <c r="O41" s="1225"/>
      <c r="P41" s="3382" t="str">
        <f>A41</f>
        <v>成交单价（元/平方米）</v>
      </c>
      <c r="Q41" s="3382"/>
      <c r="R41" s="3383">
        <f>E41</f>
        <v>0</v>
      </c>
      <c r="S41" s="3383"/>
      <c r="T41" s="3383">
        <f>G41</f>
        <v>0</v>
      </c>
      <c r="U41" s="3383"/>
      <c r="V41" s="3383">
        <f>I41</f>
        <v>0</v>
      </c>
      <c r="W41" s="3383"/>
      <c r="X41" s="1170"/>
      <c r="Y41" s="1171"/>
      <c r="Z41" s="1170"/>
      <c r="AA41" s="1170"/>
      <c r="AB41" s="1170"/>
      <c r="AC41" s="1170"/>
    </row>
    <row r="42" spans="1:29" ht="15">
      <c r="A42" s="1172" t="s">
        <v>1439</v>
      </c>
      <c r="B42" s="1411"/>
      <c r="C42" s="1412" t="e">
        <f>R43</f>
        <v>#DIV/0!</v>
      </c>
      <c r="D42" s="1175" t="s">
        <v>1440</v>
      </c>
      <c r="E42" s="1413" t="e">
        <f>R42</f>
        <v>#DIV/0!</v>
      </c>
      <c r="F42" s="1176"/>
      <c r="G42" s="1412" t="e">
        <f>T42</f>
        <v>#DIV/0!</v>
      </c>
      <c r="H42" s="1176"/>
      <c r="I42" s="1413" t="e">
        <f>V42</f>
        <v>#DIV/0!</v>
      </c>
      <c r="J42" s="1176"/>
      <c r="K42" s="1178">
        <f>F42+H42+J42</f>
        <v>0</v>
      </c>
      <c r="L42" s="1502"/>
      <c r="M42" s="1225"/>
      <c r="N42" s="1225"/>
      <c r="O42" s="1225"/>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1441</v>
      </c>
      <c r="B43" s="1180"/>
      <c r="C43" s="1051" t="e">
        <f>R43</f>
        <v>#DIV/0!</v>
      </c>
      <c r="D43" s="1051"/>
      <c r="E43" s="1051"/>
      <c r="F43" s="1051"/>
      <c r="G43" s="1051"/>
      <c r="H43" s="1051"/>
      <c r="I43" s="1051"/>
      <c r="J43" s="1051"/>
      <c r="K43" s="1182"/>
      <c r="L43" s="1502"/>
      <c r="M43" s="1225"/>
      <c r="N43" s="1225"/>
      <c r="O43" s="1225"/>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1445</v>
      </c>
      <c r="B51" s="1170"/>
      <c r="C51" s="1232"/>
      <c r="D51" s="1232"/>
      <c r="E51" s="1232"/>
      <c r="F51" s="1233"/>
      <c r="G51" s="1233"/>
      <c r="H51" s="1232"/>
      <c r="I51" s="1232"/>
      <c r="J51" s="1232"/>
      <c r="K51" s="1364"/>
      <c r="L51" s="1365"/>
      <c r="M51" s="1236"/>
      <c r="N51" s="1236"/>
      <c r="O51" s="1236"/>
      <c r="P51" s="1505"/>
      <c r="Q51" s="1506"/>
    </row>
    <row r="52" spans="1:17" s="1014" customFormat="1" ht="15">
      <c r="A52" s="1415" t="s">
        <v>1391</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1446</v>
      </c>
      <c r="B54" s="1248"/>
      <c r="C54" s="1249"/>
      <c r="D54" s="1250"/>
      <c r="E54" s="1250"/>
      <c r="F54" s="1250"/>
      <c r="G54" s="1250"/>
      <c r="H54" s="1250"/>
      <c r="I54" s="1250"/>
      <c r="J54" s="1250"/>
      <c r="K54" s="1250"/>
      <c r="L54" s="1250"/>
      <c r="M54" s="1251"/>
      <c r="N54" s="1507"/>
      <c r="O54" s="1508"/>
      <c r="P54" s="1506"/>
      <c r="Q54" s="1506"/>
    </row>
    <row r="55" spans="1:17" s="1009" customFormat="1" ht="15">
      <c r="A55" s="1253" t="s">
        <v>1394</v>
      </c>
      <c r="B55" s="1254"/>
      <c r="C55" s="1255" t="s">
        <v>1447</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1448</v>
      </c>
      <c r="B57" s="1263" t="s">
        <v>1399</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1402</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1403</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1404</v>
      </c>
      <c r="B70" s="1263" t="s">
        <v>1665</v>
      </c>
      <c r="C70" s="1306" t="s">
        <v>1449</v>
      </c>
      <c r="D70" s="1306" t="s">
        <v>1450</v>
      </c>
      <c r="E70" s="1306" t="s">
        <v>1451</v>
      </c>
      <c r="F70" s="1306" t="s">
        <v>1452</v>
      </c>
      <c r="G70" s="1306" t="s">
        <v>1453</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1408</v>
      </c>
      <c r="C72" s="1311" t="s">
        <v>1449</v>
      </c>
      <c r="D72" s="1311" t="s">
        <v>1450</v>
      </c>
      <c r="E72" s="1311" t="s">
        <v>1451</v>
      </c>
      <c r="F72" s="1311" t="s">
        <v>1452</v>
      </c>
      <c r="G72" s="1311" t="s">
        <v>1453</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1409</v>
      </c>
      <c r="C74" s="1311" t="s">
        <v>1449</v>
      </c>
      <c r="D74" s="1311" t="s">
        <v>1450</v>
      </c>
      <c r="E74" s="1311" t="s">
        <v>1451</v>
      </c>
      <c r="F74" s="1311" t="s">
        <v>1452</v>
      </c>
      <c r="G74" s="1311" t="s">
        <v>1453</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1410</v>
      </c>
      <c r="C76" s="1114" t="s">
        <v>1454</v>
      </c>
      <c r="D76" s="1114" t="s">
        <v>1455</v>
      </c>
      <c r="E76" s="1114" t="s">
        <v>1456</v>
      </c>
      <c r="F76" s="1114" t="s">
        <v>1457</v>
      </c>
      <c r="G76" s="1114" t="s">
        <v>1458</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1411</v>
      </c>
      <c r="C78" s="1311" t="s">
        <v>1449</v>
      </c>
      <c r="D78" s="1311" t="s">
        <v>1450</v>
      </c>
      <c r="E78" s="1311" t="s">
        <v>1451</v>
      </c>
      <c r="F78" s="1311" t="s">
        <v>1452</v>
      </c>
      <c r="G78" s="1311" t="s">
        <v>1453</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1418</v>
      </c>
      <c r="B88" s="1263" t="s">
        <v>1419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1422</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1423</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1425</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1429</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1667</v>
      </c>
      <c r="C106" s="1311" t="s">
        <v>1449</v>
      </c>
      <c r="D106" s="1311" t="s">
        <v>1450</v>
      </c>
      <c r="E106" s="1311" t="s">
        <v>1451</v>
      </c>
      <c r="F106" s="1311" t="s">
        <v>1452</v>
      </c>
      <c r="G106" s="1311" t="s">
        <v>1453</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1669</v>
      </c>
      <c r="C1" s="1372" t="s">
        <v>1374</v>
      </c>
      <c r="D1" s="1373"/>
      <c r="E1" s="1374"/>
      <c r="F1" s="1375"/>
      <c r="G1" s="1432" t="s">
        <v>1377</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1378</v>
      </c>
      <c r="D3" s="1388">
        <f>SUMIF('数据-汇总表'!$C19:$C33,D1,'数据-汇总表'!$E19:$E33)</f>
        <v>0</v>
      </c>
      <c r="E3" s="1387" t="s">
        <v>1670</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45981</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79" t="s">
        <v>1392</v>
      </c>
      <c r="Q7" s="3378"/>
      <c r="R7" s="1065" t="s">
        <v>1393</v>
      </c>
      <c r="S7" s="1066">
        <f t="shared" ref="S7:S14" si="0">F7</f>
        <v>0</v>
      </c>
      <c r="T7" s="1065" t="s">
        <v>1393</v>
      </c>
      <c r="U7" s="1066">
        <f t="shared" ref="U7:U14" si="1">H7</f>
        <v>0</v>
      </c>
      <c r="V7" s="1065" t="s">
        <v>1393</v>
      </c>
      <c r="W7" s="1066">
        <f t="shared" ref="W7:W14" si="2">J7</f>
        <v>0</v>
      </c>
      <c r="X7" s="1067"/>
      <c r="Y7" s="3379" t="s">
        <v>1392</v>
      </c>
      <c r="Z7" s="3380"/>
      <c r="AA7" s="1069" t="e">
        <f>D7/F7</f>
        <v>#DIV/0!</v>
      </c>
      <c r="AB7" s="1069" t="e">
        <f>D7/H7</f>
        <v>#DIV/0!</v>
      </c>
      <c r="AC7" s="1069" t="e">
        <f>D7/J7</f>
        <v>#DIV/0!</v>
      </c>
    </row>
    <row r="8" spans="1:29" s="1009" customFormat="1" ht="15">
      <c r="A8" s="1054" t="s">
        <v>1394</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36" si="3">D8/F8</f>
        <v>1</v>
      </c>
      <c r="AB8" s="1069">
        <f t="shared" ref="AB8:AB36" si="4">D8/H8</f>
        <v>1</v>
      </c>
      <c r="AC8" s="1069">
        <f t="shared" ref="AC8:AC36" si="5">D8/J8</f>
        <v>1</v>
      </c>
    </row>
    <row r="9" spans="1:29" s="1009" customFormat="1">
      <c r="A9" s="1439" t="s">
        <v>1398</v>
      </c>
      <c r="B9" s="1440" t="s">
        <v>1399</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2" t="s">
        <v>1400</v>
      </c>
      <c r="Q9" s="809" t="str">
        <f t="shared" ref="Q9:Q14" si="6">B9</f>
        <v>用途</v>
      </c>
      <c r="R9" s="1065" t="s">
        <v>1393</v>
      </c>
      <c r="S9" s="1066">
        <f t="shared" si="0"/>
        <v>100</v>
      </c>
      <c r="T9" s="1065" t="s">
        <v>1393</v>
      </c>
      <c r="U9" s="1066">
        <f t="shared" si="1"/>
        <v>100</v>
      </c>
      <c r="V9" s="1065" t="s">
        <v>1393</v>
      </c>
      <c r="W9" s="1066">
        <f t="shared" si="2"/>
        <v>100</v>
      </c>
      <c r="X9" s="1067"/>
      <c r="Y9" s="3358" t="s">
        <v>1401</v>
      </c>
      <c r="Z9" s="1069" t="str">
        <f t="shared" ref="Z9:Z14" si="7">Q9</f>
        <v>用途</v>
      </c>
      <c r="AA9" s="1069">
        <f t="shared" si="3"/>
        <v>1</v>
      </c>
      <c r="AB9" s="1069">
        <f t="shared" si="4"/>
        <v>1</v>
      </c>
      <c r="AC9" s="1069">
        <f t="shared" si="5"/>
        <v>1</v>
      </c>
    </row>
    <row r="10" spans="1:29" s="1010" customFormat="1" ht="27">
      <c r="A10" s="1442"/>
      <c r="B10" s="1443" t="s">
        <v>1402</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2"/>
      <c r="Q10" s="809" t="str">
        <f t="shared" si="6"/>
        <v>土地使用年限（年）</v>
      </c>
      <c r="R10" s="1065" t="s">
        <v>1393</v>
      </c>
      <c r="S10" s="1066">
        <f t="shared" si="0"/>
        <v>100</v>
      </c>
      <c r="T10" s="1065" t="s">
        <v>1393</v>
      </c>
      <c r="U10" s="1066">
        <f t="shared" si="1"/>
        <v>100</v>
      </c>
      <c r="V10" s="1065" t="s">
        <v>1393</v>
      </c>
      <c r="W10" s="1066">
        <f t="shared" si="2"/>
        <v>100</v>
      </c>
      <c r="X10" s="1067"/>
      <c r="Y10" s="3358"/>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2"/>
      <c r="Q11" s="809">
        <f t="shared" si="6"/>
        <v>111</v>
      </c>
      <c r="R11" s="1065" t="s">
        <v>1393</v>
      </c>
      <c r="S11" s="1066">
        <f t="shared" si="0"/>
        <v>100</v>
      </c>
      <c r="T11" s="1065" t="s">
        <v>1393</v>
      </c>
      <c r="U11" s="1066">
        <f t="shared" si="1"/>
        <v>100</v>
      </c>
      <c r="V11" s="1065" t="s">
        <v>1393</v>
      </c>
      <c r="W11" s="1066">
        <f t="shared" si="2"/>
        <v>100</v>
      </c>
      <c r="X11" s="1067"/>
      <c r="Y11" s="3358"/>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2"/>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2"/>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036" t="s">
        <v>1404</v>
      </c>
      <c r="B14" s="1102" t="s">
        <v>1408</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89" t="s">
        <v>1406</v>
      </c>
      <c r="Q14" s="705" t="str">
        <f t="shared" si="6"/>
        <v>交通便捷度</v>
      </c>
      <c r="R14" s="1107" t="s">
        <v>1393</v>
      </c>
      <c r="S14" s="1108">
        <f t="shared" si="0"/>
        <v>100</v>
      </c>
      <c r="T14" s="1107" t="s">
        <v>1393</v>
      </c>
      <c r="U14" s="1108">
        <f t="shared" si="1"/>
        <v>100</v>
      </c>
      <c r="V14" s="1107" t="s">
        <v>1393</v>
      </c>
      <c r="W14" s="1108">
        <f t="shared" si="2"/>
        <v>100</v>
      </c>
      <c r="X14" s="1046"/>
      <c r="Y14" s="3389" t="s">
        <v>1406</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0"/>
      <c r="Q15" s="705"/>
      <c r="R15" s="1107"/>
      <c r="S15" s="1108"/>
      <c r="T15" s="1107"/>
      <c r="U15" s="1108"/>
      <c r="V15" s="1107"/>
      <c r="W15" s="1108"/>
      <c r="X15" s="1046"/>
      <c r="Y15" s="3390"/>
      <c r="Z15" s="1045"/>
      <c r="AA15" s="1045">
        <v>1</v>
      </c>
      <c r="AB15" s="1045">
        <v>1</v>
      </c>
      <c r="AC15" s="1045">
        <v>1</v>
      </c>
    </row>
    <row r="16" spans="1:29" ht="15">
      <c r="A16" s="1047"/>
      <c r="B16" s="1115" t="s">
        <v>1409</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0"/>
      <c r="Q16" s="705" t="str">
        <f>B16</f>
        <v>公共配套设施</v>
      </c>
      <c r="R16" s="1107" t="s">
        <v>1393</v>
      </c>
      <c r="S16" s="1108">
        <f>F16</f>
        <v>100</v>
      </c>
      <c r="T16" s="1107" t="s">
        <v>1393</v>
      </c>
      <c r="U16" s="1108">
        <f>H16</f>
        <v>100</v>
      </c>
      <c r="V16" s="1107" t="s">
        <v>1393</v>
      </c>
      <c r="W16" s="1108">
        <f>J16</f>
        <v>100</v>
      </c>
      <c r="X16" s="1046"/>
      <c r="Y16" s="3390"/>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0"/>
      <c r="Q17" s="705"/>
      <c r="R17" s="1107"/>
      <c r="S17" s="1108"/>
      <c r="T17" s="1107"/>
      <c r="U17" s="1108"/>
      <c r="V17" s="1107"/>
      <c r="W17" s="1108"/>
      <c r="X17" s="1046"/>
      <c r="Y17" s="3390"/>
      <c r="Z17" s="1045"/>
      <c r="AA17" s="1045">
        <v>1</v>
      </c>
      <c r="AB17" s="1045">
        <v>1</v>
      </c>
      <c r="AC17" s="1045">
        <v>1</v>
      </c>
    </row>
    <row r="18" spans="1:29" ht="15">
      <c r="A18" s="1047"/>
      <c r="B18" s="1125" t="s">
        <v>1410</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0"/>
      <c r="Q18" s="705" t="str">
        <f>B18</f>
        <v>基础设施水平</v>
      </c>
      <c r="R18" s="1107" t="s">
        <v>1393</v>
      </c>
      <c r="S18" s="1108">
        <f>F18</f>
        <v>100</v>
      </c>
      <c r="T18" s="1107" t="s">
        <v>1393</v>
      </c>
      <c r="U18" s="1108">
        <f>H18</f>
        <v>100</v>
      </c>
      <c r="V18" s="1107" t="s">
        <v>1393</v>
      </c>
      <c r="W18" s="1108">
        <f>J18</f>
        <v>100</v>
      </c>
      <c r="X18" s="1046"/>
      <c r="Y18" s="3390"/>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0"/>
      <c r="Q19" s="705"/>
      <c r="R19" s="1107"/>
      <c r="S19" s="1108"/>
      <c r="T19" s="1107"/>
      <c r="U19" s="1108"/>
      <c r="V19" s="1107"/>
      <c r="W19" s="1108"/>
      <c r="X19" s="1046"/>
      <c r="Y19" s="3390"/>
      <c r="Z19" s="1045"/>
      <c r="AA19" s="1045">
        <v>1</v>
      </c>
      <c r="AB19" s="1045">
        <v>1</v>
      </c>
      <c r="AC19" s="1045">
        <v>1</v>
      </c>
    </row>
    <row r="20" spans="1:29" ht="15">
      <c r="A20" s="1047"/>
      <c r="B20" s="1115" t="s">
        <v>1468</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0"/>
      <c r="Q20" s="705" t="str">
        <f>B20</f>
        <v>自然及人文环境</v>
      </c>
      <c r="R20" s="1107" t="s">
        <v>1393</v>
      </c>
      <c r="S20" s="1108">
        <f>F20</f>
        <v>100</v>
      </c>
      <c r="T20" s="1107" t="s">
        <v>1393</v>
      </c>
      <c r="U20" s="1108">
        <f>H20</f>
        <v>100</v>
      </c>
      <c r="V20" s="1107" t="s">
        <v>1393</v>
      </c>
      <c r="W20" s="1108">
        <f>J20</f>
        <v>100</v>
      </c>
      <c r="X20" s="1046"/>
      <c r="Y20" s="3390"/>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0"/>
      <c r="Q21" s="705"/>
      <c r="R21" s="1107"/>
      <c r="S21" s="1108"/>
      <c r="T21" s="1107"/>
      <c r="U21" s="1108"/>
      <c r="V21" s="1107"/>
      <c r="W21" s="1108"/>
      <c r="X21" s="1046"/>
      <c r="Y21" s="3390"/>
      <c r="Z21" s="1045"/>
      <c r="AA21" s="1045">
        <v>1</v>
      </c>
      <c r="AB21" s="1045">
        <v>1</v>
      </c>
      <c r="AC21" s="1045">
        <v>1</v>
      </c>
    </row>
    <row r="22" spans="1:29" ht="15">
      <c r="A22" s="1047"/>
      <c r="B22" s="1115" t="s">
        <v>1414</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0"/>
      <c r="Q22" s="705" t="str">
        <f>B22</f>
        <v>楼层</v>
      </c>
      <c r="R22" s="1107" t="s">
        <v>1393</v>
      </c>
      <c r="S22" s="1108">
        <f>F22</f>
        <v>100</v>
      </c>
      <c r="T22" s="1107" t="s">
        <v>1393</v>
      </c>
      <c r="U22" s="1108">
        <f>H22</f>
        <v>100</v>
      </c>
      <c r="V22" s="1107" t="s">
        <v>1393</v>
      </c>
      <c r="W22" s="1108">
        <f>J22</f>
        <v>100</v>
      </c>
      <c r="X22" s="1046"/>
      <c r="Y22" s="3390"/>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0"/>
      <c r="Q23" s="705">
        <f>B23</f>
        <v>111</v>
      </c>
      <c r="R23" s="1107" t="s">
        <v>1393</v>
      </c>
      <c r="S23" s="1108">
        <f>F23</f>
        <v>100</v>
      </c>
      <c r="T23" s="1107" t="s">
        <v>1393</v>
      </c>
      <c r="U23" s="1108">
        <f>H23</f>
        <v>100</v>
      </c>
      <c r="V23" s="1107" t="s">
        <v>1393</v>
      </c>
      <c r="W23" s="1108">
        <f>J23</f>
        <v>100</v>
      </c>
      <c r="X23" s="1046"/>
      <c r="Y23" s="3390"/>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0"/>
      <c r="Q24" s="705">
        <f t="shared" ref="Q24:Q36" si="11">B24</f>
        <v>111</v>
      </c>
      <c r="R24" s="1107" t="s">
        <v>1393</v>
      </c>
      <c r="S24" s="1108">
        <f>F24</f>
        <v>100</v>
      </c>
      <c r="T24" s="1107" t="s">
        <v>1393</v>
      </c>
      <c r="U24" s="1108">
        <f>H24</f>
        <v>100</v>
      </c>
      <c r="V24" s="1107" t="s">
        <v>1393</v>
      </c>
      <c r="W24" s="1108">
        <f>J24</f>
        <v>100</v>
      </c>
      <c r="X24" s="1046"/>
      <c r="Y24" s="3390"/>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0"/>
      <c r="Q25" s="809">
        <f t="shared" si="11"/>
        <v>111</v>
      </c>
      <c r="R25" s="1065" t="s">
        <v>1393</v>
      </c>
      <c r="S25" s="1066">
        <f>F25</f>
        <v>100</v>
      </c>
      <c r="T25" s="1065" t="s">
        <v>1393</v>
      </c>
      <c r="U25" s="1066">
        <f>H25</f>
        <v>100</v>
      </c>
      <c r="V25" s="1065" t="s">
        <v>1393</v>
      </c>
      <c r="W25" s="1066">
        <f>J25</f>
        <v>100</v>
      </c>
      <c r="X25" s="1067"/>
      <c r="Y25" s="3390"/>
      <c r="Z25" s="1069">
        <f>Q25</f>
        <v>111</v>
      </c>
      <c r="AA25" s="1045">
        <f t="shared" si="3"/>
        <v>1</v>
      </c>
      <c r="AB25" s="1045">
        <f t="shared" si="4"/>
        <v>1</v>
      </c>
      <c r="AC25" s="1045">
        <f t="shared" si="5"/>
        <v>1</v>
      </c>
    </row>
    <row r="26" spans="1:29" ht="28.5">
      <c r="A26" s="1454" t="s">
        <v>1418</v>
      </c>
      <c r="B26" s="1074" t="s">
        <v>1671</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1421</v>
      </c>
      <c r="Q26" s="705" t="str">
        <f t="shared" si="11"/>
        <v>配套类型</v>
      </c>
      <c r="R26" s="1107" t="s">
        <v>1393</v>
      </c>
      <c r="S26" s="1108">
        <f t="shared" ref="S26:S36" si="12">F26</f>
        <v>0</v>
      </c>
      <c r="T26" s="1107" t="s">
        <v>1393</v>
      </c>
      <c r="U26" s="1108">
        <f t="shared" ref="U26:U36" si="13">H26</f>
        <v>0</v>
      </c>
      <c r="V26" s="1107" t="s">
        <v>1393</v>
      </c>
      <c r="W26" s="1108">
        <f t="shared" ref="W26:W36" si="14">J26</f>
        <v>0</v>
      </c>
      <c r="X26" s="1046"/>
      <c r="Y26" s="3391" t="s">
        <v>1421</v>
      </c>
      <c r="Z26" s="1045" t="str">
        <f t="shared" ref="Z26:Z36" si="15">Q26</f>
        <v>配套类型</v>
      </c>
      <c r="AA26" s="1045" t="e">
        <f t="shared" si="3"/>
        <v>#DIV/0!</v>
      </c>
      <c r="AB26" s="1045" t="e">
        <f t="shared" si="4"/>
        <v>#DIV/0!</v>
      </c>
      <c r="AC26" s="1045" t="e">
        <f t="shared" si="5"/>
        <v>#DIV/0!</v>
      </c>
    </row>
    <row r="27" spans="1:29" s="1011" customFormat="1" ht="15">
      <c r="A27" s="1456"/>
      <c r="B27" s="1079" t="s">
        <v>1672</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1"/>
      <c r="Q27" s="1404" t="str">
        <f t="shared" si="11"/>
        <v>项目停车位配比</v>
      </c>
      <c r="R27" s="1145" t="s">
        <v>1393</v>
      </c>
      <c r="S27" s="1146">
        <f t="shared" si="12"/>
        <v>100</v>
      </c>
      <c r="T27" s="1145" t="s">
        <v>1393</v>
      </c>
      <c r="U27" s="1146">
        <f t="shared" si="13"/>
        <v>100</v>
      </c>
      <c r="V27" s="1145" t="s">
        <v>1393</v>
      </c>
      <c r="W27" s="1146">
        <f t="shared" si="14"/>
        <v>100</v>
      </c>
      <c r="X27" s="1147"/>
      <c r="Y27" s="3391"/>
      <c r="Z27" s="1148" t="str">
        <f t="shared" si="15"/>
        <v>项目停车位配比</v>
      </c>
      <c r="AA27" s="1045">
        <f t="shared" si="3"/>
        <v>1</v>
      </c>
      <c r="AB27" s="1045">
        <f t="shared" si="4"/>
        <v>1</v>
      </c>
      <c r="AC27" s="1045">
        <f t="shared" si="5"/>
        <v>1</v>
      </c>
    </row>
    <row r="28" spans="1:29" ht="15">
      <c r="A28" s="1458"/>
      <c r="B28" s="1079" t="s">
        <v>1425</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1"/>
      <c r="Q28" s="705" t="str">
        <f t="shared" si="11"/>
        <v>公共部分装修</v>
      </c>
      <c r="R28" s="1107" t="s">
        <v>1393</v>
      </c>
      <c r="S28" s="1108">
        <f t="shared" si="12"/>
        <v>100</v>
      </c>
      <c r="T28" s="1107" t="s">
        <v>1393</v>
      </c>
      <c r="U28" s="1108">
        <f t="shared" si="13"/>
        <v>100</v>
      </c>
      <c r="V28" s="1107" t="s">
        <v>1393</v>
      </c>
      <c r="W28" s="1108">
        <f t="shared" si="14"/>
        <v>100</v>
      </c>
      <c r="X28" s="1046"/>
      <c r="Y28" s="3391"/>
      <c r="Z28" s="1045" t="str">
        <f t="shared" si="15"/>
        <v>公共部分装修</v>
      </c>
      <c r="AA28" s="1045">
        <f t="shared" si="3"/>
        <v>1</v>
      </c>
      <c r="AB28" s="1045">
        <f t="shared" si="4"/>
        <v>1</v>
      </c>
      <c r="AC28" s="1045">
        <f t="shared" si="5"/>
        <v>1</v>
      </c>
    </row>
    <row r="29" spans="1:29" ht="15">
      <c r="A29" s="1458"/>
      <c r="B29" s="1079" t="s">
        <v>1673</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1"/>
      <c r="Q29" s="705" t="str">
        <f t="shared" si="11"/>
        <v>成新率</v>
      </c>
      <c r="R29" s="1107" t="s">
        <v>1393</v>
      </c>
      <c r="S29" s="1108" t="e">
        <f t="shared" si="12"/>
        <v>#N/A</v>
      </c>
      <c r="T29" s="1107" t="s">
        <v>1393</v>
      </c>
      <c r="U29" s="1108" t="e">
        <f t="shared" si="13"/>
        <v>#N/A</v>
      </c>
      <c r="V29" s="1107" t="s">
        <v>1393</v>
      </c>
      <c r="W29" s="1108" t="e">
        <f t="shared" si="14"/>
        <v>#N/A</v>
      </c>
      <c r="X29" s="1046"/>
      <c r="Y29" s="3391"/>
      <c r="Z29" s="1045" t="str">
        <f t="shared" si="15"/>
        <v>成新率</v>
      </c>
      <c r="AA29" s="1045" t="e">
        <f t="shared" si="3"/>
        <v>#N/A</v>
      </c>
      <c r="AB29" s="1045" t="e">
        <f t="shared" si="4"/>
        <v>#N/A</v>
      </c>
      <c r="AC29" s="1045" t="e">
        <f t="shared" si="5"/>
        <v>#N/A</v>
      </c>
    </row>
    <row r="30" spans="1:29" ht="15">
      <c r="A30" s="1458"/>
      <c r="B30" s="1079" t="s">
        <v>1674</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1"/>
      <c r="Q30" s="705" t="str">
        <f t="shared" si="11"/>
        <v>物业等级</v>
      </c>
      <c r="R30" s="1107" t="s">
        <v>1393</v>
      </c>
      <c r="S30" s="1108">
        <f t="shared" si="12"/>
        <v>100</v>
      </c>
      <c r="T30" s="1107" t="s">
        <v>1393</v>
      </c>
      <c r="U30" s="1108">
        <f t="shared" si="13"/>
        <v>100</v>
      </c>
      <c r="V30" s="1107" t="s">
        <v>1393</v>
      </c>
      <c r="W30" s="1108">
        <f t="shared" si="14"/>
        <v>100</v>
      </c>
      <c r="X30" s="1046"/>
      <c r="Y30" s="3391"/>
      <c r="Z30" s="1045" t="str">
        <f t="shared" si="15"/>
        <v>物业等级</v>
      </c>
      <c r="AA30" s="1045">
        <f t="shared" si="3"/>
        <v>1</v>
      </c>
      <c r="AB30" s="1045">
        <f t="shared" si="4"/>
        <v>1</v>
      </c>
      <c r="AC30" s="1045">
        <f t="shared" si="5"/>
        <v>1</v>
      </c>
    </row>
    <row r="31" spans="1:29" s="1009" customFormat="1" ht="15">
      <c r="A31" s="1459"/>
      <c r="B31" s="1079" t="s">
        <v>1675</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1"/>
      <c r="Q31" s="809" t="str">
        <f t="shared" si="11"/>
        <v>停车位面积</v>
      </c>
      <c r="R31" s="1065" t="s">
        <v>1393</v>
      </c>
      <c r="S31" s="1066" t="e">
        <f t="shared" si="12"/>
        <v>#N/A</v>
      </c>
      <c r="T31" s="1065" t="s">
        <v>1393</v>
      </c>
      <c r="U31" s="1066" t="e">
        <f t="shared" si="13"/>
        <v>#N/A</v>
      </c>
      <c r="V31" s="1065" t="s">
        <v>1393</v>
      </c>
      <c r="W31" s="1066" t="e">
        <f t="shared" si="14"/>
        <v>#N/A</v>
      </c>
      <c r="X31" s="1067"/>
      <c r="Y31" s="3391"/>
      <c r="Z31" s="1069" t="str">
        <f t="shared" si="15"/>
        <v>停车位面积</v>
      </c>
      <c r="AA31" s="1069" t="e">
        <f t="shared" si="3"/>
        <v>#N/A</v>
      </c>
      <c r="AB31" s="1069" t="e">
        <f t="shared" si="4"/>
        <v>#N/A</v>
      </c>
      <c r="AC31" s="1069" t="e">
        <f t="shared" si="5"/>
        <v>#N/A</v>
      </c>
    </row>
    <row r="32" spans="1:29" ht="15">
      <c r="A32" s="1458"/>
      <c r="B32" s="1079" t="s">
        <v>1676</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1" t="s">
        <v>1421</v>
      </c>
      <c r="Q32" s="705" t="str">
        <f t="shared" si="11"/>
        <v>车位类型</v>
      </c>
      <c r="R32" s="1107" t="s">
        <v>1393</v>
      </c>
      <c r="S32" s="1108">
        <f t="shared" si="12"/>
        <v>100</v>
      </c>
      <c r="T32" s="1107" t="s">
        <v>1393</v>
      </c>
      <c r="U32" s="1108">
        <f t="shared" si="13"/>
        <v>100</v>
      </c>
      <c r="V32" s="1107" t="s">
        <v>1393</v>
      </c>
      <c r="W32" s="1108">
        <f t="shared" si="14"/>
        <v>100</v>
      </c>
      <c r="X32" s="1046"/>
      <c r="Y32" s="3391" t="s">
        <v>1421</v>
      </c>
      <c r="Z32" s="1045" t="str">
        <f t="shared" si="15"/>
        <v>车位类型</v>
      </c>
      <c r="AA32" s="1045">
        <f t="shared" si="3"/>
        <v>1</v>
      </c>
      <c r="AB32" s="1045">
        <f t="shared" si="4"/>
        <v>1</v>
      </c>
      <c r="AC32" s="1045">
        <f t="shared" si="5"/>
        <v>1</v>
      </c>
    </row>
    <row r="33" spans="1:29" ht="15">
      <c r="A33" s="1458"/>
      <c r="B33" s="1079" t="s">
        <v>1677</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1"/>
      <c r="Q33" s="705" t="str">
        <f t="shared" si="11"/>
        <v>是否直接入户</v>
      </c>
      <c r="R33" s="1107" t="s">
        <v>1393</v>
      </c>
      <c r="S33" s="1108">
        <f t="shared" si="12"/>
        <v>100</v>
      </c>
      <c r="T33" s="1107" t="s">
        <v>1393</v>
      </c>
      <c r="U33" s="1108">
        <f t="shared" si="13"/>
        <v>100</v>
      </c>
      <c r="V33" s="1107" t="s">
        <v>1393</v>
      </c>
      <c r="W33" s="1108">
        <f t="shared" si="14"/>
        <v>100</v>
      </c>
      <c r="X33" s="1046"/>
      <c r="Y33" s="3391"/>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1"/>
      <c r="Q34" s="705">
        <f t="shared" si="11"/>
        <v>111</v>
      </c>
      <c r="R34" s="1107" t="s">
        <v>1393</v>
      </c>
      <c r="S34" s="1108">
        <f t="shared" si="12"/>
        <v>100</v>
      </c>
      <c r="T34" s="1107" t="s">
        <v>1393</v>
      </c>
      <c r="U34" s="1108">
        <f t="shared" si="13"/>
        <v>100</v>
      </c>
      <c r="V34" s="1107" t="s">
        <v>1393</v>
      </c>
      <c r="W34" s="1108">
        <f t="shared" si="14"/>
        <v>100</v>
      </c>
      <c r="X34" s="1046"/>
      <c r="Y34" s="3391"/>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1"/>
      <c r="Q35" s="1404">
        <f t="shared" si="11"/>
        <v>111</v>
      </c>
      <c r="R35" s="1145" t="s">
        <v>1393</v>
      </c>
      <c r="S35" s="1146">
        <f t="shared" si="12"/>
        <v>100</v>
      </c>
      <c r="T35" s="1145" t="s">
        <v>1393</v>
      </c>
      <c r="U35" s="1146">
        <f t="shared" si="13"/>
        <v>100</v>
      </c>
      <c r="V35" s="1145" t="s">
        <v>1393</v>
      </c>
      <c r="W35" s="1146">
        <f t="shared" si="14"/>
        <v>100</v>
      </c>
      <c r="X35" s="1147"/>
      <c r="Y35" s="3391"/>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1"/>
      <c r="Q36" s="705">
        <f t="shared" si="11"/>
        <v>111</v>
      </c>
      <c r="R36" s="1107" t="s">
        <v>1393</v>
      </c>
      <c r="S36" s="1108">
        <f t="shared" si="12"/>
        <v>100</v>
      </c>
      <c r="T36" s="1107" t="s">
        <v>1393</v>
      </c>
      <c r="U36" s="1108">
        <f t="shared" si="13"/>
        <v>100</v>
      </c>
      <c r="V36" s="1107" t="s">
        <v>1393</v>
      </c>
      <c r="W36" s="1108">
        <f t="shared" si="14"/>
        <v>100</v>
      </c>
      <c r="X36" s="1046"/>
      <c r="Y36" s="3391"/>
      <c r="Z36" s="1045">
        <f t="shared" si="15"/>
        <v>111</v>
      </c>
      <c r="AA36" s="1045">
        <f t="shared" si="3"/>
        <v>1</v>
      </c>
      <c r="AB36" s="1045">
        <f t="shared" si="4"/>
        <v>1</v>
      </c>
      <c r="AC36" s="1045">
        <f t="shared" si="5"/>
        <v>1</v>
      </c>
    </row>
    <row r="37" spans="1:29" ht="15">
      <c r="A37" s="1160" t="s">
        <v>1678</v>
      </c>
      <c r="B37" s="1461" t="s">
        <v>1679</v>
      </c>
      <c r="C37" s="1410" t="s">
        <v>124</v>
      </c>
      <c r="D37" s="1163"/>
      <c r="E37" s="1164"/>
      <c r="F37" s="1165"/>
      <c r="G37" s="1166"/>
      <c r="H37" s="1167"/>
      <c r="I37" s="1164"/>
      <c r="J37" s="1167"/>
      <c r="K37" s="1462"/>
      <c r="L37" s="1169"/>
      <c r="M37" s="1042"/>
      <c r="N37" s="1042"/>
      <c r="O37" s="1042"/>
      <c r="P37" s="3382" t="str">
        <f>A37</f>
        <v>成交单价</v>
      </c>
      <c r="Q37" s="3382"/>
      <c r="R37" s="3383">
        <f>E37</f>
        <v>0</v>
      </c>
      <c r="S37" s="3383"/>
      <c r="T37" s="3383">
        <f>G37</f>
        <v>0</v>
      </c>
      <c r="U37" s="3383"/>
      <c r="V37" s="3383">
        <f>I37</f>
        <v>0</v>
      </c>
      <c r="W37" s="3383"/>
      <c r="X37" s="1170"/>
      <c r="Y37" s="1171"/>
      <c r="Z37" s="1170"/>
      <c r="AA37" s="1170"/>
      <c r="AB37" s="1170"/>
      <c r="AC37" s="1170"/>
    </row>
    <row r="38" spans="1:29" ht="15">
      <c r="A38" s="1172" t="s">
        <v>1439</v>
      </c>
      <c r="B38" s="1411" t="str">
        <f>B37</f>
        <v>元/平方米</v>
      </c>
      <c r="C38" s="1412" t="e">
        <f>R39</f>
        <v>#DIV/0!</v>
      </c>
      <c r="D38" s="1175" t="s">
        <v>1440</v>
      </c>
      <c r="E38" s="1413" t="e">
        <f>R38</f>
        <v>#DIV/0!</v>
      </c>
      <c r="F38" s="1176"/>
      <c r="G38" s="1412" t="e">
        <f>T38</f>
        <v>#DIV/0!</v>
      </c>
      <c r="H38" s="1176"/>
      <c r="I38" s="1413" t="e">
        <f>V38</f>
        <v>#DIV/0!</v>
      </c>
      <c r="J38" s="1176"/>
      <c r="K38" s="1178">
        <f>F38+H38+J38</f>
        <v>0</v>
      </c>
      <c r="L38" s="1169"/>
      <c r="M38" s="1042"/>
      <c r="N38" s="1042"/>
      <c r="O38" s="1042"/>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1680</v>
      </c>
      <c r="B39" s="1180"/>
      <c r="C39" s="1051" t="e">
        <f>R39</f>
        <v>#DIV/0!</v>
      </c>
      <c r="D39" s="1051"/>
      <c r="E39" s="1051"/>
      <c r="F39" s="1051"/>
      <c r="G39" s="1051"/>
      <c r="H39" s="1051"/>
      <c r="I39" s="1051"/>
      <c r="J39" s="1051"/>
      <c r="K39" s="1463"/>
      <c r="L39" s="1169"/>
      <c r="M39" s="1042"/>
      <c r="N39" s="1042"/>
      <c r="O39" s="1042"/>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1442</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1443</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1444</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1445</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1391</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1446</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1394</v>
      </c>
      <c r="B51" s="1254"/>
      <c r="C51" s="1255" t="s">
        <v>1447</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1448</v>
      </c>
      <c r="B53" s="1263" t="s">
        <v>1399</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1402</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1404</v>
      </c>
      <c r="B63" s="1263" t="s">
        <v>1408</v>
      </c>
      <c r="C63" s="1306" t="s">
        <v>1449</v>
      </c>
      <c r="D63" s="1306" t="s">
        <v>1450</v>
      </c>
      <c r="E63" s="1306" t="s">
        <v>1451</v>
      </c>
      <c r="F63" s="1306" t="s">
        <v>1452</v>
      </c>
      <c r="G63" s="1306" t="s">
        <v>1453</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1409</v>
      </c>
      <c r="C65" s="1311" t="s">
        <v>1449</v>
      </c>
      <c r="D65" s="1311" t="s">
        <v>1450</v>
      </c>
      <c r="E65" s="1311" t="s">
        <v>1451</v>
      </c>
      <c r="F65" s="1311" t="s">
        <v>1452</v>
      </c>
      <c r="G65" s="1311" t="s">
        <v>1453</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1410</v>
      </c>
      <c r="C67" s="1114" t="s">
        <v>1454</v>
      </c>
      <c r="D67" s="1114" t="s">
        <v>1455</v>
      </c>
      <c r="E67" s="1114" t="s">
        <v>1456</v>
      </c>
      <c r="F67" s="1114" t="s">
        <v>1457</v>
      </c>
      <c r="G67" s="1114" t="s">
        <v>1458</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1468</v>
      </c>
      <c r="C69" s="1311" t="s">
        <v>1449</v>
      </c>
      <c r="D69" s="1311" t="s">
        <v>1450</v>
      </c>
      <c r="E69" s="1311" t="s">
        <v>1451</v>
      </c>
      <c r="F69" s="1311" t="s">
        <v>1452</v>
      </c>
      <c r="G69" s="1311" t="s">
        <v>1453</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1414</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1418</v>
      </c>
      <c r="B79" s="1263" t="s">
        <v>1681</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1672</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1425</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1673</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1674</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1675</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1676</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1677</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1682</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1378</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45981</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79" t="s">
        <v>1392</v>
      </c>
      <c r="Q7" s="3378"/>
      <c r="R7" s="1065" t="s">
        <v>1393</v>
      </c>
      <c r="S7" s="1066">
        <f t="shared" ref="S7:S14" si="0">F7</f>
        <v>0</v>
      </c>
      <c r="T7" s="1065" t="s">
        <v>1393</v>
      </c>
      <c r="U7" s="1066">
        <f t="shared" ref="U7:U14" si="1">H7</f>
        <v>0</v>
      </c>
      <c r="V7" s="1065" t="s">
        <v>1393</v>
      </c>
      <c r="W7" s="1066">
        <f t="shared" ref="W7:W14" si="2">J7</f>
        <v>0</v>
      </c>
      <c r="X7" s="1067"/>
      <c r="Y7" s="3379" t="s">
        <v>1392</v>
      </c>
      <c r="Z7" s="3380"/>
      <c r="AA7" s="1069" t="e">
        <f>D7/F7</f>
        <v>#DIV/0!</v>
      </c>
      <c r="AB7" s="1069" t="e">
        <f>D7/H7</f>
        <v>#DIV/0!</v>
      </c>
      <c r="AC7" s="1069" t="e">
        <f>D7/J7</f>
        <v>#DIV/0!</v>
      </c>
    </row>
    <row r="8" spans="1:29" s="1009" customFormat="1" ht="15">
      <c r="A8" s="1054" t="s">
        <v>1394</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34" si="3">D8/F8</f>
        <v>1</v>
      </c>
      <c r="AB8" s="1069">
        <f t="shared" ref="AB8:AB34" si="4">D8/H8</f>
        <v>1</v>
      </c>
      <c r="AC8" s="1069">
        <f t="shared" ref="AC8:AC34" si="5">D8/J8</f>
        <v>1</v>
      </c>
    </row>
    <row r="9" spans="1:29" s="1009" customFormat="1">
      <c r="A9" s="1071" t="s">
        <v>1398</v>
      </c>
      <c r="B9" s="1072" t="s">
        <v>1399</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2" t="s">
        <v>1400</v>
      </c>
      <c r="Q9" s="809" t="str">
        <f t="shared" ref="Q9:Q14" si="6">B9</f>
        <v>用途</v>
      </c>
      <c r="R9" s="1065" t="s">
        <v>1393</v>
      </c>
      <c r="S9" s="1066">
        <f t="shared" si="0"/>
        <v>100</v>
      </c>
      <c r="T9" s="1065" t="s">
        <v>1393</v>
      </c>
      <c r="U9" s="1066">
        <f t="shared" si="1"/>
        <v>100</v>
      </c>
      <c r="V9" s="1065" t="s">
        <v>1393</v>
      </c>
      <c r="W9" s="1066">
        <f t="shared" si="2"/>
        <v>100</v>
      </c>
      <c r="X9" s="1067"/>
      <c r="Y9" s="3358" t="s">
        <v>1401</v>
      </c>
      <c r="Z9" s="1069" t="str">
        <f t="shared" ref="Z9:Z14" si="7">Q9</f>
        <v>用途</v>
      </c>
      <c r="AA9" s="1069">
        <f t="shared" si="3"/>
        <v>1</v>
      </c>
      <c r="AB9" s="1069">
        <f t="shared" si="4"/>
        <v>1</v>
      </c>
      <c r="AC9" s="1069">
        <f t="shared" si="5"/>
        <v>1</v>
      </c>
    </row>
    <row r="10" spans="1:29" s="1010" customFormat="1" ht="27">
      <c r="A10" s="1076"/>
      <c r="B10" s="1077" t="s">
        <v>1402</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2"/>
      <c r="Q10" s="809" t="str">
        <f t="shared" si="6"/>
        <v>土地使用年限（年）</v>
      </c>
      <c r="R10" s="1065" t="s">
        <v>1393</v>
      </c>
      <c r="S10" s="1066">
        <f t="shared" si="0"/>
        <v>100</v>
      </c>
      <c r="T10" s="1065" t="s">
        <v>1393</v>
      </c>
      <c r="U10" s="1066">
        <f t="shared" si="1"/>
        <v>100</v>
      </c>
      <c r="V10" s="1065" t="s">
        <v>1393</v>
      </c>
      <c r="W10" s="1066">
        <f t="shared" si="2"/>
        <v>100</v>
      </c>
      <c r="X10" s="1067"/>
      <c r="Y10" s="3358"/>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2"/>
      <c r="Q11" s="809">
        <f t="shared" si="6"/>
        <v>111</v>
      </c>
      <c r="R11" s="1065" t="s">
        <v>1393</v>
      </c>
      <c r="S11" s="1066">
        <f t="shared" si="0"/>
        <v>100</v>
      </c>
      <c r="T11" s="1065" t="s">
        <v>1393</v>
      </c>
      <c r="U11" s="1066">
        <f t="shared" si="1"/>
        <v>100</v>
      </c>
      <c r="V11" s="1065" t="s">
        <v>1393</v>
      </c>
      <c r="W11" s="1066">
        <f t="shared" si="2"/>
        <v>100</v>
      </c>
      <c r="X11" s="1067"/>
      <c r="Y11" s="3358"/>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2"/>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2"/>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101" t="s">
        <v>1404</v>
      </c>
      <c r="B14" s="1342" t="s">
        <v>1408</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89" t="s">
        <v>1406</v>
      </c>
      <c r="Q14" s="705" t="str">
        <f t="shared" si="6"/>
        <v>交通便捷度</v>
      </c>
      <c r="R14" s="1107" t="s">
        <v>1393</v>
      </c>
      <c r="S14" s="1108">
        <f t="shared" si="0"/>
        <v>100</v>
      </c>
      <c r="T14" s="1107" t="s">
        <v>1393</v>
      </c>
      <c r="U14" s="1108">
        <f t="shared" si="1"/>
        <v>100</v>
      </c>
      <c r="V14" s="1107" t="s">
        <v>1393</v>
      </c>
      <c r="W14" s="1108">
        <f t="shared" si="2"/>
        <v>100</v>
      </c>
      <c r="X14" s="1046"/>
      <c r="Y14" s="3389" t="s">
        <v>1406</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0"/>
      <c r="Q15" s="705"/>
      <c r="R15" s="1107"/>
      <c r="S15" s="1108"/>
      <c r="T15" s="1107"/>
      <c r="U15" s="1108"/>
      <c r="V15" s="1107"/>
      <c r="W15" s="1108"/>
      <c r="X15" s="1046"/>
      <c r="Y15" s="3390"/>
      <c r="Z15" s="1045"/>
      <c r="AA15" s="1045">
        <v>1</v>
      </c>
      <c r="AB15" s="1045">
        <v>1</v>
      </c>
      <c r="AC15" s="1045">
        <v>1</v>
      </c>
    </row>
    <row r="16" spans="1:29" ht="15">
      <c r="A16" s="1084"/>
      <c r="B16" s="1344" t="s">
        <v>1409</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0"/>
      <c r="Q16" s="705" t="str">
        <f>B16</f>
        <v>公共配套设施</v>
      </c>
      <c r="R16" s="1107" t="s">
        <v>1393</v>
      </c>
      <c r="S16" s="1108">
        <f>F16</f>
        <v>100</v>
      </c>
      <c r="T16" s="1107" t="s">
        <v>1393</v>
      </c>
      <c r="U16" s="1108">
        <f>H16</f>
        <v>100</v>
      </c>
      <c r="V16" s="1107" t="s">
        <v>1393</v>
      </c>
      <c r="W16" s="1108">
        <f>J16</f>
        <v>100</v>
      </c>
      <c r="X16" s="1046"/>
      <c r="Y16" s="3390"/>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0"/>
      <c r="Q17" s="705"/>
      <c r="R17" s="1107"/>
      <c r="S17" s="1108"/>
      <c r="T17" s="1107"/>
      <c r="U17" s="1108"/>
      <c r="V17" s="1107"/>
      <c r="W17" s="1108"/>
      <c r="X17" s="1046"/>
      <c r="Y17" s="3390"/>
      <c r="Z17" s="1045"/>
      <c r="AA17" s="1045">
        <v>1</v>
      </c>
      <c r="AB17" s="1045">
        <v>1</v>
      </c>
      <c r="AC17" s="1045">
        <v>1</v>
      </c>
    </row>
    <row r="18" spans="1:29" ht="15">
      <c r="A18" s="1084"/>
      <c r="B18" s="1350" t="s">
        <v>1410</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0"/>
      <c r="Q18" s="705" t="str">
        <f>B18</f>
        <v>基础设施水平</v>
      </c>
      <c r="R18" s="1107" t="s">
        <v>1393</v>
      </c>
      <c r="S18" s="1108">
        <f>F18</f>
        <v>100</v>
      </c>
      <c r="T18" s="1107" t="s">
        <v>1393</v>
      </c>
      <c r="U18" s="1108">
        <f>H18</f>
        <v>100</v>
      </c>
      <c r="V18" s="1107" t="s">
        <v>1393</v>
      </c>
      <c r="W18" s="1108">
        <f>J18</f>
        <v>100</v>
      </c>
      <c r="X18" s="1046"/>
      <c r="Y18" s="3390"/>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0"/>
      <c r="Q19" s="705"/>
      <c r="R19" s="1107"/>
      <c r="S19" s="1108"/>
      <c r="T19" s="1107"/>
      <c r="U19" s="1108"/>
      <c r="V19" s="1107"/>
      <c r="W19" s="1108"/>
      <c r="X19" s="1046"/>
      <c r="Y19" s="3390"/>
      <c r="Z19" s="1045"/>
      <c r="AA19" s="1045">
        <v>1</v>
      </c>
      <c r="AB19" s="1045">
        <v>1</v>
      </c>
      <c r="AC19" s="1045">
        <v>1</v>
      </c>
    </row>
    <row r="20" spans="1:29" ht="15">
      <c r="A20" s="1084"/>
      <c r="B20" s="1344" t="s">
        <v>1468</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0"/>
      <c r="Q20" s="705" t="str">
        <f>B20</f>
        <v>自然及人文环境</v>
      </c>
      <c r="R20" s="1107" t="s">
        <v>1393</v>
      </c>
      <c r="S20" s="1108">
        <f>F20</f>
        <v>100</v>
      </c>
      <c r="T20" s="1107" t="s">
        <v>1393</v>
      </c>
      <c r="U20" s="1108">
        <f>H20</f>
        <v>100</v>
      </c>
      <c r="V20" s="1107" t="s">
        <v>1393</v>
      </c>
      <c r="W20" s="1108">
        <f>J20</f>
        <v>100</v>
      </c>
      <c r="X20" s="1046"/>
      <c r="Y20" s="3390"/>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0"/>
      <c r="Q21" s="705"/>
      <c r="R21" s="1107"/>
      <c r="S21" s="1108"/>
      <c r="T21" s="1107"/>
      <c r="U21" s="1108"/>
      <c r="V21" s="1107"/>
      <c r="W21" s="1108"/>
      <c r="X21" s="1046"/>
      <c r="Y21" s="3390"/>
      <c r="Z21" s="1045"/>
      <c r="AA21" s="1045">
        <v>1</v>
      </c>
      <c r="AB21" s="1045">
        <v>1</v>
      </c>
      <c r="AC21" s="1045">
        <v>1</v>
      </c>
    </row>
    <row r="22" spans="1:29" ht="15">
      <c r="A22" s="1084"/>
      <c r="B22" s="1344" t="s">
        <v>1414</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0"/>
      <c r="Q22" s="705" t="str">
        <f>B22</f>
        <v>楼层</v>
      </c>
      <c r="R22" s="1107" t="s">
        <v>1393</v>
      </c>
      <c r="S22" s="1108">
        <f>F22</f>
        <v>100</v>
      </c>
      <c r="T22" s="1107" t="s">
        <v>1393</v>
      </c>
      <c r="U22" s="1108">
        <f>H22</f>
        <v>100</v>
      </c>
      <c r="V22" s="1107" t="s">
        <v>1393</v>
      </c>
      <c r="W22" s="1108">
        <f>J22</f>
        <v>100</v>
      </c>
      <c r="X22" s="1046"/>
      <c r="Y22" s="3390"/>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0"/>
      <c r="Q23" s="705">
        <f>B23</f>
        <v>111</v>
      </c>
      <c r="R23" s="1107" t="s">
        <v>1393</v>
      </c>
      <c r="S23" s="1108">
        <f>F23</f>
        <v>100</v>
      </c>
      <c r="T23" s="1107" t="s">
        <v>1393</v>
      </c>
      <c r="U23" s="1108">
        <f>H23</f>
        <v>100</v>
      </c>
      <c r="V23" s="1107" t="s">
        <v>1393</v>
      </c>
      <c r="W23" s="1108">
        <f>J23</f>
        <v>100</v>
      </c>
      <c r="X23" s="1046"/>
      <c r="Y23" s="3390"/>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0"/>
      <c r="Q24" s="705">
        <f t="shared" ref="Q24:Q34" si="11">B24</f>
        <v>111</v>
      </c>
      <c r="R24" s="1107" t="s">
        <v>1393</v>
      </c>
      <c r="S24" s="1108">
        <f>F24</f>
        <v>100</v>
      </c>
      <c r="T24" s="1107" t="s">
        <v>1393</v>
      </c>
      <c r="U24" s="1108">
        <f>H24</f>
        <v>100</v>
      </c>
      <c r="V24" s="1107" t="s">
        <v>1393</v>
      </c>
      <c r="W24" s="1108">
        <f>J24</f>
        <v>100</v>
      </c>
      <c r="X24" s="1046"/>
      <c r="Y24" s="3390"/>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0"/>
      <c r="Q25" s="809">
        <f t="shared" si="11"/>
        <v>111</v>
      </c>
      <c r="R25" s="1065" t="s">
        <v>1393</v>
      </c>
      <c r="S25" s="1066">
        <f>F25</f>
        <v>100</v>
      </c>
      <c r="T25" s="1065" t="s">
        <v>1393</v>
      </c>
      <c r="U25" s="1066">
        <f>H25</f>
        <v>100</v>
      </c>
      <c r="V25" s="1065" t="s">
        <v>1393</v>
      </c>
      <c r="W25" s="1066">
        <f>J25</f>
        <v>100</v>
      </c>
      <c r="X25" s="1067"/>
      <c r="Y25" s="3390"/>
      <c r="Z25" s="1069">
        <f>Q25</f>
        <v>111</v>
      </c>
      <c r="AA25" s="1045">
        <f t="shared" si="3"/>
        <v>1</v>
      </c>
      <c r="AB25" s="1045">
        <f t="shared" si="4"/>
        <v>1</v>
      </c>
      <c r="AC25" s="1045">
        <f t="shared" si="5"/>
        <v>1</v>
      </c>
    </row>
    <row r="26" spans="1:29" ht="28.5">
      <c r="A26" s="1399" t="s">
        <v>1418</v>
      </c>
      <c r="B26" s="1072" t="s">
        <v>1425</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1421</v>
      </c>
      <c r="Q26" s="705" t="str">
        <f t="shared" si="11"/>
        <v>公共部分装修</v>
      </c>
      <c r="R26" s="1107" t="s">
        <v>1393</v>
      </c>
      <c r="S26" s="1108">
        <f t="shared" ref="S26:S34" si="12">F26</f>
        <v>100</v>
      </c>
      <c r="T26" s="1107" t="s">
        <v>1393</v>
      </c>
      <c r="U26" s="1108">
        <f t="shared" ref="U26:U34" si="13">H26</f>
        <v>100</v>
      </c>
      <c r="V26" s="1107" t="s">
        <v>1393</v>
      </c>
      <c r="W26" s="1108">
        <f t="shared" ref="W26:W34" si="14">J26</f>
        <v>100</v>
      </c>
      <c r="X26" s="1046"/>
      <c r="Y26" s="3391" t="s">
        <v>1421</v>
      </c>
      <c r="Z26" s="1045" t="str">
        <f t="shared" ref="Z26:Z34" si="15">Q26</f>
        <v>公共部分装修</v>
      </c>
      <c r="AA26" s="1045">
        <f t="shared" si="3"/>
        <v>1</v>
      </c>
      <c r="AB26" s="1045">
        <f t="shared" si="4"/>
        <v>1</v>
      </c>
      <c r="AC26" s="1045">
        <f t="shared" si="5"/>
        <v>1</v>
      </c>
    </row>
    <row r="27" spans="1:29" s="1011" customFormat="1" ht="15">
      <c r="A27" s="1157"/>
      <c r="B27" s="1077" t="s">
        <v>1673</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1"/>
      <c r="Q27" s="1404" t="str">
        <f t="shared" si="11"/>
        <v>成新率</v>
      </c>
      <c r="R27" s="1145" t="s">
        <v>1393</v>
      </c>
      <c r="S27" s="1146" t="e">
        <f t="shared" si="12"/>
        <v>#N/A</v>
      </c>
      <c r="T27" s="1145" t="s">
        <v>1393</v>
      </c>
      <c r="U27" s="1146" t="e">
        <f t="shared" si="13"/>
        <v>#N/A</v>
      </c>
      <c r="V27" s="1145" t="s">
        <v>1393</v>
      </c>
      <c r="W27" s="1146" t="e">
        <f t="shared" si="14"/>
        <v>#N/A</v>
      </c>
      <c r="X27" s="1147"/>
      <c r="Y27" s="3391"/>
      <c r="Z27" s="1148" t="str">
        <f t="shared" si="15"/>
        <v>成新率</v>
      </c>
      <c r="AA27" s="1045" t="e">
        <f t="shared" si="3"/>
        <v>#N/A</v>
      </c>
      <c r="AB27" s="1045" t="e">
        <f t="shared" si="4"/>
        <v>#N/A</v>
      </c>
      <c r="AC27" s="1045" t="e">
        <f t="shared" si="5"/>
        <v>#N/A</v>
      </c>
    </row>
    <row r="28" spans="1:29" ht="15">
      <c r="A28" s="1152"/>
      <c r="B28" s="1077" t="s">
        <v>1674</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1"/>
      <c r="Q28" s="705" t="str">
        <f t="shared" si="11"/>
        <v>物业等级</v>
      </c>
      <c r="R28" s="1107" t="s">
        <v>1393</v>
      </c>
      <c r="S28" s="1108">
        <f t="shared" si="12"/>
        <v>100</v>
      </c>
      <c r="T28" s="1107" t="s">
        <v>1393</v>
      </c>
      <c r="U28" s="1108">
        <f t="shared" si="13"/>
        <v>100</v>
      </c>
      <c r="V28" s="1107" t="s">
        <v>1393</v>
      </c>
      <c r="W28" s="1108">
        <f t="shared" si="14"/>
        <v>100</v>
      </c>
      <c r="X28" s="1046"/>
      <c r="Y28" s="3391"/>
      <c r="Z28" s="1045" t="str">
        <f t="shared" si="15"/>
        <v>物业等级</v>
      </c>
      <c r="AA28" s="1045">
        <f t="shared" si="3"/>
        <v>1</v>
      </c>
      <c r="AB28" s="1045">
        <f t="shared" si="4"/>
        <v>1</v>
      </c>
      <c r="AC28" s="1045">
        <f t="shared" si="5"/>
        <v>1</v>
      </c>
    </row>
    <row r="29" spans="1:29" ht="15">
      <c r="A29" s="1152"/>
      <c r="B29" s="1077" t="s">
        <v>1683</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1"/>
      <c r="Q29" s="705" t="str">
        <f t="shared" si="11"/>
        <v>有无电梯</v>
      </c>
      <c r="R29" s="1107" t="s">
        <v>1393</v>
      </c>
      <c r="S29" s="1108">
        <f t="shared" si="12"/>
        <v>100</v>
      </c>
      <c r="T29" s="1107" t="s">
        <v>1393</v>
      </c>
      <c r="U29" s="1108">
        <f t="shared" si="13"/>
        <v>100</v>
      </c>
      <c r="V29" s="1107" t="s">
        <v>1393</v>
      </c>
      <c r="W29" s="1108">
        <f t="shared" si="14"/>
        <v>100</v>
      </c>
      <c r="X29" s="1046"/>
      <c r="Y29" s="3391"/>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1"/>
      <c r="Q30" s="705" t="str">
        <f t="shared" si="11"/>
        <v>建筑面积</v>
      </c>
      <c r="R30" s="1107" t="s">
        <v>1393</v>
      </c>
      <c r="S30" s="1108" t="e">
        <f t="shared" si="12"/>
        <v>#N/A</v>
      </c>
      <c r="T30" s="1107" t="s">
        <v>1393</v>
      </c>
      <c r="U30" s="1108" t="e">
        <f t="shared" si="13"/>
        <v>#N/A</v>
      </c>
      <c r="V30" s="1107" t="s">
        <v>1393</v>
      </c>
      <c r="W30" s="1108" t="e">
        <f t="shared" si="14"/>
        <v>#N/A</v>
      </c>
      <c r="X30" s="1046"/>
      <c r="Y30" s="3391"/>
      <c r="Z30" s="1045" t="str">
        <f t="shared" si="15"/>
        <v>建筑面积</v>
      </c>
      <c r="AA30" s="1045" t="e">
        <f t="shared" si="3"/>
        <v>#N/A</v>
      </c>
      <c r="AB30" s="1045" t="e">
        <f t="shared" si="4"/>
        <v>#N/A</v>
      </c>
      <c r="AC30" s="1045" t="e">
        <f t="shared" si="5"/>
        <v>#N/A</v>
      </c>
    </row>
    <row r="31" spans="1:29" s="1009" customFormat="1" ht="15">
      <c r="A31" s="1154"/>
      <c r="B31" s="1077" t="s">
        <v>1684</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1"/>
      <c r="Q31" s="809" t="str">
        <f t="shared" si="11"/>
        <v>是否封闭</v>
      </c>
      <c r="R31" s="1065" t="s">
        <v>1393</v>
      </c>
      <c r="S31" s="1066">
        <f t="shared" si="12"/>
        <v>100</v>
      </c>
      <c r="T31" s="1065" t="s">
        <v>1393</v>
      </c>
      <c r="U31" s="1066">
        <f t="shared" si="13"/>
        <v>100</v>
      </c>
      <c r="V31" s="1065" t="s">
        <v>1393</v>
      </c>
      <c r="W31" s="1066">
        <f t="shared" si="14"/>
        <v>100</v>
      </c>
      <c r="X31" s="1067"/>
      <c r="Y31" s="3391"/>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1" t="s">
        <v>1421</v>
      </c>
      <c r="Q32" s="705">
        <f t="shared" si="11"/>
        <v>111</v>
      </c>
      <c r="R32" s="1107" t="s">
        <v>1393</v>
      </c>
      <c r="S32" s="1108">
        <f t="shared" si="12"/>
        <v>100</v>
      </c>
      <c r="T32" s="1107" t="s">
        <v>1393</v>
      </c>
      <c r="U32" s="1108">
        <f t="shared" si="13"/>
        <v>100</v>
      </c>
      <c r="V32" s="1107" t="s">
        <v>1393</v>
      </c>
      <c r="W32" s="1108">
        <f t="shared" si="14"/>
        <v>100</v>
      </c>
      <c r="X32" s="1046"/>
      <c r="Y32" s="3391" t="s">
        <v>1421</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1"/>
      <c r="Q33" s="705">
        <f t="shared" si="11"/>
        <v>111</v>
      </c>
      <c r="R33" s="1107" t="s">
        <v>1393</v>
      </c>
      <c r="S33" s="1108">
        <f t="shared" si="12"/>
        <v>100</v>
      </c>
      <c r="T33" s="1107" t="s">
        <v>1393</v>
      </c>
      <c r="U33" s="1108">
        <f t="shared" si="13"/>
        <v>100</v>
      </c>
      <c r="V33" s="1107" t="s">
        <v>1393</v>
      </c>
      <c r="W33" s="1108">
        <f t="shared" si="14"/>
        <v>100</v>
      </c>
      <c r="X33" s="1046"/>
      <c r="Y33" s="3391"/>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1"/>
      <c r="Q34" s="705">
        <f t="shared" si="11"/>
        <v>111</v>
      </c>
      <c r="R34" s="1107" t="s">
        <v>1393</v>
      </c>
      <c r="S34" s="1108">
        <f t="shared" si="12"/>
        <v>100</v>
      </c>
      <c r="T34" s="1107" t="s">
        <v>1393</v>
      </c>
      <c r="U34" s="1108">
        <f t="shared" si="13"/>
        <v>100</v>
      </c>
      <c r="V34" s="1107" t="s">
        <v>1393</v>
      </c>
      <c r="W34" s="1108">
        <f t="shared" si="14"/>
        <v>100</v>
      </c>
      <c r="X34" s="1046"/>
      <c r="Y34" s="3391"/>
      <c r="Z34" s="1045">
        <f t="shared" si="15"/>
        <v>111</v>
      </c>
      <c r="AA34" s="1045">
        <f t="shared" si="3"/>
        <v>1</v>
      </c>
      <c r="AB34" s="1045">
        <f t="shared" si="4"/>
        <v>1</v>
      </c>
      <c r="AC34" s="1045">
        <f t="shared" si="5"/>
        <v>1</v>
      </c>
    </row>
    <row r="35" spans="1:30" ht="15">
      <c r="A35" s="1160" t="s">
        <v>1438</v>
      </c>
      <c r="B35" s="1409"/>
      <c r="C35" s="1410" t="s">
        <v>124</v>
      </c>
      <c r="D35" s="1163"/>
      <c r="E35" s="1164"/>
      <c r="F35" s="1165"/>
      <c r="G35" s="1166"/>
      <c r="H35" s="1167"/>
      <c r="I35" s="1164"/>
      <c r="J35" s="1167"/>
      <c r="K35" s="1168"/>
      <c r="L35" s="1169"/>
      <c r="M35" s="1042"/>
      <c r="N35" s="1042"/>
      <c r="O35" s="1042"/>
      <c r="P35" s="3382" t="str">
        <f>A35</f>
        <v>成交单价（元/平方米）</v>
      </c>
      <c r="Q35" s="3382"/>
      <c r="R35" s="3383">
        <f>E35</f>
        <v>0</v>
      </c>
      <c r="S35" s="3383"/>
      <c r="T35" s="3383">
        <f>G35</f>
        <v>0</v>
      </c>
      <c r="U35" s="3383"/>
      <c r="V35" s="3383">
        <f>I35</f>
        <v>0</v>
      </c>
      <c r="W35" s="3383"/>
      <c r="X35" s="1170"/>
      <c r="Y35" s="1171"/>
      <c r="Z35" s="1170"/>
      <c r="AA35" s="1170"/>
      <c r="AB35" s="1170"/>
      <c r="AC35" s="1170"/>
    </row>
    <row r="36" spans="1:30" ht="15">
      <c r="A36" s="1172" t="s">
        <v>1439</v>
      </c>
      <c r="B36" s="1411"/>
      <c r="C36" s="1412" t="e">
        <f>R37</f>
        <v>#DIV/0!</v>
      </c>
      <c r="D36" s="1175" t="s">
        <v>1440</v>
      </c>
      <c r="E36" s="1413" t="e">
        <f>R36</f>
        <v>#DIV/0!</v>
      </c>
      <c r="F36" s="1176"/>
      <c r="G36" s="1412" t="e">
        <f>T36</f>
        <v>#DIV/0!</v>
      </c>
      <c r="H36" s="1176"/>
      <c r="I36" s="1413" t="e">
        <f>V36</f>
        <v>#DIV/0!</v>
      </c>
      <c r="J36" s="1176"/>
      <c r="K36" s="1178">
        <f>F36+H36+J36</f>
        <v>0</v>
      </c>
      <c r="L36" s="1169"/>
      <c r="M36" s="1042"/>
      <c r="N36" s="1042"/>
      <c r="O36" s="1042"/>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1441</v>
      </c>
      <c r="B37" s="1180"/>
      <c r="C37" s="1051" t="e">
        <f>R37</f>
        <v>#DIV/0!</v>
      </c>
      <c r="D37" s="1051"/>
      <c r="E37" s="1051"/>
      <c r="F37" s="1051"/>
      <c r="G37" s="1051"/>
      <c r="H37" s="1051"/>
      <c r="I37" s="1051"/>
      <c r="J37" s="1051"/>
      <c r="K37" s="1182"/>
      <c r="L37" s="1169"/>
      <c r="M37" s="1042"/>
      <c r="N37" s="1042"/>
      <c r="O37" s="1042"/>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1442</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1443</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1444</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1445</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1391</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1446</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1394</v>
      </c>
      <c r="B49" s="1254"/>
      <c r="C49" s="1255" t="s">
        <v>1447</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1448</v>
      </c>
      <c r="B51" s="1263" t="s">
        <v>1399</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1402</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1404</v>
      </c>
      <c r="B61" s="1263" t="s">
        <v>1408</v>
      </c>
      <c r="C61" s="1306" t="s">
        <v>1449</v>
      </c>
      <c r="D61" s="1306" t="s">
        <v>1450</v>
      </c>
      <c r="E61" s="1306" t="s">
        <v>1451</v>
      </c>
      <c r="F61" s="1306" t="s">
        <v>1452</v>
      </c>
      <c r="G61" s="1306" t="s">
        <v>1453</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1685</v>
      </c>
      <c r="C63" s="1311" t="s">
        <v>1449</v>
      </c>
      <c r="D63" s="1311" t="s">
        <v>1450</v>
      </c>
      <c r="E63" s="1311" t="s">
        <v>1451</v>
      </c>
      <c r="F63" s="1311" t="s">
        <v>1452</v>
      </c>
      <c r="G63" s="1311" t="s">
        <v>1453</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1410</v>
      </c>
      <c r="C65" s="1114" t="s">
        <v>1454</v>
      </c>
      <c r="D65" s="1114" t="s">
        <v>1455</v>
      </c>
      <c r="E65" s="1114" t="s">
        <v>1456</v>
      </c>
      <c r="F65" s="1114" t="s">
        <v>1457</v>
      </c>
      <c r="G65" s="1114" t="s">
        <v>1458</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1468</v>
      </c>
      <c r="C67" s="1311" t="s">
        <v>1449</v>
      </c>
      <c r="D67" s="1311" t="s">
        <v>1450</v>
      </c>
      <c r="E67" s="1311" t="s">
        <v>1451</v>
      </c>
      <c r="F67" s="1311" t="s">
        <v>1452</v>
      </c>
      <c r="G67" s="1311" t="s">
        <v>1453</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1414</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1418</v>
      </c>
      <c r="B77" s="1263" t="s">
        <v>1425</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1673</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1674</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1683</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1684</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1687</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45981</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t="s">
        <v>1447</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79" t="s">
        <v>1397</v>
      </c>
      <c r="Q8" s="3380"/>
      <c r="R8" s="1065" t="s">
        <v>1393</v>
      </c>
      <c r="S8" s="1066">
        <f t="shared" si="0"/>
        <v>0</v>
      </c>
      <c r="T8" s="1065" t="s">
        <v>1393</v>
      </c>
      <c r="U8" s="1066">
        <f t="shared" si="1"/>
        <v>0</v>
      </c>
      <c r="V8" s="1065" t="s">
        <v>1393</v>
      </c>
      <c r="W8" s="1066">
        <f t="shared" si="2"/>
        <v>0</v>
      </c>
      <c r="X8" s="1067"/>
      <c r="Y8" s="3379" t="s">
        <v>1397</v>
      </c>
      <c r="Z8" s="3380"/>
      <c r="AA8" s="1069" t="e">
        <f t="shared" ref="AA8:AA45" si="3">D8/F8</f>
        <v>#DIV/0!</v>
      </c>
      <c r="AB8" s="1069" t="e">
        <f t="shared" ref="AB8:AB45" si="4">D8/H8</f>
        <v>#DIV/0!</v>
      </c>
      <c r="AC8" s="1069" t="e">
        <f t="shared" ref="AC8:AC45" si="5">D8/J8</f>
        <v>#DIV/0!</v>
      </c>
    </row>
    <row r="9" spans="1:29" s="1009" customFormat="1">
      <c r="A9" s="1071" t="s">
        <v>1398</v>
      </c>
      <c r="B9" s="1072" t="s">
        <v>1399</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2" t="s">
        <v>1400</v>
      </c>
      <c r="Q9" s="809" t="str">
        <f t="shared" ref="Q9:Q15" si="6">B9</f>
        <v>用途</v>
      </c>
      <c r="R9" s="1065" t="s">
        <v>1393</v>
      </c>
      <c r="S9" s="1066">
        <f t="shared" si="0"/>
        <v>100</v>
      </c>
      <c r="T9" s="1065" t="s">
        <v>1393</v>
      </c>
      <c r="U9" s="1066">
        <f t="shared" si="1"/>
        <v>100</v>
      </c>
      <c r="V9" s="1065" t="s">
        <v>1393</v>
      </c>
      <c r="W9" s="1066">
        <f t="shared" si="2"/>
        <v>100</v>
      </c>
      <c r="X9" s="1067"/>
      <c r="Y9" s="3358" t="s">
        <v>1401</v>
      </c>
      <c r="Z9" s="1069" t="str">
        <f t="shared" ref="Z9:Z15" si="7">Q9</f>
        <v>用途</v>
      </c>
      <c r="AA9" s="1069">
        <f t="shared" si="3"/>
        <v>1</v>
      </c>
      <c r="AB9" s="1069">
        <f t="shared" si="4"/>
        <v>1</v>
      </c>
      <c r="AC9" s="1069">
        <f t="shared" si="5"/>
        <v>1</v>
      </c>
    </row>
    <row r="10" spans="1:29" s="1010" customFormat="1" ht="27">
      <c r="A10" s="1076"/>
      <c r="B10" s="1077" t="s">
        <v>1402</v>
      </c>
      <c r="C10" s="1078"/>
      <c r="D10" s="1079">
        <v>100</v>
      </c>
      <c r="E10" s="1340"/>
      <c r="F10" s="1079">
        <f>ROUND(100/'数据-取费表'!G16,0)</f>
        <v>127</v>
      </c>
      <c r="G10" s="1341"/>
      <c r="H10" s="1079">
        <f>ROUND(100/'数据-取费表'!G16,0)</f>
        <v>127</v>
      </c>
      <c r="I10" s="1341"/>
      <c r="J10" s="1079">
        <f>ROUND(100/'数据-取费表'!G16,0)</f>
        <v>127</v>
      </c>
      <c r="K10" s="1080"/>
      <c r="L10" s="1081"/>
      <c r="M10" s="1082"/>
      <c r="N10" s="1082"/>
      <c r="O10" s="1083"/>
      <c r="P10" s="3382"/>
      <c r="Q10" s="809" t="str">
        <f t="shared" si="6"/>
        <v>土地使用年限（年）</v>
      </c>
      <c r="R10" s="1065" t="s">
        <v>1393</v>
      </c>
      <c r="S10" s="1066">
        <f t="shared" si="0"/>
        <v>127</v>
      </c>
      <c r="T10" s="1065" t="s">
        <v>1393</v>
      </c>
      <c r="U10" s="1066">
        <f t="shared" si="1"/>
        <v>127</v>
      </c>
      <c r="V10" s="1065" t="s">
        <v>1393</v>
      </c>
      <c r="W10" s="1066">
        <f t="shared" si="2"/>
        <v>127</v>
      </c>
      <c r="X10" s="1067"/>
      <c r="Y10" s="3358"/>
      <c r="Z10" s="1069" t="str">
        <f t="shared" si="7"/>
        <v>土地使用年限（年）</v>
      </c>
      <c r="AA10" s="1069">
        <f t="shared" si="3"/>
        <v>0.78740157480314965</v>
      </c>
      <c r="AB10" s="1069">
        <f t="shared" si="4"/>
        <v>0.78740157480314965</v>
      </c>
      <c r="AC10" s="1069">
        <f t="shared" si="5"/>
        <v>0.78740157480314965</v>
      </c>
    </row>
    <row r="11" spans="1:29" ht="15">
      <c r="A11" s="1084"/>
      <c r="B11" s="1077" t="s">
        <v>1403</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2"/>
      <c r="Q11" s="809" t="str">
        <f t="shared" si="6"/>
        <v>容积率</v>
      </c>
      <c r="R11" s="1065" t="s">
        <v>1393</v>
      </c>
      <c r="S11" s="1066" t="e">
        <f t="shared" si="0"/>
        <v>#N/A</v>
      </c>
      <c r="T11" s="1065" t="s">
        <v>1393</v>
      </c>
      <c r="U11" s="1066" t="e">
        <f t="shared" si="1"/>
        <v>#N/A</v>
      </c>
      <c r="V11" s="1065" t="s">
        <v>1393</v>
      </c>
      <c r="W11" s="1066" t="e">
        <f t="shared" si="2"/>
        <v>#N/A</v>
      </c>
      <c r="X11" s="1067"/>
      <c r="Y11" s="3358"/>
      <c r="Z11" s="1069" t="str">
        <f t="shared" si="7"/>
        <v>容积率</v>
      </c>
      <c r="AA11" s="1069" t="e">
        <f t="shared" si="3"/>
        <v>#N/A</v>
      </c>
      <c r="AB11" s="1069" t="e">
        <f t="shared" si="4"/>
        <v>#N/A</v>
      </c>
      <c r="AC11" s="1069" t="e">
        <f t="shared" si="5"/>
        <v>#N/A</v>
      </c>
    </row>
    <row r="12" spans="1:29" s="1009" customFormat="1" ht="15">
      <c r="A12" s="1090"/>
      <c r="B12" s="1091" t="s">
        <v>1688</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2"/>
      <c r="Q12" s="809" t="str">
        <f t="shared" si="6"/>
        <v>配建</v>
      </c>
      <c r="R12" s="1065" t="s">
        <v>1393</v>
      </c>
      <c r="S12" s="1066">
        <f t="shared" si="0"/>
        <v>100</v>
      </c>
      <c r="T12" s="1065" t="s">
        <v>1393</v>
      </c>
      <c r="U12" s="1066">
        <f t="shared" si="1"/>
        <v>100</v>
      </c>
      <c r="V12" s="1065" t="s">
        <v>1393</v>
      </c>
      <c r="W12" s="1066">
        <f t="shared" si="2"/>
        <v>100</v>
      </c>
      <c r="X12" s="1067"/>
      <c r="Y12" s="3358"/>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2"/>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2"/>
      <c r="Q14" s="809">
        <f t="shared" si="6"/>
        <v>111</v>
      </c>
      <c r="R14" s="1065" t="s">
        <v>1393</v>
      </c>
      <c r="S14" s="1066">
        <f t="shared" si="0"/>
        <v>100</v>
      </c>
      <c r="T14" s="1065" t="s">
        <v>1393</v>
      </c>
      <c r="U14" s="1066">
        <f t="shared" si="1"/>
        <v>100</v>
      </c>
      <c r="V14" s="1065" t="s">
        <v>1393</v>
      </c>
      <c r="W14" s="1066">
        <f t="shared" si="2"/>
        <v>100</v>
      </c>
      <c r="X14" s="1067"/>
      <c r="Y14" s="3358"/>
      <c r="Z14" s="1069">
        <f t="shared" si="7"/>
        <v>111</v>
      </c>
      <c r="AA14" s="1069">
        <f t="shared" si="3"/>
        <v>1</v>
      </c>
      <c r="AB14" s="1069">
        <f t="shared" si="4"/>
        <v>1</v>
      </c>
      <c r="AC14" s="1069">
        <f t="shared" si="5"/>
        <v>1</v>
      </c>
    </row>
    <row r="15" spans="1:29" ht="15">
      <c r="A15" s="1101" t="s">
        <v>1404</v>
      </c>
      <c r="B15" s="1342" t="s">
        <v>1478</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89" t="s">
        <v>1406</v>
      </c>
      <c r="Q15" s="705" t="str">
        <f t="shared" si="6"/>
        <v>居住社区成熟度</v>
      </c>
      <c r="R15" s="1107" t="s">
        <v>1393</v>
      </c>
      <c r="S15" s="1108">
        <f t="shared" si="0"/>
        <v>100</v>
      </c>
      <c r="T15" s="1107" t="s">
        <v>1393</v>
      </c>
      <c r="U15" s="1108">
        <f t="shared" si="1"/>
        <v>100</v>
      </c>
      <c r="V15" s="1107" t="s">
        <v>1393</v>
      </c>
      <c r="W15" s="1108">
        <f t="shared" si="2"/>
        <v>100</v>
      </c>
      <c r="X15" s="1046"/>
      <c r="Y15" s="3389" t="s">
        <v>1406</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0"/>
      <c r="Q16" s="705"/>
      <c r="R16" s="1107"/>
      <c r="S16" s="1108"/>
      <c r="T16" s="1107"/>
      <c r="U16" s="1108"/>
      <c r="V16" s="1107"/>
      <c r="W16" s="1108"/>
      <c r="X16" s="1046"/>
      <c r="Y16" s="3390"/>
      <c r="Z16" s="1045"/>
      <c r="AA16" s="1045">
        <v>1</v>
      </c>
      <c r="AB16" s="1045">
        <v>1</v>
      </c>
      <c r="AC16" s="1045">
        <v>1</v>
      </c>
    </row>
    <row r="17" spans="1:29" ht="15">
      <c r="A17" s="1084"/>
      <c r="B17" s="1344" t="s">
        <v>1467</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0"/>
      <c r="Q17" s="705" t="str">
        <f>B17</f>
        <v>商业繁华度</v>
      </c>
      <c r="R17" s="1107" t="s">
        <v>1393</v>
      </c>
      <c r="S17" s="1108">
        <f>F17</f>
        <v>100</v>
      </c>
      <c r="T17" s="1107" t="s">
        <v>1393</v>
      </c>
      <c r="U17" s="1108">
        <f>H17</f>
        <v>100</v>
      </c>
      <c r="V17" s="1107" t="s">
        <v>1393</v>
      </c>
      <c r="W17" s="1108">
        <f>J17</f>
        <v>100</v>
      </c>
      <c r="X17" s="1046"/>
      <c r="Y17" s="3390"/>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0"/>
      <c r="Q18" s="705"/>
      <c r="R18" s="1107"/>
      <c r="S18" s="1108"/>
      <c r="T18" s="1107"/>
      <c r="U18" s="1108"/>
      <c r="V18" s="1107"/>
      <c r="W18" s="1108"/>
      <c r="X18" s="1046"/>
      <c r="Y18" s="3390"/>
      <c r="Z18" s="1045"/>
      <c r="AA18" s="1045">
        <v>1</v>
      </c>
      <c r="AB18" s="1045">
        <v>1</v>
      </c>
      <c r="AC18" s="1045">
        <v>1</v>
      </c>
    </row>
    <row r="19" spans="1:29" ht="15">
      <c r="A19" s="1084"/>
      <c r="B19" s="1344" t="s">
        <v>1405</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0"/>
      <c r="Q19" s="705" t="str">
        <f>B19</f>
        <v>办公集聚程度</v>
      </c>
      <c r="R19" s="1107" t="s">
        <v>1393</v>
      </c>
      <c r="S19" s="1108">
        <f>F19</f>
        <v>100</v>
      </c>
      <c r="T19" s="1107" t="s">
        <v>1393</v>
      </c>
      <c r="U19" s="1108">
        <f>H19</f>
        <v>100</v>
      </c>
      <c r="V19" s="1107" t="s">
        <v>1393</v>
      </c>
      <c r="W19" s="1108">
        <f>J19</f>
        <v>100</v>
      </c>
      <c r="X19" s="1046"/>
      <c r="Y19" s="3390"/>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0"/>
      <c r="Q20" s="705"/>
      <c r="R20" s="1107"/>
      <c r="S20" s="1108"/>
      <c r="T20" s="1107"/>
      <c r="U20" s="1108"/>
      <c r="V20" s="1107"/>
      <c r="W20" s="1108"/>
      <c r="X20" s="1046"/>
      <c r="Y20" s="3390"/>
      <c r="Z20" s="1045"/>
      <c r="AA20" s="1045">
        <v>1</v>
      </c>
      <c r="AB20" s="1045">
        <v>1</v>
      </c>
      <c r="AC20" s="1045">
        <v>1</v>
      </c>
    </row>
    <row r="21" spans="1:29" ht="15">
      <c r="A21" s="1084"/>
      <c r="B21" s="1344" t="s">
        <v>1408</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0"/>
      <c r="Q21" s="705" t="str">
        <f>B21</f>
        <v>交通便捷度</v>
      </c>
      <c r="R21" s="1107" t="s">
        <v>1393</v>
      </c>
      <c r="S21" s="1108">
        <f>F21</f>
        <v>100</v>
      </c>
      <c r="T21" s="1107" t="s">
        <v>1393</v>
      </c>
      <c r="U21" s="1108">
        <f>H21</f>
        <v>100</v>
      </c>
      <c r="V21" s="1107" t="s">
        <v>1393</v>
      </c>
      <c r="W21" s="1108">
        <f>J21</f>
        <v>100</v>
      </c>
      <c r="X21" s="1046"/>
      <c r="Y21" s="3390"/>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0"/>
      <c r="Q22" s="705"/>
      <c r="R22" s="1107"/>
      <c r="S22" s="1108"/>
      <c r="T22" s="1107"/>
      <c r="U22" s="1108"/>
      <c r="V22" s="1107"/>
      <c r="W22" s="1108"/>
      <c r="X22" s="1046"/>
      <c r="Y22" s="3390"/>
      <c r="Z22" s="1045"/>
      <c r="AA22" s="1045">
        <v>1</v>
      </c>
      <c r="AB22" s="1045">
        <v>1</v>
      </c>
      <c r="AC22" s="1045">
        <v>1</v>
      </c>
    </row>
    <row r="23" spans="1:29" ht="15">
      <c r="A23" s="1047"/>
      <c r="B23" s="1344" t="s">
        <v>1689</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0"/>
      <c r="Q23" s="705" t="str">
        <f t="shared" ref="Q23:Q38" si="8">B23</f>
        <v>区域土地利用方向</v>
      </c>
      <c r="R23" s="1107" t="s">
        <v>1393</v>
      </c>
      <c r="S23" s="1108">
        <f>F23</f>
        <v>100</v>
      </c>
      <c r="T23" s="1107" t="s">
        <v>1393</v>
      </c>
      <c r="U23" s="1108">
        <f>H23</f>
        <v>100</v>
      </c>
      <c r="V23" s="1107" t="s">
        <v>1393</v>
      </c>
      <c r="W23" s="1108">
        <f>J23</f>
        <v>100</v>
      </c>
      <c r="X23" s="1046"/>
      <c r="Y23" s="3390"/>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0"/>
      <c r="Q24" s="705"/>
      <c r="R24" s="1107"/>
      <c r="S24" s="1108"/>
      <c r="T24" s="1107"/>
      <c r="U24" s="1108"/>
      <c r="V24" s="1107"/>
      <c r="W24" s="1108"/>
      <c r="X24" s="1046"/>
      <c r="Y24" s="3390"/>
      <c r="Z24" s="1045"/>
      <c r="AA24" s="1045"/>
      <c r="AB24" s="1045"/>
      <c r="AC24" s="1045"/>
    </row>
    <row r="25" spans="1:29" ht="27">
      <c r="A25" s="1047"/>
      <c r="B25" s="1350" t="s">
        <v>1690</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0"/>
      <c r="Q25" s="705" t="str">
        <f t="shared" si="8"/>
        <v>自然及人文环境状况</v>
      </c>
      <c r="R25" s="1107" t="s">
        <v>1393</v>
      </c>
      <c r="S25" s="1108">
        <f>F25</f>
        <v>100</v>
      </c>
      <c r="T25" s="1107" t="s">
        <v>1393</v>
      </c>
      <c r="U25" s="1108">
        <f>H25</f>
        <v>100</v>
      </c>
      <c r="V25" s="1107" t="s">
        <v>1393</v>
      </c>
      <c r="W25" s="1108">
        <f>J25</f>
        <v>100</v>
      </c>
      <c r="X25" s="1046"/>
      <c r="Y25" s="3390"/>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0"/>
      <c r="Q26" s="705"/>
      <c r="R26" s="1107"/>
      <c r="S26" s="1108"/>
      <c r="T26" s="1107"/>
      <c r="U26" s="1108"/>
      <c r="V26" s="1107"/>
      <c r="W26" s="1108"/>
      <c r="X26" s="1046"/>
      <c r="Y26" s="3390"/>
      <c r="Z26" s="1045"/>
      <c r="AA26" s="1045">
        <v>1</v>
      </c>
      <c r="AB26" s="1045">
        <v>1</v>
      </c>
      <c r="AC26" s="1045">
        <v>1</v>
      </c>
    </row>
    <row r="27" spans="1:29" s="1009" customFormat="1" ht="15">
      <c r="A27" s="1124"/>
      <c r="B27" s="1350" t="s">
        <v>1409</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0"/>
      <c r="Q27" s="809" t="str">
        <f t="shared" si="8"/>
        <v>公共配套设施</v>
      </c>
      <c r="R27" s="1065" t="s">
        <v>1393</v>
      </c>
      <c r="S27" s="1066">
        <f>F27</f>
        <v>100</v>
      </c>
      <c r="T27" s="1065" t="s">
        <v>1393</v>
      </c>
      <c r="U27" s="1066">
        <f>H27</f>
        <v>100</v>
      </c>
      <c r="V27" s="1065" t="s">
        <v>1393</v>
      </c>
      <c r="W27" s="1066">
        <f>J27</f>
        <v>100</v>
      </c>
      <c r="X27" s="1067"/>
      <c r="Y27" s="3390"/>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0"/>
      <c r="Q28" s="809"/>
      <c r="R28" s="1065"/>
      <c r="S28" s="1066"/>
      <c r="T28" s="1065"/>
      <c r="U28" s="1066"/>
      <c r="V28" s="1065"/>
      <c r="W28" s="1066"/>
      <c r="X28" s="1067"/>
      <c r="Y28" s="3390"/>
      <c r="Z28" s="1069"/>
      <c r="AA28" s="1045">
        <v>1</v>
      </c>
      <c r="AB28" s="1045">
        <v>1</v>
      </c>
      <c r="AC28" s="1045">
        <v>1</v>
      </c>
    </row>
    <row r="29" spans="1:29" s="1009" customFormat="1" ht="15">
      <c r="A29" s="1124"/>
      <c r="B29" s="1350" t="s">
        <v>1410</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0"/>
      <c r="Q29" s="809" t="str">
        <f t="shared" ref="Q29" si="9">B29</f>
        <v>基础设施水平</v>
      </c>
      <c r="R29" s="1065" t="s">
        <v>1393</v>
      </c>
      <c r="S29" s="1066">
        <f>F29</f>
        <v>100</v>
      </c>
      <c r="T29" s="1065" t="s">
        <v>1393</v>
      </c>
      <c r="U29" s="1066">
        <f>H29</f>
        <v>100</v>
      </c>
      <c r="V29" s="1065" t="s">
        <v>1393</v>
      </c>
      <c r="W29" s="1066">
        <f>J29</f>
        <v>100</v>
      </c>
      <c r="X29" s="1067"/>
      <c r="Y29" s="3390"/>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0"/>
      <c r="Q30" s="809"/>
      <c r="R30" s="1065"/>
      <c r="S30" s="1066"/>
      <c r="T30" s="1065"/>
      <c r="U30" s="1066"/>
      <c r="V30" s="1065"/>
      <c r="W30" s="1066"/>
      <c r="X30" s="1067"/>
      <c r="Y30" s="3390"/>
      <c r="Z30" s="1069"/>
      <c r="AA30" s="1045">
        <v>1</v>
      </c>
      <c r="AB30" s="1045">
        <v>1</v>
      </c>
      <c r="AC30" s="1045">
        <v>1</v>
      </c>
    </row>
    <row r="31" spans="1:29" ht="15">
      <c r="A31" s="1084"/>
      <c r="B31" s="1149" t="s">
        <v>1469</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0"/>
      <c r="Q31" s="705" t="str">
        <f t="shared" si="8"/>
        <v>临街状况</v>
      </c>
      <c r="R31" s="1107" t="s">
        <v>1393</v>
      </c>
      <c r="S31" s="1108">
        <f t="shared" ref="S31:S45" si="10">F31</f>
        <v>100</v>
      </c>
      <c r="T31" s="1107" t="s">
        <v>1393</v>
      </c>
      <c r="U31" s="1108">
        <f t="shared" ref="U31:U45" si="11">H31</f>
        <v>100</v>
      </c>
      <c r="V31" s="1107" t="s">
        <v>1393</v>
      </c>
      <c r="W31" s="1108">
        <f t="shared" ref="W31:W45" si="12">J31</f>
        <v>100</v>
      </c>
      <c r="X31" s="1046"/>
      <c r="Y31" s="3390"/>
      <c r="Z31" s="1045" t="str">
        <f t="shared" ref="Z31:Z45" si="13">Q31</f>
        <v>临街状况</v>
      </c>
      <c r="AA31" s="1045">
        <f t="shared" si="3"/>
        <v>1</v>
      </c>
      <c r="AB31" s="1045">
        <f t="shared" si="4"/>
        <v>1</v>
      </c>
      <c r="AC31" s="1045">
        <f t="shared" si="5"/>
        <v>1</v>
      </c>
    </row>
    <row r="32" spans="1:29" ht="27">
      <c r="A32" s="1084"/>
      <c r="B32" s="1350" t="s">
        <v>1413</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0"/>
      <c r="Q32" s="705" t="str">
        <f t="shared" si="8"/>
        <v>毗邻道路的类型与等级</v>
      </c>
      <c r="R32" s="1107" t="s">
        <v>1393</v>
      </c>
      <c r="S32" s="1108">
        <f t="shared" si="10"/>
        <v>100</v>
      </c>
      <c r="T32" s="1107" t="s">
        <v>1393</v>
      </c>
      <c r="U32" s="1108">
        <f t="shared" si="11"/>
        <v>100</v>
      </c>
      <c r="V32" s="1107" t="s">
        <v>1393</v>
      </c>
      <c r="W32" s="1108">
        <f t="shared" si="12"/>
        <v>100</v>
      </c>
      <c r="X32" s="1046"/>
      <c r="Y32" s="3390"/>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0"/>
      <c r="Q33" s="705"/>
      <c r="R33" s="1107"/>
      <c r="S33" s="1108"/>
      <c r="T33" s="1107"/>
      <c r="U33" s="1108"/>
      <c r="V33" s="1107"/>
      <c r="W33" s="1108"/>
      <c r="X33" s="1046"/>
      <c r="Y33" s="3390"/>
      <c r="Z33" s="1045"/>
      <c r="AA33" s="1045">
        <v>1</v>
      </c>
      <c r="AB33" s="1045">
        <v>1</v>
      </c>
      <c r="AC33" s="1045">
        <v>1</v>
      </c>
    </row>
    <row r="34" spans="1:29" ht="15">
      <c r="A34" s="1084"/>
      <c r="B34" s="1077" t="s">
        <v>1691</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0"/>
      <c r="Q34" s="705" t="str">
        <f t="shared" si="8"/>
        <v>土地级别</v>
      </c>
      <c r="R34" s="1107" t="s">
        <v>1393</v>
      </c>
      <c r="S34" s="1108">
        <f t="shared" si="10"/>
        <v>100</v>
      </c>
      <c r="T34" s="1107" t="s">
        <v>1393</v>
      </c>
      <c r="U34" s="1108">
        <f t="shared" si="11"/>
        <v>100</v>
      </c>
      <c r="V34" s="1107" t="s">
        <v>1393</v>
      </c>
      <c r="W34" s="1108">
        <f t="shared" si="12"/>
        <v>100</v>
      </c>
      <c r="X34" s="1046"/>
      <c r="Y34" s="3390"/>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0"/>
      <c r="Q35" s="705">
        <f t="shared" si="8"/>
        <v>111</v>
      </c>
      <c r="R35" s="1107" t="s">
        <v>1393</v>
      </c>
      <c r="S35" s="1108">
        <f t="shared" si="10"/>
        <v>100</v>
      </c>
      <c r="T35" s="1107" t="s">
        <v>1393</v>
      </c>
      <c r="U35" s="1108">
        <f t="shared" si="11"/>
        <v>100</v>
      </c>
      <c r="V35" s="1107" t="s">
        <v>1393</v>
      </c>
      <c r="W35" s="1108">
        <f t="shared" si="12"/>
        <v>100</v>
      </c>
      <c r="X35" s="1046"/>
      <c r="Y35" s="3390"/>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1421</v>
      </c>
      <c r="Q36" s="705">
        <f t="shared" si="8"/>
        <v>111</v>
      </c>
      <c r="R36" s="1107" t="s">
        <v>1393</v>
      </c>
      <c r="S36" s="1108">
        <f t="shared" si="10"/>
        <v>100</v>
      </c>
      <c r="T36" s="1107" t="s">
        <v>1393</v>
      </c>
      <c r="U36" s="1108">
        <f t="shared" si="11"/>
        <v>100</v>
      </c>
      <c r="V36" s="1107" t="s">
        <v>1393</v>
      </c>
      <c r="W36" s="1108">
        <f t="shared" si="12"/>
        <v>100</v>
      </c>
      <c r="X36" s="1046"/>
      <c r="Y36" s="3391" t="s">
        <v>1421</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1"/>
      <c r="Q37" s="705">
        <f t="shared" si="8"/>
        <v>111</v>
      </c>
      <c r="R37" s="1145" t="s">
        <v>1393</v>
      </c>
      <c r="S37" s="1146">
        <f t="shared" si="10"/>
        <v>100</v>
      </c>
      <c r="T37" s="1145" t="s">
        <v>1393</v>
      </c>
      <c r="U37" s="1146">
        <f t="shared" si="11"/>
        <v>100</v>
      </c>
      <c r="V37" s="1145" t="s">
        <v>1393</v>
      </c>
      <c r="W37" s="1146">
        <f t="shared" si="12"/>
        <v>100</v>
      </c>
      <c r="X37" s="1147"/>
      <c r="Y37" s="3391"/>
      <c r="Z37" s="1148">
        <f t="shared" si="13"/>
        <v>111</v>
      </c>
      <c r="AA37" s="1045">
        <f t="shared" si="3"/>
        <v>1</v>
      </c>
      <c r="AB37" s="1045">
        <f t="shared" si="4"/>
        <v>1</v>
      </c>
      <c r="AC37" s="1045">
        <f t="shared" si="5"/>
        <v>1</v>
      </c>
    </row>
    <row r="38" spans="1:29" ht="15">
      <c r="A38" s="1152" t="s">
        <v>1418</v>
      </c>
      <c r="B38" s="1149" t="s">
        <v>1692</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1"/>
      <c r="Q38" s="705" t="str">
        <f t="shared" si="8"/>
        <v>宗地面积</v>
      </c>
      <c r="R38" s="1107" t="s">
        <v>1393</v>
      </c>
      <c r="S38" s="1108" t="e">
        <f t="shared" si="10"/>
        <v>#N/A</v>
      </c>
      <c r="T38" s="1107" t="s">
        <v>1393</v>
      </c>
      <c r="U38" s="1108" t="e">
        <f t="shared" si="11"/>
        <v>#N/A</v>
      </c>
      <c r="V38" s="1107" t="s">
        <v>1393</v>
      </c>
      <c r="W38" s="1108" t="e">
        <f t="shared" si="12"/>
        <v>#N/A</v>
      </c>
      <c r="X38" s="1046"/>
      <c r="Y38" s="3391"/>
      <c r="Z38" s="1045" t="str">
        <f t="shared" si="13"/>
        <v>宗地面积</v>
      </c>
      <c r="AA38" s="1045" t="e">
        <f t="shared" si="3"/>
        <v>#N/A</v>
      </c>
      <c r="AB38" s="1045" t="e">
        <f t="shared" si="4"/>
        <v>#N/A</v>
      </c>
      <c r="AC38" s="1045" t="e">
        <f t="shared" si="5"/>
        <v>#N/A</v>
      </c>
    </row>
    <row r="39" spans="1:29" ht="15">
      <c r="A39" s="1152"/>
      <c r="B39" s="1077" t="s">
        <v>1693</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1"/>
      <c r="Q39" s="705" t="str">
        <f t="shared" ref="Q39:Q45" si="14">B39</f>
        <v>宗地形状</v>
      </c>
      <c r="R39" s="1107" t="s">
        <v>1393</v>
      </c>
      <c r="S39" s="1108">
        <f t="shared" si="10"/>
        <v>100</v>
      </c>
      <c r="T39" s="1107" t="s">
        <v>1393</v>
      </c>
      <c r="U39" s="1108">
        <f t="shared" si="11"/>
        <v>100</v>
      </c>
      <c r="V39" s="1107" t="s">
        <v>1393</v>
      </c>
      <c r="W39" s="1108">
        <f t="shared" si="12"/>
        <v>100</v>
      </c>
      <c r="X39" s="1046"/>
      <c r="Y39" s="3391"/>
      <c r="Z39" s="1045" t="str">
        <f t="shared" si="13"/>
        <v>宗地形状</v>
      </c>
      <c r="AA39" s="1045">
        <f t="shared" si="3"/>
        <v>1</v>
      </c>
      <c r="AB39" s="1045">
        <f t="shared" si="4"/>
        <v>1</v>
      </c>
      <c r="AC39" s="1045">
        <f t="shared" si="5"/>
        <v>1</v>
      </c>
    </row>
    <row r="40" spans="1:29" ht="15">
      <c r="A40" s="1152"/>
      <c r="B40" s="1077" t="s">
        <v>1694</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1"/>
      <c r="Q40" s="705" t="str">
        <f t="shared" si="14"/>
        <v>临街宽度及深度</v>
      </c>
      <c r="R40" s="1107" t="s">
        <v>1393</v>
      </c>
      <c r="S40" s="1108">
        <f t="shared" si="10"/>
        <v>100</v>
      </c>
      <c r="T40" s="1107" t="s">
        <v>1393</v>
      </c>
      <c r="U40" s="1108">
        <f t="shared" si="11"/>
        <v>100</v>
      </c>
      <c r="V40" s="1107" t="s">
        <v>1393</v>
      </c>
      <c r="W40" s="1108">
        <f t="shared" si="12"/>
        <v>100</v>
      </c>
      <c r="X40" s="1046"/>
      <c r="Y40" s="3391"/>
      <c r="Z40" s="1045" t="str">
        <f t="shared" si="13"/>
        <v>临街宽度及深度</v>
      </c>
      <c r="AA40" s="1045">
        <f t="shared" si="3"/>
        <v>1</v>
      </c>
      <c r="AB40" s="1045">
        <f t="shared" si="4"/>
        <v>1</v>
      </c>
      <c r="AC40" s="1045">
        <f t="shared" si="5"/>
        <v>1</v>
      </c>
    </row>
    <row r="41" spans="1:29" s="1009" customFormat="1" ht="15">
      <c r="A41" s="1154"/>
      <c r="B41" s="1077" t="s">
        <v>1695</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1"/>
      <c r="Q41" s="705" t="str">
        <f t="shared" si="14"/>
        <v>宗地开发程度</v>
      </c>
      <c r="R41" s="1065" t="s">
        <v>1393</v>
      </c>
      <c r="S41" s="1066">
        <f t="shared" si="10"/>
        <v>100</v>
      </c>
      <c r="T41" s="1065" t="s">
        <v>1393</v>
      </c>
      <c r="U41" s="1066">
        <f t="shared" si="11"/>
        <v>100</v>
      </c>
      <c r="V41" s="1065" t="s">
        <v>1393</v>
      </c>
      <c r="W41" s="1066">
        <f t="shared" si="12"/>
        <v>100</v>
      </c>
      <c r="X41" s="1067"/>
      <c r="Y41" s="3391"/>
      <c r="Z41" s="1069" t="str">
        <f t="shared" si="13"/>
        <v>宗地开发程度</v>
      </c>
      <c r="AA41" s="1069">
        <f t="shared" si="3"/>
        <v>1</v>
      </c>
      <c r="AB41" s="1069">
        <f t="shared" si="4"/>
        <v>1</v>
      </c>
      <c r="AC41" s="1069">
        <f t="shared" si="5"/>
        <v>1</v>
      </c>
    </row>
    <row r="42" spans="1:29" ht="15">
      <c r="A42" s="1152"/>
      <c r="B42" s="1077" t="s">
        <v>1696</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1" t="s">
        <v>1421</v>
      </c>
      <c r="Q42" s="705" t="str">
        <f t="shared" si="14"/>
        <v>工程地质条件</v>
      </c>
      <c r="R42" s="1107" t="s">
        <v>1393</v>
      </c>
      <c r="S42" s="1108">
        <f t="shared" si="10"/>
        <v>100</v>
      </c>
      <c r="T42" s="1107" t="s">
        <v>1393</v>
      </c>
      <c r="U42" s="1108">
        <f t="shared" si="11"/>
        <v>100</v>
      </c>
      <c r="V42" s="1107" t="s">
        <v>1393</v>
      </c>
      <c r="W42" s="1108">
        <f t="shared" si="12"/>
        <v>100</v>
      </c>
      <c r="X42" s="1046"/>
      <c r="Y42" s="3391" t="s">
        <v>1421</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1"/>
      <c r="Q43" s="705">
        <f t="shared" si="14"/>
        <v>111</v>
      </c>
      <c r="R43" s="1107" t="s">
        <v>1393</v>
      </c>
      <c r="S43" s="1108">
        <f t="shared" si="10"/>
        <v>100</v>
      </c>
      <c r="T43" s="1107" t="s">
        <v>1393</v>
      </c>
      <c r="U43" s="1108">
        <f t="shared" si="11"/>
        <v>100</v>
      </c>
      <c r="V43" s="1107" t="s">
        <v>1393</v>
      </c>
      <c r="W43" s="1108">
        <f t="shared" si="12"/>
        <v>100</v>
      </c>
      <c r="X43" s="1046"/>
      <c r="Y43" s="3391"/>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1"/>
      <c r="Q44" s="705">
        <f t="shared" si="14"/>
        <v>111</v>
      </c>
      <c r="R44" s="1107" t="s">
        <v>1393</v>
      </c>
      <c r="S44" s="1108">
        <f t="shared" si="10"/>
        <v>100</v>
      </c>
      <c r="T44" s="1107" t="s">
        <v>1393</v>
      </c>
      <c r="U44" s="1108">
        <f t="shared" si="11"/>
        <v>100</v>
      </c>
      <c r="V44" s="1107" t="s">
        <v>1393</v>
      </c>
      <c r="W44" s="1108">
        <f t="shared" si="12"/>
        <v>100</v>
      </c>
      <c r="X44" s="1046"/>
      <c r="Y44" s="3391"/>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1"/>
      <c r="Q45" s="705">
        <f t="shared" si="14"/>
        <v>111</v>
      </c>
      <c r="R45" s="1145" t="s">
        <v>1393</v>
      </c>
      <c r="S45" s="1146">
        <f t="shared" si="10"/>
        <v>100</v>
      </c>
      <c r="T45" s="1145" t="s">
        <v>1393</v>
      </c>
      <c r="U45" s="1146">
        <f t="shared" si="11"/>
        <v>100</v>
      </c>
      <c r="V45" s="1145" t="s">
        <v>1393</v>
      </c>
      <c r="W45" s="1146">
        <f t="shared" si="12"/>
        <v>100</v>
      </c>
      <c r="X45" s="1147"/>
      <c r="Y45" s="3391"/>
      <c r="Z45" s="1148">
        <f t="shared" si="13"/>
        <v>111</v>
      </c>
      <c r="AA45" s="1045">
        <f t="shared" si="3"/>
        <v>1</v>
      </c>
      <c r="AB45" s="1045">
        <f t="shared" si="4"/>
        <v>1</v>
      </c>
      <c r="AC45" s="1045">
        <f t="shared" si="5"/>
        <v>1</v>
      </c>
    </row>
    <row r="46" spans="1:29" ht="15">
      <c r="A46" s="1160" t="s">
        <v>1678</v>
      </c>
      <c r="B46" s="1161" t="s">
        <v>1697</v>
      </c>
      <c r="C46" s="1162" t="s">
        <v>124</v>
      </c>
      <c r="D46" s="1163"/>
      <c r="E46" s="1164"/>
      <c r="F46" s="1165"/>
      <c r="G46" s="1166"/>
      <c r="H46" s="1167"/>
      <c r="I46" s="1164"/>
      <c r="J46" s="1167"/>
      <c r="K46" s="1168"/>
      <c r="L46" s="1169"/>
      <c r="M46" s="1042"/>
      <c r="N46" s="1042"/>
      <c r="O46" s="1042"/>
      <c r="P46" s="3382" t="str">
        <f>A46</f>
        <v>成交单价</v>
      </c>
      <c r="Q46" s="3382"/>
      <c r="R46" s="3383">
        <f>E46</f>
        <v>0</v>
      </c>
      <c r="S46" s="3383"/>
      <c r="T46" s="3383">
        <f>G46</f>
        <v>0</v>
      </c>
      <c r="U46" s="3383"/>
      <c r="V46" s="3383">
        <f>I46</f>
        <v>0</v>
      </c>
      <c r="W46" s="3383"/>
      <c r="X46" s="1170"/>
      <c r="Y46" s="1171"/>
      <c r="Z46" s="1170"/>
      <c r="AA46" s="1170"/>
      <c r="AB46" s="1170"/>
      <c r="AC46" s="1170"/>
    </row>
    <row r="47" spans="1:29" ht="15">
      <c r="A47" s="1172" t="s">
        <v>1439</v>
      </c>
      <c r="B47" s="1173"/>
      <c r="C47" s="1174" t="e">
        <f>R48</f>
        <v>#DIV/0!</v>
      </c>
      <c r="D47" s="1175" t="s">
        <v>1440</v>
      </c>
      <c r="E47" s="1174" t="e">
        <f>R47</f>
        <v>#DIV/0!</v>
      </c>
      <c r="F47" s="1176"/>
      <c r="G47" s="1177" t="e">
        <f>T47</f>
        <v>#DIV/0!</v>
      </c>
      <c r="H47" s="1176"/>
      <c r="I47" s="1174" t="e">
        <f>V47</f>
        <v>#DIV/0!</v>
      </c>
      <c r="J47" s="1176"/>
      <c r="K47" s="1178">
        <f>F47+H47+J47</f>
        <v>0</v>
      </c>
      <c r="L47" s="1169"/>
      <c r="M47" s="1042"/>
      <c r="N47" s="1042"/>
      <c r="O47" s="1042"/>
      <c r="P47" s="3382" t="str">
        <f>A47</f>
        <v>比较价值（元/平方米）</v>
      </c>
      <c r="Q47" s="3382"/>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1698</v>
      </c>
      <c r="B48" s="1180"/>
      <c r="C48" s="1181" t="e">
        <f>R48</f>
        <v>#DIV/0!</v>
      </c>
      <c r="D48" s="1181"/>
      <c r="E48" s="1181"/>
      <c r="F48" s="1181"/>
      <c r="G48" s="1181"/>
      <c r="H48" s="1181"/>
      <c r="I48" s="1181"/>
      <c r="J48" s="1181"/>
      <c r="K48" s="1182"/>
      <c r="L48" s="1169"/>
      <c r="M48" s="1042"/>
      <c r="N48" s="1042"/>
      <c r="O48" s="1042"/>
      <c r="P48" s="3418" t="str">
        <f>A48</f>
        <v>估价对象XX用房的比较价值（楼面单价，元/平方米）</v>
      </c>
      <c r="Q48" s="3419"/>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1442</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1443</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1444</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1699</v>
      </c>
      <c r="B55" s="1197" t="s">
        <v>1700</v>
      </c>
      <c r="C55" s="1198" t="s">
        <v>1701</v>
      </c>
      <c r="D55" s="1199" t="s">
        <v>1702</v>
      </c>
      <c r="E55" s="1200" t="s">
        <v>1703</v>
      </c>
      <c r="F55" s="1353" t="s">
        <v>1704</v>
      </c>
      <c r="G55" s="3367" t="s">
        <v>1705</v>
      </c>
      <c r="H55" s="3451"/>
      <c r="I55" s="1354" t="s">
        <v>1706</v>
      </c>
      <c r="J55" s="1355">
        <f>项目基本情况!F35</f>
        <v>0</v>
      </c>
      <c r="K55" s="1202" t="s">
        <v>1707</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1708</v>
      </c>
      <c r="B56" s="1204" t="e">
        <f>C48</f>
        <v>#DIV/0!</v>
      </c>
      <c r="C56" s="1205">
        <v>1</v>
      </c>
      <c r="D56" s="1206">
        <v>1</v>
      </c>
      <c r="E56" s="1205">
        <f>'数据-汇总表'!E8+'数据-汇总表'!E9</f>
        <v>296</v>
      </c>
      <c r="F56" s="1356" t="e">
        <f t="shared" ref="F56:F64" si="15">ROUND(B56*E56/10000,0)</f>
        <v>#DIV/0!</v>
      </c>
      <c r="G56" s="3381"/>
      <c r="H56" s="3382"/>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1709</v>
      </c>
      <c r="B57" s="361" t="e">
        <f>ROUND($C$48*C57*D57,0)</f>
        <v>#DIV/0!</v>
      </c>
      <c r="C57" s="524">
        <f t="shared" ref="C57:C64" si="16">IF($C$55="北京市系数",I57,J57)</f>
        <v>0.6</v>
      </c>
      <c r="D57" s="1210">
        <v>0.25</v>
      </c>
      <c r="E57" s="1211"/>
      <c r="F57" s="1356" t="e">
        <f t="shared" si="15"/>
        <v>#DIV/0!</v>
      </c>
      <c r="G57" s="1212" t="s">
        <v>1710</v>
      </c>
      <c r="H57" s="1213" t="str">
        <f>项目基本情况!B37</f>
        <v>六级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1711</v>
      </c>
      <c r="B58" s="361" t="e">
        <f t="shared" ref="B58:B64" si="17">ROUND($C$48*C58*D58,0)</f>
        <v>#DIV/0!</v>
      </c>
      <c r="C58" s="524">
        <f t="shared" si="16"/>
        <v>0.3</v>
      </c>
      <c r="D58" s="1210">
        <v>0.25</v>
      </c>
      <c r="E58" s="1211"/>
      <c r="F58" s="1356" t="e">
        <f t="shared" si="15"/>
        <v>#DIV/0!</v>
      </c>
      <c r="G58" s="1215"/>
      <c r="H58" s="1213" t="str">
        <f>项目基本情况!B37</f>
        <v>六级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1712</v>
      </c>
      <c r="B59" s="361" t="e">
        <f t="shared" si="17"/>
        <v>#DIV/0!</v>
      </c>
      <c r="C59" s="524">
        <f t="shared" si="16"/>
        <v>0.25</v>
      </c>
      <c r="D59" s="1210">
        <v>0.25</v>
      </c>
      <c r="E59" s="1211"/>
      <c r="F59" s="1356" t="e">
        <f t="shared" si="15"/>
        <v>#DIV/0!</v>
      </c>
      <c r="G59" s="1215"/>
      <c r="H59" s="1213" t="str">
        <f>项目基本情况!B37</f>
        <v>六级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1713</v>
      </c>
      <c r="B60" s="361" t="e">
        <f t="shared" si="17"/>
        <v>#DIV/0!</v>
      </c>
      <c r="C60" s="524">
        <f t="shared" si="16"/>
        <v>0</v>
      </c>
      <c r="D60" s="1210">
        <v>0.25</v>
      </c>
      <c r="E60" s="360">
        <f>'数据-汇总表'!E11</f>
        <v>0</v>
      </c>
      <c r="F60" s="1356" t="e">
        <f t="shared" si="15"/>
        <v>#DIV/0!</v>
      </c>
      <c r="G60" s="1217" t="s">
        <v>1714</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1715</v>
      </c>
      <c r="B61" s="361" t="e">
        <f t="shared" si="17"/>
        <v>#DIV/0!</v>
      </c>
      <c r="C61" s="524">
        <f t="shared" si="16"/>
        <v>0</v>
      </c>
      <c r="D61" s="1210">
        <v>0.25</v>
      </c>
      <c r="E61" s="360">
        <f>'数据-汇总表'!E12</f>
        <v>0</v>
      </c>
      <c r="F61" s="1356" t="e">
        <f t="shared" si="15"/>
        <v>#DIV/0!</v>
      </c>
      <c r="G61" s="1218" t="s">
        <v>1716</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1717</v>
      </c>
      <c r="B62" s="361" t="e">
        <f t="shared" si="17"/>
        <v>#DIV/0!</v>
      </c>
      <c r="C62" s="524">
        <f t="shared" si="16"/>
        <v>0</v>
      </c>
      <c r="D62" s="1210">
        <v>0.25</v>
      </c>
      <c r="E62" s="360">
        <f>'数据-汇总表'!E13</f>
        <v>0</v>
      </c>
      <c r="F62" s="1356" t="e">
        <f t="shared" si="15"/>
        <v>#DIV/0!</v>
      </c>
      <c r="G62" s="1218" t="s">
        <v>1718</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1719</v>
      </c>
      <c r="B63" s="361" t="e">
        <f t="shared" si="17"/>
        <v>#DIV/0!</v>
      </c>
      <c r="C63" s="524">
        <f t="shared" si="16"/>
        <v>0.15</v>
      </c>
      <c r="D63" s="1210">
        <v>0.25</v>
      </c>
      <c r="E63" s="360">
        <f>'数据-汇总表'!E14</f>
        <v>0</v>
      </c>
      <c r="F63" s="1356" t="e">
        <f t="shared" si="15"/>
        <v>#DIV/0!</v>
      </c>
      <c r="G63" s="1217" t="s">
        <v>1710</v>
      </c>
      <c r="H63" s="1213" t="str">
        <f>项目基本情况!B37</f>
        <v>六级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1720</v>
      </c>
      <c r="B64" s="361" t="e">
        <f t="shared" si="17"/>
        <v>#DIV/0!</v>
      </c>
      <c r="C64" s="524">
        <f t="shared" si="16"/>
        <v>0</v>
      </c>
      <c r="D64" s="1210">
        <v>0.25</v>
      </c>
      <c r="E64" s="360">
        <f>'数据-汇总表'!E15</f>
        <v>0</v>
      </c>
      <c r="F64" s="1356" t="e">
        <f t="shared" si="15"/>
        <v>#DIV/0!</v>
      </c>
      <c r="G64" s="1219" t="s">
        <v>1714</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1721</v>
      </c>
      <c r="B65" s="1222" t="s">
        <v>1722</v>
      </c>
      <c r="C65" s="1222" t="s">
        <v>1722</v>
      </c>
      <c r="D65" s="1222" t="s">
        <v>1722</v>
      </c>
      <c r="E65" s="1222">
        <f>IF(B46="楼面地价",SUM(E56:E64),'数据-汇总表'!D3)</f>
        <v>296</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1445</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1723</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1724</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1446</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1394</v>
      </c>
      <c r="B72" s="1254"/>
      <c r="C72" s="1255" t="s">
        <v>1447</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1448</v>
      </c>
      <c r="B74" s="1263" t="s">
        <v>1399</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1402</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1403</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1404</v>
      </c>
      <c r="B87" s="1263" t="s">
        <v>1478</v>
      </c>
      <c r="C87" s="1306" t="s">
        <v>1449</v>
      </c>
      <c r="D87" s="1306" t="s">
        <v>1450</v>
      </c>
      <c r="E87" s="1306" t="s">
        <v>1451</v>
      </c>
      <c r="F87" s="1306" t="s">
        <v>1452</v>
      </c>
      <c r="G87" s="1306" t="s">
        <v>1453</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1467</v>
      </c>
      <c r="C89" s="1311" t="s">
        <v>1449</v>
      </c>
      <c r="D89" s="1311" t="s">
        <v>1450</v>
      </c>
      <c r="E89" s="1311" t="s">
        <v>1451</v>
      </c>
      <c r="F89" s="1311" t="s">
        <v>1452</v>
      </c>
      <c r="G89" s="1311" t="s">
        <v>1453</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1405</v>
      </c>
      <c r="C91" s="1311" t="s">
        <v>1449</v>
      </c>
      <c r="D91" s="1311" t="s">
        <v>1450</v>
      </c>
      <c r="E91" s="1311" t="s">
        <v>1451</v>
      </c>
      <c r="F91" s="1311" t="s">
        <v>1452</v>
      </c>
      <c r="G91" s="1311" t="s">
        <v>1453</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1408</v>
      </c>
      <c r="C93" s="1311" t="s">
        <v>1449</v>
      </c>
      <c r="D93" s="1311" t="s">
        <v>1450</v>
      </c>
      <c r="E93" s="1311" t="s">
        <v>1451</v>
      </c>
      <c r="F93" s="1311" t="s">
        <v>1452</v>
      </c>
      <c r="G93" s="1311" t="s">
        <v>1453</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1689</v>
      </c>
      <c r="C95" s="1311" t="s">
        <v>1449</v>
      </c>
      <c r="D95" s="1311" t="s">
        <v>1450</v>
      </c>
      <c r="E95" s="1311" t="s">
        <v>1451</v>
      </c>
      <c r="F95" s="1311" t="s">
        <v>1452</v>
      </c>
      <c r="G95" s="1311" t="s">
        <v>1453</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1690</v>
      </c>
      <c r="C97" s="1306" t="s">
        <v>1449</v>
      </c>
      <c r="D97" s="1306" t="s">
        <v>1450</v>
      </c>
      <c r="E97" s="1306" t="s">
        <v>1451</v>
      </c>
      <c r="F97" s="1306" t="s">
        <v>1452</v>
      </c>
      <c r="G97" s="1306" t="s">
        <v>1453</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1409</v>
      </c>
      <c r="C99" s="1306" t="s">
        <v>1449</v>
      </c>
      <c r="D99" s="1306" t="s">
        <v>1450</v>
      </c>
      <c r="E99" s="1306" t="s">
        <v>1451</v>
      </c>
      <c r="F99" s="1306" t="s">
        <v>1452</v>
      </c>
      <c r="G99" s="1306" t="s">
        <v>1453</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1410</v>
      </c>
      <c r="C101" s="1114" t="s">
        <v>1454</v>
      </c>
      <c r="D101" s="1114" t="s">
        <v>1455</v>
      </c>
      <c r="E101" s="1114" t="s">
        <v>1456</v>
      </c>
      <c r="F101" s="1114" t="s">
        <v>1457</v>
      </c>
      <c r="G101" s="1114" t="s">
        <v>1458</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1725</v>
      </c>
      <c r="D103" s="1273" t="s">
        <v>1726</v>
      </c>
      <c r="E103" s="1273" t="s">
        <v>1727</v>
      </c>
      <c r="F103" s="1273" t="s">
        <v>1728</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1413</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1691</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1418</v>
      </c>
      <c r="B115" s="1263" t="s">
        <v>1692</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1693</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1694</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1695</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1696</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1664</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454" t="s">
        <v>1729</v>
      </c>
      <c r="D6" s="3455"/>
      <c r="E6" s="3456" t="s">
        <v>1729</v>
      </c>
      <c r="F6" s="3457"/>
      <c r="G6" s="3454" t="s">
        <v>1729</v>
      </c>
      <c r="H6" s="3455"/>
      <c r="I6" s="3454" t="s">
        <v>1729</v>
      </c>
      <c r="J6" s="3455"/>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45981</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t="s">
        <v>1447</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79" t="s">
        <v>1397</v>
      </c>
      <c r="Q8" s="3380"/>
      <c r="R8" s="1065" t="s">
        <v>1393</v>
      </c>
      <c r="S8" s="1066">
        <f t="shared" si="0"/>
        <v>0</v>
      </c>
      <c r="T8" s="1065" t="s">
        <v>1393</v>
      </c>
      <c r="U8" s="1066">
        <f t="shared" si="1"/>
        <v>0</v>
      </c>
      <c r="V8" s="1065" t="s">
        <v>1393</v>
      </c>
      <c r="W8" s="1066">
        <f t="shared" si="2"/>
        <v>0</v>
      </c>
      <c r="X8" s="1067"/>
      <c r="Y8" s="3379" t="s">
        <v>1397</v>
      </c>
      <c r="Z8" s="3380"/>
      <c r="AA8" s="1069" t="e">
        <f t="shared" ref="AA8:AA40" si="3">D8/F8</f>
        <v>#DIV/0!</v>
      </c>
      <c r="AB8" s="1069" t="e">
        <f t="shared" ref="AB8:AB40" si="4">D8/H8</f>
        <v>#DIV/0!</v>
      </c>
      <c r="AC8" s="1069" t="e">
        <f t="shared" ref="AC8:AC40" si="5">D8/J8</f>
        <v>#DIV/0!</v>
      </c>
    </row>
    <row r="9" spans="1:29" s="1009" customFormat="1">
      <c r="A9" s="1071" t="s">
        <v>1398</v>
      </c>
      <c r="B9" s="1072" t="s">
        <v>1399</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2" t="s">
        <v>1400</v>
      </c>
      <c r="Q9" s="809" t="str">
        <f t="shared" ref="Q9:Q15" si="6">B9</f>
        <v>用途</v>
      </c>
      <c r="R9" s="1065" t="s">
        <v>1393</v>
      </c>
      <c r="S9" s="1066">
        <f t="shared" si="0"/>
        <v>100</v>
      </c>
      <c r="T9" s="1065" t="s">
        <v>1393</v>
      </c>
      <c r="U9" s="1066">
        <f t="shared" si="1"/>
        <v>100</v>
      </c>
      <c r="V9" s="1065" t="s">
        <v>1393</v>
      </c>
      <c r="W9" s="1066">
        <f t="shared" si="2"/>
        <v>100</v>
      </c>
      <c r="X9" s="1067"/>
      <c r="Y9" s="3358" t="s">
        <v>1401</v>
      </c>
      <c r="Z9" s="1069" t="str">
        <f t="shared" ref="Z9:Z15" si="7">Q9</f>
        <v>用途</v>
      </c>
      <c r="AA9" s="1069">
        <f t="shared" si="3"/>
        <v>1</v>
      </c>
      <c r="AB9" s="1069">
        <f t="shared" si="4"/>
        <v>1</v>
      </c>
      <c r="AC9" s="1069">
        <f t="shared" si="5"/>
        <v>1</v>
      </c>
    </row>
    <row r="10" spans="1:29" s="1010" customFormat="1" ht="27">
      <c r="A10" s="1076"/>
      <c r="B10" s="1077" t="s">
        <v>1402</v>
      </c>
      <c r="C10" s="1078"/>
      <c r="D10" s="1079">
        <v>100</v>
      </c>
      <c r="E10" s="1078"/>
      <c r="F10" s="1079">
        <f>ROUND(100/'数据-取费表'!G16,0)</f>
        <v>127</v>
      </c>
      <c r="G10" s="1078"/>
      <c r="H10" s="1079">
        <f>ROUND(100/'数据-取费表'!G16,0)</f>
        <v>127</v>
      </c>
      <c r="I10" s="1078"/>
      <c r="J10" s="1079">
        <f>ROUND(100/'数据-取费表'!G16,0)</f>
        <v>127</v>
      </c>
      <c r="K10" s="1080"/>
      <c r="L10" s="1081"/>
      <c r="M10" s="1082"/>
      <c r="N10" s="1082"/>
      <c r="O10" s="1083"/>
      <c r="P10" s="3382"/>
      <c r="Q10" s="809" t="str">
        <f t="shared" si="6"/>
        <v>土地使用年限（年）</v>
      </c>
      <c r="R10" s="1065" t="s">
        <v>1393</v>
      </c>
      <c r="S10" s="1066">
        <f t="shared" si="0"/>
        <v>127</v>
      </c>
      <c r="T10" s="1065" t="s">
        <v>1393</v>
      </c>
      <c r="U10" s="1066">
        <f t="shared" si="1"/>
        <v>127</v>
      </c>
      <c r="V10" s="1065" t="s">
        <v>1393</v>
      </c>
      <c r="W10" s="1066">
        <f t="shared" si="2"/>
        <v>127</v>
      </c>
      <c r="X10" s="1067"/>
      <c r="Y10" s="3358"/>
      <c r="Z10" s="1069" t="str">
        <f t="shared" si="7"/>
        <v>土地使用年限（年）</v>
      </c>
      <c r="AA10" s="1069">
        <f t="shared" si="3"/>
        <v>0.78740157480314965</v>
      </c>
      <c r="AB10" s="1069">
        <f t="shared" si="4"/>
        <v>0.78740157480314965</v>
      </c>
      <c r="AC10" s="1069">
        <f t="shared" si="5"/>
        <v>0.78740157480314965</v>
      </c>
    </row>
    <row r="11" spans="1:29" ht="15">
      <c r="A11" s="1084"/>
      <c r="B11" s="1077" t="s">
        <v>1403</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2"/>
      <c r="Q11" s="809" t="str">
        <f t="shared" si="6"/>
        <v>容积率</v>
      </c>
      <c r="R11" s="1065" t="s">
        <v>1393</v>
      </c>
      <c r="S11" s="1066" t="e">
        <f t="shared" si="0"/>
        <v>#N/A</v>
      </c>
      <c r="T11" s="1065" t="s">
        <v>1393</v>
      </c>
      <c r="U11" s="1066" t="e">
        <f t="shared" si="1"/>
        <v>#N/A</v>
      </c>
      <c r="V11" s="1065" t="s">
        <v>1393</v>
      </c>
      <c r="W11" s="1066" t="e">
        <f t="shared" si="2"/>
        <v>#N/A</v>
      </c>
      <c r="X11" s="1067"/>
      <c r="Y11" s="3358"/>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2"/>
      <c r="Q12" s="809">
        <f t="shared" si="6"/>
        <v>111</v>
      </c>
      <c r="R12" s="1065" t="s">
        <v>1393</v>
      </c>
      <c r="S12" s="1066">
        <f t="shared" si="0"/>
        <v>100</v>
      </c>
      <c r="T12" s="1065" t="s">
        <v>1393</v>
      </c>
      <c r="U12" s="1066">
        <f t="shared" si="1"/>
        <v>100</v>
      </c>
      <c r="V12" s="1065" t="s">
        <v>1393</v>
      </c>
      <c r="W12" s="1066">
        <f t="shared" si="2"/>
        <v>100</v>
      </c>
      <c r="X12" s="1067"/>
      <c r="Y12" s="3358"/>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2"/>
      <c r="Q13" s="809">
        <f t="shared" si="6"/>
        <v>111</v>
      </c>
      <c r="R13" s="1065" t="s">
        <v>1393</v>
      </c>
      <c r="S13" s="1066">
        <f t="shared" si="0"/>
        <v>100</v>
      </c>
      <c r="T13" s="1065" t="s">
        <v>1393</v>
      </c>
      <c r="U13" s="1066">
        <f t="shared" si="1"/>
        <v>100</v>
      </c>
      <c r="V13" s="1065" t="s">
        <v>1393</v>
      </c>
      <c r="W13" s="1066">
        <f t="shared" si="2"/>
        <v>100</v>
      </c>
      <c r="X13" s="1067"/>
      <c r="Y13" s="3358"/>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2"/>
      <c r="Q14" s="809">
        <f t="shared" si="6"/>
        <v>111</v>
      </c>
      <c r="R14" s="1065" t="s">
        <v>1393</v>
      </c>
      <c r="S14" s="1066">
        <f t="shared" si="0"/>
        <v>100</v>
      </c>
      <c r="T14" s="1065" t="s">
        <v>1393</v>
      </c>
      <c r="U14" s="1066">
        <f t="shared" si="1"/>
        <v>100</v>
      </c>
      <c r="V14" s="1065" t="s">
        <v>1393</v>
      </c>
      <c r="W14" s="1066">
        <f t="shared" si="2"/>
        <v>100</v>
      </c>
      <c r="X14" s="1067"/>
      <c r="Y14" s="3358"/>
      <c r="Z14" s="1069">
        <f t="shared" si="7"/>
        <v>111</v>
      </c>
      <c r="AA14" s="1069">
        <f t="shared" si="3"/>
        <v>1</v>
      </c>
      <c r="AB14" s="1069">
        <f t="shared" si="4"/>
        <v>1</v>
      </c>
      <c r="AC14" s="1069">
        <f t="shared" si="5"/>
        <v>1</v>
      </c>
    </row>
    <row r="15" spans="1:29" ht="57">
      <c r="A15" s="1101" t="s">
        <v>1404</v>
      </c>
      <c r="B15" s="1102" t="s">
        <v>1665</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89" t="s">
        <v>1406</v>
      </c>
      <c r="Q15" s="705" t="str">
        <f t="shared" si="6"/>
        <v>产业集聚程度</v>
      </c>
      <c r="R15" s="1107" t="s">
        <v>1393</v>
      </c>
      <c r="S15" s="1108">
        <f t="shared" si="0"/>
        <v>100</v>
      </c>
      <c r="T15" s="1107" t="s">
        <v>1393</v>
      </c>
      <c r="U15" s="1108">
        <f t="shared" si="1"/>
        <v>100</v>
      </c>
      <c r="V15" s="1107" t="s">
        <v>1393</v>
      </c>
      <c r="W15" s="1108">
        <f t="shared" si="2"/>
        <v>100</v>
      </c>
      <c r="X15" s="1046"/>
      <c r="Y15" s="3389" t="s">
        <v>1406</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0"/>
      <c r="Q16" s="705"/>
      <c r="R16" s="1107"/>
      <c r="S16" s="1108"/>
      <c r="T16" s="1107"/>
      <c r="U16" s="1108"/>
      <c r="V16" s="1107"/>
      <c r="W16" s="1108"/>
      <c r="X16" s="1046"/>
      <c r="Y16" s="3390"/>
      <c r="Z16" s="1045"/>
      <c r="AA16" s="1045">
        <v>1</v>
      </c>
      <c r="AB16" s="1045">
        <v>1</v>
      </c>
      <c r="AC16" s="1045">
        <v>1</v>
      </c>
    </row>
    <row r="17" spans="1:29" ht="85.5">
      <c r="A17" s="1084"/>
      <c r="B17" s="1115" t="s">
        <v>1408</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0"/>
      <c r="Q17" s="705" t="str">
        <f>B17</f>
        <v>交通便捷度</v>
      </c>
      <c r="R17" s="1107" t="s">
        <v>1393</v>
      </c>
      <c r="S17" s="1108">
        <f>F17</f>
        <v>100</v>
      </c>
      <c r="T17" s="1107" t="s">
        <v>1393</v>
      </c>
      <c r="U17" s="1108">
        <f>H17</f>
        <v>100</v>
      </c>
      <c r="V17" s="1107" t="s">
        <v>1393</v>
      </c>
      <c r="W17" s="1108">
        <f>J17</f>
        <v>100</v>
      </c>
      <c r="X17" s="1046"/>
      <c r="Y17" s="3390"/>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0"/>
      <c r="Q18" s="705"/>
      <c r="R18" s="1107"/>
      <c r="S18" s="1108"/>
      <c r="T18" s="1107"/>
      <c r="U18" s="1108"/>
      <c r="V18" s="1107"/>
      <c r="W18" s="1108"/>
      <c r="X18" s="1046"/>
      <c r="Y18" s="3390"/>
      <c r="Z18" s="1045"/>
      <c r="AA18" s="1045">
        <v>1</v>
      </c>
      <c r="AB18" s="1045">
        <v>1</v>
      </c>
      <c r="AC18" s="1045">
        <v>1</v>
      </c>
    </row>
    <row r="19" spans="1:29" ht="15">
      <c r="A19" s="1084"/>
      <c r="B19" s="1115" t="s">
        <v>1689</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0"/>
      <c r="Q19" s="705" t="str">
        <f t="shared" ref="Q19:Q34" si="8">B19</f>
        <v>区域土地利用方向</v>
      </c>
      <c r="R19" s="1107" t="s">
        <v>1393</v>
      </c>
      <c r="S19" s="1108">
        <f>F19</f>
        <v>100</v>
      </c>
      <c r="T19" s="1107" t="s">
        <v>1393</v>
      </c>
      <c r="U19" s="1108">
        <f>H19</f>
        <v>100</v>
      </c>
      <c r="V19" s="1107" t="s">
        <v>1393</v>
      </c>
      <c r="W19" s="1108">
        <f>J19</f>
        <v>100</v>
      </c>
      <c r="X19" s="1046"/>
      <c r="Y19" s="3390"/>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0"/>
      <c r="Q20" s="705"/>
      <c r="R20" s="1107"/>
      <c r="S20" s="1108"/>
      <c r="T20" s="1107"/>
      <c r="U20" s="1108"/>
      <c r="V20" s="1107"/>
      <c r="W20" s="1108"/>
      <c r="X20" s="1046"/>
      <c r="Y20" s="3390"/>
      <c r="Z20" s="1045"/>
      <c r="AA20" s="1045"/>
      <c r="AB20" s="1045"/>
      <c r="AC20" s="1045"/>
    </row>
    <row r="21" spans="1:29" ht="71.25">
      <c r="A21" s="1047"/>
      <c r="B21" s="1115" t="s">
        <v>1730</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0"/>
      <c r="Q21" s="705" t="str">
        <f t="shared" si="8"/>
        <v>环境状况</v>
      </c>
      <c r="R21" s="1107" t="s">
        <v>1393</v>
      </c>
      <c r="S21" s="1108">
        <f>F21</f>
        <v>100</v>
      </c>
      <c r="T21" s="1107" t="s">
        <v>1393</v>
      </c>
      <c r="U21" s="1108">
        <f>H21</f>
        <v>100</v>
      </c>
      <c r="V21" s="1107" t="s">
        <v>1393</v>
      </c>
      <c r="W21" s="1108">
        <f>J21</f>
        <v>100</v>
      </c>
      <c r="X21" s="1046"/>
      <c r="Y21" s="3390"/>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0"/>
      <c r="Q22" s="705"/>
      <c r="R22" s="1107"/>
      <c r="S22" s="1108"/>
      <c r="T22" s="1107"/>
      <c r="U22" s="1108"/>
      <c r="V22" s="1107"/>
      <c r="W22" s="1108"/>
      <c r="X22" s="1046"/>
      <c r="Y22" s="3390"/>
      <c r="Z22" s="1045"/>
      <c r="AA22" s="1045">
        <v>1</v>
      </c>
      <c r="AB22" s="1045">
        <v>1</v>
      </c>
      <c r="AC22" s="1045">
        <v>1</v>
      </c>
    </row>
    <row r="23" spans="1:29" s="1009" customFormat="1" ht="42.75">
      <c r="A23" s="1124"/>
      <c r="B23" s="1125" t="s">
        <v>1409</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0"/>
      <c r="Q23" s="809" t="str">
        <f t="shared" si="8"/>
        <v>公共配套设施</v>
      </c>
      <c r="R23" s="1065" t="s">
        <v>1393</v>
      </c>
      <c r="S23" s="1066">
        <f>F23</f>
        <v>100</v>
      </c>
      <c r="T23" s="1065" t="s">
        <v>1393</v>
      </c>
      <c r="U23" s="1066">
        <f>H23</f>
        <v>100</v>
      </c>
      <c r="V23" s="1065" t="s">
        <v>1393</v>
      </c>
      <c r="W23" s="1066">
        <f>J23</f>
        <v>100</v>
      </c>
      <c r="X23" s="1067"/>
      <c r="Y23" s="3390"/>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0"/>
      <c r="Q24" s="809"/>
      <c r="R24" s="1065"/>
      <c r="S24" s="1066"/>
      <c r="T24" s="1065"/>
      <c r="U24" s="1066"/>
      <c r="V24" s="1065"/>
      <c r="W24" s="1066"/>
      <c r="X24" s="1067"/>
      <c r="Y24" s="3390"/>
      <c r="Z24" s="1069"/>
      <c r="AA24" s="1069">
        <v>1</v>
      </c>
      <c r="AB24" s="1069">
        <v>1</v>
      </c>
      <c r="AC24" s="1069">
        <v>1</v>
      </c>
    </row>
    <row r="25" spans="1:29" s="1009" customFormat="1" ht="28.5">
      <c r="A25" s="1124"/>
      <c r="B25" s="1125" t="s">
        <v>1410</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0"/>
      <c r="Q25" s="809" t="str">
        <f t="shared" ref="Q25" si="9">B25</f>
        <v>基础设施水平</v>
      </c>
      <c r="R25" s="1065" t="s">
        <v>1393</v>
      </c>
      <c r="S25" s="1066">
        <f>F25</f>
        <v>100</v>
      </c>
      <c r="T25" s="1065" t="s">
        <v>1393</v>
      </c>
      <c r="U25" s="1066">
        <f>H25</f>
        <v>100</v>
      </c>
      <c r="V25" s="1065" t="s">
        <v>1393</v>
      </c>
      <c r="W25" s="1066">
        <f>J25</f>
        <v>100</v>
      </c>
      <c r="X25" s="1067"/>
      <c r="Y25" s="3390"/>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0"/>
      <c r="Q26" s="809"/>
      <c r="R26" s="1065"/>
      <c r="S26" s="1066"/>
      <c r="T26" s="1065"/>
      <c r="U26" s="1066"/>
      <c r="V26" s="1065"/>
      <c r="W26" s="1066"/>
      <c r="X26" s="1067"/>
      <c r="Y26" s="3390"/>
      <c r="Z26" s="1069"/>
      <c r="AA26" s="1069">
        <v>1</v>
      </c>
      <c r="AB26" s="1069">
        <v>1</v>
      </c>
      <c r="AC26" s="1069">
        <v>1</v>
      </c>
    </row>
    <row r="27" spans="1:29" ht="15">
      <c r="A27" s="1084"/>
      <c r="B27" s="1120" t="s">
        <v>1469</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0"/>
      <c r="Q27" s="705" t="str">
        <f t="shared" si="8"/>
        <v>临街状况</v>
      </c>
      <c r="R27" s="1107" t="s">
        <v>1393</v>
      </c>
      <c r="S27" s="1108">
        <f t="shared" ref="S27:S40" si="10">F27</f>
        <v>100</v>
      </c>
      <c r="T27" s="1107" t="s">
        <v>1393</v>
      </c>
      <c r="U27" s="1108">
        <f t="shared" ref="U27:U40" si="11">H27</f>
        <v>100</v>
      </c>
      <c r="V27" s="1107" t="s">
        <v>1393</v>
      </c>
      <c r="W27" s="1108">
        <f t="shared" ref="W27:W40" si="12">J27</f>
        <v>100</v>
      </c>
      <c r="X27" s="1046"/>
      <c r="Y27" s="3390"/>
      <c r="Z27" s="1045" t="str">
        <f t="shared" ref="Z27:Z40" si="13">Q27</f>
        <v>临街状况</v>
      </c>
      <c r="AA27" s="1045">
        <f t="shared" si="3"/>
        <v>1</v>
      </c>
      <c r="AB27" s="1045">
        <f t="shared" si="4"/>
        <v>1</v>
      </c>
      <c r="AC27" s="1045">
        <f t="shared" si="5"/>
        <v>1</v>
      </c>
    </row>
    <row r="28" spans="1:29" ht="27">
      <c r="A28" s="1084"/>
      <c r="B28" s="1125" t="s">
        <v>1413</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0"/>
      <c r="Q28" s="705" t="str">
        <f t="shared" si="8"/>
        <v>毗邻道路的类型与等级</v>
      </c>
      <c r="R28" s="1107" t="s">
        <v>1393</v>
      </c>
      <c r="S28" s="1108">
        <f t="shared" si="10"/>
        <v>100</v>
      </c>
      <c r="T28" s="1107" t="s">
        <v>1393</v>
      </c>
      <c r="U28" s="1108">
        <f t="shared" si="11"/>
        <v>100</v>
      </c>
      <c r="V28" s="1107" t="s">
        <v>1393</v>
      </c>
      <c r="W28" s="1108">
        <f t="shared" si="12"/>
        <v>100</v>
      </c>
      <c r="X28" s="1046"/>
      <c r="Y28" s="3390"/>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0"/>
      <c r="Q29" s="705"/>
      <c r="R29" s="1107"/>
      <c r="S29" s="1108"/>
      <c r="T29" s="1107"/>
      <c r="U29" s="1108"/>
      <c r="V29" s="1107"/>
      <c r="W29" s="1108"/>
      <c r="X29" s="1046"/>
      <c r="Y29" s="3390"/>
      <c r="Z29" s="1045"/>
      <c r="AA29" s="1045">
        <v>1</v>
      </c>
      <c r="AB29" s="1045">
        <v>1</v>
      </c>
      <c r="AC29" s="1045">
        <v>1</v>
      </c>
    </row>
    <row r="30" spans="1:29" ht="15">
      <c r="A30" s="1084"/>
      <c r="B30" s="1079" t="s">
        <v>1691</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0"/>
      <c r="Q30" s="705" t="str">
        <f t="shared" si="8"/>
        <v>土地级别</v>
      </c>
      <c r="R30" s="1107" t="s">
        <v>1393</v>
      </c>
      <c r="S30" s="1108">
        <f t="shared" si="10"/>
        <v>100</v>
      </c>
      <c r="T30" s="1107" t="s">
        <v>1393</v>
      </c>
      <c r="U30" s="1108">
        <f t="shared" si="11"/>
        <v>100</v>
      </c>
      <c r="V30" s="1107" t="s">
        <v>1393</v>
      </c>
      <c r="W30" s="1108">
        <f t="shared" si="12"/>
        <v>100</v>
      </c>
      <c r="X30" s="1046"/>
      <c r="Y30" s="3390"/>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0"/>
      <c r="Q31" s="705">
        <f t="shared" si="8"/>
        <v>111</v>
      </c>
      <c r="R31" s="1107" t="s">
        <v>1393</v>
      </c>
      <c r="S31" s="1108">
        <f t="shared" si="10"/>
        <v>100</v>
      </c>
      <c r="T31" s="1107" t="s">
        <v>1393</v>
      </c>
      <c r="U31" s="1108">
        <f t="shared" si="11"/>
        <v>100</v>
      </c>
      <c r="V31" s="1107" t="s">
        <v>1393</v>
      </c>
      <c r="W31" s="1108">
        <f t="shared" si="12"/>
        <v>100</v>
      </c>
      <c r="X31" s="1046"/>
      <c r="Y31" s="3390"/>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1421</v>
      </c>
      <c r="Q32" s="705">
        <f t="shared" si="8"/>
        <v>111</v>
      </c>
      <c r="R32" s="1107" t="s">
        <v>1393</v>
      </c>
      <c r="S32" s="1108">
        <f t="shared" si="10"/>
        <v>100</v>
      </c>
      <c r="T32" s="1107" t="s">
        <v>1393</v>
      </c>
      <c r="U32" s="1108">
        <f t="shared" si="11"/>
        <v>100</v>
      </c>
      <c r="V32" s="1107" t="s">
        <v>1393</v>
      </c>
      <c r="W32" s="1108">
        <f t="shared" si="12"/>
        <v>100</v>
      </c>
      <c r="X32" s="1046"/>
      <c r="Y32" s="3391" t="s">
        <v>1421</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1"/>
      <c r="Q33" s="705">
        <f t="shared" si="8"/>
        <v>111</v>
      </c>
      <c r="R33" s="1145" t="s">
        <v>1393</v>
      </c>
      <c r="S33" s="1146">
        <f t="shared" si="10"/>
        <v>100</v>
      </c>
      <c r="T33" s="1145" t="s">
        <v>1393</v>
      </c>
      <c r="U33" s="1146">
        <f t="shared" si="11"/>
        <v>100</v>
      </c>
      <c r="V33" s="1145" t="s">
        <v>1393</v>
      </c>
      <c r="W33" s="1146">
        <f t="shared" si="12"/>
        <v>100</v>
      </c>
      <c r="X33" s="1147"/>
      <c r="Y33" s="3391"/>
      <c r="Z33" s="1148">
        <f t="shared" si="13"/>
        <v>111</v>
      </c>
      <c r="AA33" s="1045">
        <f t="shared" si="3"/>
        <v>1</v>
      </c>
      <c r="AB33" s="1045">
        <f t="shared" si="4"/>
        <v>1</v>
      </c>
      <c r="AC33" s="1045">
        <f t="shared" si="5"/>
        <v>1</v>
      </c>
    </row>
    <row r="34" spans="1:31" ht="15">
      <c r="A34" s="1101" t="s">
        <v>1418</v>
      </c>
      <c r="B34" s="1149" t="s">
        <v>1692</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1"/>
      <c r="Q34" s="705" t="str">
        <f t="shared" si="8"/>
        <v>宗地面积</v>
      </c>
      <c r="R34" s="1107" t="s">
        <v>1393</v>
      </c>
      <c r="S34" s="1108" t="e">
        <f t="shared" si="10"/>
        <v>#N/A</v>
      </c>
      <c r="T34" s="1107" t="s">
        <v>1393</v>
      </c>
      <c r="U34" s="1108" t="e">
        <f t="shared" si="11"/>
        <v>#N/A</v>
      </c>
      <c r="V34" s="1107" t="s">
        <v>1393</v>
      </c>
      <c r="W34" s="1108" t="e">
        <f t="shared" si="12"/>
        <v>#N/A</v>
      </c>
      <c r="X34" s="1046"/>
      <c r="Y34" s="3391"/>
      <c r="Z34" s="1045" t="str">
        <f t="shared" si="13"/>
        <v>宗地面积</v>
      </c>
      <c r="AA34" s="1045" t="e">
        <f t="shared" si="3"/>
        <v>#N/A</v>
      </c>
      <c r="AB34" s="1045" t="e">
        <f t="shared" si="4"/>
        <v>#N/A</v>
      </c>
      <c r="AC34" s="1045" t="e">
        <f t="shared" si="5"/>
        <v>#N/A</v>
      </c>
    </row>
    <row r="35" spans="1:31" ht="15">
      <c r="A35" s="1152"/>
      <c r="B35" s="1077" t="s">
        <v>1693</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1"/>
      <c r="Q35" s="705" t="str">
        <f t="shared" ref="Q35:Q40" si="14">B35</f>
        <v>宗地形状</v>
      </c>
      <c r="R35" s="1107" t="s">
        <v>1393</v>
      </c>
      <c r="S35" s="1108">
        <f t="shared" si="10"/>
        <v>100</v>
      </c>
      <c r="T35" s="1107" t="s">
        <v>1393</v>
      </c>
      <c r="U35" s="1108">
        <f t="shared" si="11"/>
        <v>100</v>
      </c>
      <c r="V35" s="1107" t="s">
        <v>1393</v>
      </c>
      <c r="W35" s="1108">
        <f t="shared" si="12"/>
        <v>100</v>
      </c>
      <c r="X35" s="1046"/>
      <c r="Y35" s="3391"/>
      <c r="Z35" s="1045" t="str">
        <f t="shared" si="13"/>
        <v>宗地形状</v>
      </c>
      <c r="AA35" s="1045">
        <f t="shared" si="3"/>
        <v>1</v>
      </c>
      <c r="AB35" s="1045">
        <f t="shared" si="4"/>
        <v>1</v>
      </c>
      <c r="AC35" s="1045">
        <f t="shared" si="5"/>
        <v>1</v>
      </c>
    </row>
    <row r="36" spans="1:31" s="1009" customFormat="1" ht="15">
      <c r="A36" s="1154"/>
      <c r="B36" s="1077" t="s">
        <v>1695</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1"/>
      <c r="Q36" s="705" t="str">
        <f t="shared" si="14"/>
        <v>宗地开发程度</v>
      </c>
      <c r="R36" s="1065" t="s">
        <v>1393</v>
      </c>
      <c r="S36" s="1066">
        <f t="shared" si="10"/>
        <v>100</v>
      </c>
      <c r="T36" s="1065" t="s">
        <v>1393</v>
      </c>
      <c r="U36" s="1066">
        <f t="shared" si="11"/>
        <v>100</v>
      </c>
      <c r="V36" s="1065" t="s">
        <v>1393</v>
      </c>
      <c r="W36" s="1066">
        <f t="shared" si="12"/>
        <v>100</v>
      </c>
      <c r="X36" s="1067"/>
      <c r="Y36" s="3391"/>
      <c r="Z36" s="1069" t="str">
        <f t="shared" si="13"/>
        <v>宗地开发程度</v>
      </c>
      <c r="AA36" s="1069">
        <f t="shared" si="3"/>
        <v>1</v>
      </c>
      <c r="AB36" s="1069">
        <f t="shared" si="4"/>
        <v>1</v>
      </c>
      <c r="AC36" s="1069">
        <f t="shared" si="5"/>
        <v>1</v>
      </c>
    </row>
    <row r="37" spans="1:31" ht="15">
      <c r="A37" s="1152"/>
      <c r="B37" s="1077" t="s">
        <v>1696</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1" t="s">
        <v>1421</v>
      </c>
      <c r="Q37" s="705" t="str">
        <f t="shared" si="14"/>
        <v>工程地质条件</v>
      </c>
      <c r="R37" s="1107" t="s">
        <v>1393</v>
      </c>
      <c r="S37" s="1108">
        <f t="shared" si="10"/>
        <v>100</v>
      </c>
      <c r="T37" s="1107" t="s">
        <v>1393</v>
      </c>
      <c r="U37" s="1108">
        <f t="shared" si="11"/>
        <v>100</v>
      </c>
      <c r="V37" s="1107" t="s">
        <v>1393</v>
      </c>
      <c r="W37" s="1108">
        <f t="shared" si="12"/>
        <v>100</v>
      </c>
      <c r="X37" s="1046"/>
      <c r="Y37" s="3391" t="s">
        <v>1421</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1"/>
      <c r="Q38" s="705">
        <f t="shared" si="14"/>
        <v>111</v>
      </c>
      <c r="R38" s="1107" t="s">
        <v>1393</v>
      </c>
      <c r="S38" s="1108">
        <f t="shared" si="10"/>
        <v>100</v>
      </c>
      <c r="T38" s="1107" t="s">
        <v>1393</v>
      </c>
      <c r="U38" s="1108">
        <f t="shared" si="11"/>
        <v>100</v>
      </c>
      <c r="V38" s="1107" t="s">
        <v>1393</v>
      </c>
      <c r="W38" s="1108">
        <f t="shared" si="12"/>
        <v>100</v>
      </c>
      <c r="X38" s="1046"/>
      <c r="Y38" s="3391"/>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1"/>
      <c r="Q39" s="705">
        <f t="shared" si="14"/>
        <v>111</v>
      </c>
      <c r="R39" s="1107" t="s">
        <v>1393</v>
      </c>
      <c r="S39" s="1108">
        <f t="shared" si="10"/>
        <v>100</v>
      </c>
      <c r="T39" s="1107" t="s">
        <v>1393</v>
      </c>
      <c r="U39" s="1108">
        <f t="shared" si="11"/>
        <v>100</v>
      </c>
      <c r="V39" s="1107" t="s">
        <v>1393</v>
      </c>
      <c r="W39" s="1108">
        <f t="shared" si="12"/>
        <v>100</v>
      </c>
      <c r="X39" s="1046"/>
      <c r="Y39" s="3391"/>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1"/>
      <c r="Q40" s="705">
        <f t="shared" si="14"/>
        <v>111</v>
      </c>
      <c r="R40" s="1145" t="s">
        <v>1393</v>
      </c>
      <c r="S40" s="1146">
        <f t="shared" si="10"/>
        <v>100</v>
      </c>
      <c r="T40" s="1145" t="s">
        <v>1393</v>
      </c>
      <c r="U40" s="1146">
        <f t="shared" si="11"/>
        <v>100</v>
      </c>
      <c r="V40" s="1145" t="s">
        <v>1393</v>
      </c>
      <c r="W40" s="1146">
        <f t="shared" si="12"/>
        <v>100</v>
      </c>
      <c r="X40" s="1147"/>
      <c r="Y40" s="3391"/>
      <c r="Z40" s="1148">
        <f t="shared" si="13"/>
        <v>111</v>
      </c>
      <c r="AA40" s="1045">
        <f t="shared" si="3"/>
        <v>1</v>
      </c>
      <c r="AB40" s="1045">
        <f t="shared" si="4"/>
        <v>1</v>
      </c>
      <c r="AC40" s="1045">
        <f t="shared" si="5"/>
        <v>1</v>
      </c>
    </row>
    <row r="41" spans="1:31" ht="15">
      <c r="A41" s="1160" t="s">
        <v>1678</v>
      </c>
      <c r="B41" s="1161" t="s">
        <v>1731</v>
      </c>
      <c r="C41" s="1162" t="s">
        <v>124</v>
      </c>
      <c r="D41" s="1163"/>
      <c r="E41" s="1164"/>
      <c r="F41" s="1165"/>
      <c r="G41" s="1166"/>
      <c r="H41" s="1167"/>
      <c r="I41" s="1164"/>
      <c r="J41" s="1167"/>
      <c r="K41" s="1168"/>
      <c r="L41" s="1169"/>
      <c r="M41" s="1042"/>
      <c r="N41" s="1042"/>
      <c r="O41" s="1042"/>
      <c r="P41" s="3382" t="str">
        <f>A41</f>
        <v>成交单价</v>
      </c>
      <c r="Q41" s="3382"/>
      <c r="R41" s="3383">
        <f>E41</f>
        <v>0</v>
      </c>
      <c r="S41" s="3383"/>
      <c r="T41" s="3383">
        <f>G41</f>
        <v>0</v>
      </c>
      <c r="U41" s="3383"/>
      <c r="V41" s="3383">
        <f>I41</f>
        <v>0</v>
      </c>
      <c r="W41" s="3383"/>
      <c r="X41" s="1170"/>
      <c r="Y41" s="1171"/>
      <c r="Z41" s="1170"/>
      <c r="AA41" s="1170"/>
      <c r="AB41" s="1170"/>
      <c r="AC41" s="1170"/>
    </row>
    <row r="42" spans="1:31" ht="15">
      <c r="A42" s="1172" t="s">
        <v>1439</v>
      </c>
      <c r="B42" s="1173"/>
      <c r="C42" s="1174" t="e">
        <f>R43</f>
        <v>#DIV/0!</v>
      </c>
      <c r="D42" s="1175" t="s">
        <v>1440</v>
      </c>
      <c r="E42" s="1174" t="e">
        <f>R42</f>
        <v>#DIV/0!</v>
      </c>
      <c r="F42" s="1176"/>
      <c r="G42" s="1177" t="e">
        <f>T42</f>
        <v>#DIV/0!</v>
      </c>
      <c r="H42" s="1176"/>
      <c r="I42" s="1174" t="e">
        <f>V42</f>
        <v>#DIV/0!</v>
      </c>
      <c r="J42" s="1176"/>
      <c r="K42" s="1178">
        <f>F42+H42+J42</f>
        <v>0</v>
      </c>
      <c r="L42" s="1169"/>
      <c r="M42" s="1042"/>
      <c r="N42" s="1042"/>
      <c r="O42" s="1042"/>
      <c r="P42" s="3382" t="str">
        <f>A42</f>
        <v>比较价值（元/平方米）</v>
      </c>
      <c r="Q42" s="3382"/>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1441</v>
      </c>
      <c r="B43" s="1180"/>
      <c r="C43" s="1181" t="e">
        <f>R43</f>
        <v>#DIV/0!</v>
      </c>
      <c r="D43" s="1181"/>
      <c r="E43" s="1181"/>
      <c r="F43" s="1181"/>
      <c r="G43" s="1181"/>
      <c r="H43" s="1181"/>
      <c r="I43" s="1181"/>
      <c r="J43" s="1181"/>
      <c r="K43" s="1182"/>
      <c r="L43" s="1169"/>
      <c r="M43" s="1042"/>
      <c r="N43" s="1042"/>
      <c r="O43" s="1042"/>
      <c r="P43" s="3418" t="str">
        <f>A43</f>
        <v>估价对象XX用房的比较价值（楼面单价，元/平方米）</v>
      </c>
      <c r="Q43" s="3419"/>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1699</v>
      </c>
      <c r="B50" s="1197" t="s">
        <v>1700</v>
      </c>
      <c r="C50" s="1198" t="s">
        <v>1701</v>
      </c>
      <c r="D50" s="1199" t="s">
        <v>1702</v>
      </c>
      <c r="E50" s="1200" t="s">
        <v>1703</v>
      </c>
      <c r="F50" s="1201" t="s">
        <v>1704</v>
      </c>
      <c r="G50" s="3367" t="s">
        <v>1705</v>
      </c>
      <c r="H50" s="3451"/>
      <c r="I50" s="1045" t="s">
        <v>1732</v>
      </c>
      <c r="J50" s="1045">
        <f>项目基本情况!F35</f>
        <v>0</v>
      </c>
      <c r="K50" s="1202" t="s">
        <v>1707</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1708</v>
      </c>
      <c r="B51" s="1204" t="e">
        <f>C43</f>
        <v>#DIV/0!</v>
      </c>
      <c r="C51" s="1205">
        <v>1</v>
      </c>
      <c r="D51" s="1206">
        <v>1</v>
      </c>
      <c r="E51" s="1205">
        <f>'数据-汇总表'!E8+'数据-汇总表'!E9</f>
        <v>296</v>
      </c>
      <c r="F51" s="1207" t="e">
        <f t="shared" ref="F51:F60" si="15">ROUND(B51*E51/10000,0)</f>
        <v>#DIV/0!</v>
      </c>
      <c r="G51" s="3381"/>
      <c r="H51" s="3382"/>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1709</v>
      </c>
      <c r="B52" s="361" t="e">
        <f>ROUND($C$43*C52*D52,0)</f>
        <v>#DIV/0!</v>
      </c>
      <c r="C52" s="524">
        <f t="shared" ref="C52:C60" si="16">IF($C$50="北京市系数",I52,J52)</f>
        <v>0.6</v>
      </c>
      <c r="D52" s="1210">
        <v>0.25</v>
      </c>
      <c r="E52" s="1211"/>
      <c r="F52" s="1207" t="e">
        <f t="shared" si="15"/>
        <v>#DIV/0!</v>
      </c>
      <c r="G52" s="1212" t="s">
        <v>1710</v>
      </c>
      <c r="H52" s="1213" t="str">
        <f>项目基本情况!B37</f>
        <v>六级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1711</v>
      </c>
      <c r="B53" s="361" t="e">
        <f t="shared" ref="B53:B60" si="17">ROUND($C$43*C53*D53,0)</f>
        <v>#DIV/0!</v>
      </c>
      <c r="C53" s="524">
        <f t="shared" si="16"/>
        <v>0.3</v>
      </c>
      <c r="D53" s="1210">
        <v>0.25</v>
      </c>
      <c r="E53" s="1211"/>
      <c r="F53" s="1207" t="e">
        <f t="shared" si="15"/>
        <v>#DIV/0!</v>
      </c>
      <c r="G53" s="1215"/>
      <c r="H53" s="1213" t="str">
        <f>项目基本情况!B37</f>
        <v>六级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1712</v>
      </c>
      <c r="B54" s="361" t="e">
        <f t="shared" si="17"/>
        <v>#DIV/0!</v>
      </c>
      <c r="C54" s="524">
        <f t="shared" si="16"/>
        <v>0.25</v>
      </c>
      <c r="D54" s="1210">
        <v>0.25</v>
      </c>
      <c r="E54" s="1211"/>
      <c r="F54" s="1207" t="e">
        <f t="shared" si="15"/>
        <v>#DIV/0!</v>
      </c>
      <c r="G54" s="1215"/>
      <c r="H54" s="1213" t="str">
        <f>项目基本情况!B37</f>
        <v>六级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1713</v>
      </c>
      <c r="B56" s="361" t="e">
        <f t="shared" si="17"/>
        <v>#DIV/0!</v>
      </c>
      <c r="C56" s="524">
        <f t="shared" si="16"/>
        <v>0</v>
      </c>
      <c r="D56" s="1210">
        <v>0.25</v>
      </c>
      <c r="E56" s="360">
        <f>'数据-汇总表'!E11</f>
        <v>0</v>
      </c>
      <c r="F56" s="1207" t="e">
        <f t="shared" si="15"/>
        <v>#DIV/0!</v>
      </c>
      <c r="G56" s="1217" t="s">
        <v>1714</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1715</v>
      </c>
      <c r="B57" s="361" t="e">
        <f t="shared" si="17"/>
        <v>#DIV/0!</v>
      </c>
      <c r="C57" s="524">
        <f t="shared" si="16"/>
        <v>0</v>
      </c>
      <c r="D57" s="1210">
        <v>0.25</v>
      </c>
      <c r="E57" s="360">
        <f>'数据-汇总表'!E12</f>
        <v>0</v>
      </c>
      <c r="F57" s="1207" t="e">
        <f t="shared" si="15"/>
        <v>#DIV/0!</v>
      </c>
      <c r="G57" s="1218" t="s">
        <v>1716</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1717</v>
      </c>
      <c r="B58" s="361" t="e">
        <f t="shared" si="17"/>
        <v>#DIV/0!</v>
      </c>
      <c r="C58" s="524">
        <f t="shared" si="16"/>
        <v>0</v>
      </c>
      <c r="D58" s="1210">
        <v>0.25</v>
      </c>
      <c r="E58" s="360">
        <f>'数据-汇总表'!E13</f>
        <v>0</v>
      </c>
      <c r="F58" s="1207" t="e">
        <f t="shared" si="15"/>
        <v>#DIV/0!</v>
      </c>
      <c r="G58" s="1218" t="s">
        <v>1718</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1719</v>
      </c>
      <c r="B59" s="361" t="e">
        <f t="shared" si="17"/>
        <v>#DIV/0!</v>
      </c>
      <c r="C59" s="524">
        <f t="shared" si="16"/>
        <v>0.15</v>
      </c>
      <c r="D59" s="1210">
        <v>0.25</v>
      </c>
      <c r="E59" s="360">
        <f>'数据-汇总表'!E14</f>
        <v>0</v>
      </c>
      <c r="F59" s="1207" t="e">
        <f t="shared" si="15"/>
        <v>#DIV/0!</v>
      </c>
      <c r="G59" s="1217" t="s">
        <v>1710</v>
      </c>
      <c r="H59" s="1213" t="str">
        <f>项目基本情况!B37</f>
        <v>六级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1720</v>
      </c>
      <c r="B60" s="361" t="e">
        <f t="shared" si="17"/>
        <v>#DIV/0!</v>
      </c>
      <c r="C60" s="524">
        <f t="shared" si="16"/>
        <v>0</v>
      </c>
      <c r="D60" s="1210">
        <v>0.25</v>
      </c>
      <c r="E60" s="360">
        <f>'数据-汇总表'!E15</f>
        <v>0</v>
      </c>
      <c r="F60" s="1207" t="e">
        <f t="shared" si="15"/>
        <v>#DIV/0!</v>
      </c>
      <c r="G60" s="1219" t="s">
        <v>1714</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1721</v>
      </c>
      <c r="B61" s="1222" t="s">
        <v>1722</v>
      </c>
      <c r="C61" s="1222" t="s">
        <v>1722</v>
      </c>
      <c r="D61" s="1222" t="s">
        <v>1722</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1445</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1723</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1733</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1446</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1394</v>
      </c>
      <c r="B68" s="1254"/>
      <c r="C68" s="1255" t="s">
        <v>1447</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1448</v>
      </c>
      <c r="B70" s="1263" t="s">
        <v>1399</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1402</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1403</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1404</v>
      </c>
      <c r="B83" s="1263" t="s">
        <v>1665</v>
      </c>
      <c r="C83" s="1306" t="s">
        <v>1449</v>
      </c>
      <c r="D83" s="1306" t="s">
        <v>1450</v>
      </c>
      <c r="E83" s="1306" t="s">
        <v>1451</v>
      </c>
      <c r="F83" s="1306" t="s">
        <v>1452</v>
      </c>
      <c r="G83" s="1306" t="s">
        <v>1453</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1408</v>
      </c>
      <c r="C85" s="1311" t="s">
        <v>1449</v>
      </c>
      <c r="D85" s="1311" t="s">
        <v>1450</v>
      </c>
      <c r="E85" s="1311" t="s">
        <v>1451</v>
      </c>
      <c r="F85" s="1311" t="s">
        <v>1452</v>
      </c>
      <c r="G85" s="1311" t="s">
        <v>1453</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1689</v>
      </c>
      <c r="C87" s="1306" t="s">
        <v>1449</v>
      </c>
      <c r="D87" s="1306" t="s">
        <v>1450</v>
      </c>
      <c r="E87" s="1306" t="s">
        <v>1451</v>
      </c>
      <c r="F87" s="1306" t="s">
        <v>1452</v>
      </c>
      <c r="G87" s="1306" t="s">
        <v>1453</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1690</v>
      </c>
      <c r="C89" s="1306" t="s">
        <v>1449</v>
      </c>
      <c r="D89" s="1306" t="s">
        <v>1450</v>
      </c>
      <c r="E89" s="1306" t="s">
        <v>1451</v>
      </c>
      <c r="F89" s="1306" t="s">
        <v>1452</v>
      </c>
      <c r="G89" s="1306" t="s">
        <v>1453</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1409</v>
      </c>
      <c r="C91" s="1306" t="s">
        <v>1449</v>
      </c>
      <c r="D91" s="1306" t="s">
        <v>1450</v>
      </c>
      <c r="E91" s="1306" t="s">
        <v>1451</v>
      </c>
      <c r="F91" s="1306" t="s">
        <v>1452</v>
      </c>
      <c r="G91" s="1306" t="s">
        <v>1453</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1410</v>
      </c>
      <c r="C93" s="1114" t="s">
        <v>1454</v>
      </c>
      <c r="D93" s="1114" t="s">
        <v>1455</v>
      </c>
      <c r="E93" s="1114" t="s">
        <v>1456</v>
      </c>
      <c r="F93" s="1114" t="s">
        <v>1457</v>
      </c>
      <c r="G93" s="1114" t="s">
        <v>1458</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1725</v>
      </c>
      <c r="D95" s="1273" t="s">
        <v>1726</v>
      </c>
      <c r="E95" s="1273" t="s">
        <v>1727</v>
      </c>
      <c r="F95" s="1273" t="s">
        <v>1728</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1413</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1691</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1418</v>
      </c>
      <c r="B107" s="1263" t="s">
        <v>1692</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1693</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1695</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1696</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1734</v>
      </c>
      <c r="C1" s="3458" t="s">
        <v>1735</v>
      </c>
      <c r="D1" s="3459"/>
      <c r="E1" s="3459"/>
      <c r="F1" s="3459"/>
      <c r="G1" s="3459"/>
      <c r="H1" s="3459"/>
      <c r="I1" s="3459"/>
      <c r="J1" s="3459"/>
      <c r="K1" s="3459"/>
      <c r="L1" s="3459"/>
      <c r="M1" s="3459"/>
      <c r="N1" s="3459"/>
      <c r="O1" s="3459"/>
      <c r="P1" s="3459"/>
      <c r="Q1" s="3459"/>
      <c r="R1" s="3459"/>
      <c r="S1" s="3460"/>
      <c r="T1" s="901" t="s">
        <v>1736</v>
      </c>
    </row>
    <row r="2" spans="1:45" s="893" customFormat="1" ht="38.25">
      <c r="A2" s="902"/>
      <c r="B2" s="903" t="s">
        <v>507</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1737</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1738</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1739</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1740</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1741</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1742</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1743</v>
      </c>
      <c r="B17" s="967" t="s">
        <v>1744</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1745</v>
      </c>
      <c r="E19" s="986"/>
      <c r="F19" s="986"/>
      <c r="G19" s="986"/>
      <c r="H19" s="987"/>
      <c r="I19" s="984"/>
      <c r="J19" s="984"/>
      <c r="K19" s="984"/>
      <c r="L19" s="984"/>
      <c r="M19" s="984"/>
      <c r="N19" s="984"/>
      <c r="O19" s="984"/>
      <c r="P19" s="984"/>
      <c r="Q19" s="984"/>
      <c r="R19" s="984"/>
      <c r="S19" s="983"/>
    </row>
    <row r="20" spans="1:45" ht="15.75">
      <c r="A20" s="988" t="s">
        <v>1746</v>
      </c>
      <c r="B20" s="989">
        <f ca="1">IF(D20="——",S22,S22-F20)</f>
        <v>929</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1747</v>
      </c>
      <c r="B21" s="989">
        <f ca="1">ROUND(B20*10000/B22,0)</f>
        <v>25933</v>
      </c>
      <c r="C21" s="984"/>
      <c r="D21" s="984"/>
      <c r="E21" s="984"/>
      <c r="F21" s="984"/>
      <c r="G21" s="984"/>
      <c r="H21" s="984"/>
      <c r="I21" s="984"/>
      <c r="J21" s="984"/>
      <c r="K21" s="984"/>
      <c r="L21" s="984"/>
      <c r="M21" s="984"/>
      <c r="N21" s="984"/>
      <c r="O21" s="984"/>
      <c r="P21" s="984"/>
      <c r="Q21" s="984"/>
      <c r="R21" s="984"/>
      <c r="S21" s="983"/>
    </row>
    <row r="22" spans="1:45">
      <c r="A22" s="993" t="s">
        <v>1748</v>
      </c>
      <c r="B22" s="994">
        <f>SUM(B24:B10000)</f>
        <v>358.23</v>
      </c>
      <c r="C22" s="3461" t="s">
        <v>124</v>
      </c>
      <c r="D22" s="3462"/>
      <c r="E22" s="3462"/>
      <c r="F22" s="3462"/>
      <c r="G22" s="3462"/>
      <c r="H22" s="3462"/>
      <c r="I22" s="3462"/>
      <c r="J22" s="3462"/>
      <c r="K22" s="3462"/>
      <c r="L22" s="3462"/>
      <c r="M22" s="3462"/>
      <c r="N22" s="3462"/>
      <c r="O22" s="3462"/>
      <c r="P22" s="3462"/>
      <c r="Q22" s="3463"/>
      <c r="R22" s="994">
        <f ca="1">ROUND(S22*10000/B22,0)</f>
        <v>25933</v>
      </c>
      <c r="S22" s="994">
        <f ca="1">SUM(S24:S10000)</f>
        <v>929</v>
      </c>
      <c r="T22" s="899">
        <f ca="1">T24+T25</f>
        <v>9284221</v>
      </c>
    </row>
    <row r="23" spans="1:45" s="896" customFormat="1" ht="24">
      <c r="A23" s="998" t="s">
        <v>1749</v>
      </c>
      <c r="B23" s="998" t="s">
        <v>507</v>
      </c>
      <c r="C23" s="998" t="s">
        <v>1736</v>
      </c>
      <c r="D23" s="998" t="str">
        <f>B5</f>
        <v>修正项2</v>
      </c>
      <c r="E23" s="998" t="s">
        <v>1736</v>
      </c>
      <c r="F23" s="998" t="str">
        <f>B7</f>
        <v>修正项3</v>
      </c>
      <c r="G23" s="998" t="s">
        <v>1736</v>
      </c>
      <c r="H23" s="998" t="str">
        <f>B9</f>
        <v>修正项4</v>
      </c>
      <c r="I23" s="998" t="s">
        <v>1736</v>
      </c>
      <c r="J23" s="998" t="str">
        <f>B11</f>
        <v>修正项5</v>
      </c>
      <c r="K23" s="998" t="s">
        <v>1736</v>
      </c>
      <c r="L23" s="998" t="str">
        <f>B13</f>
        <v>修正项6</v>
      </c>
      <c r="M23" s="998" t="s">
        <v>1736</v>
      </c>
      <c r="N23" s="998" t="str">
        <f>B15</f>
        <v>修正项7</v>
      </c>
      <c r="O23" s="998" t="s">
        <v>1736</v>
      </c>
      <c r="P23" s="998" t="str">
        <f>B17</f>
        <v>楼层</v>
      </c>
      <c r="Q23" s="998" t="s">
        <v>1736</v>
      </c>
      <c r="R23" s="998" t="s">
        <v>1750</v>
      </c>
      <c r="S23" s="998" t="s">
        <v>1751</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415</v>
      </c>
      <c r="B24" s="1000">
        <f>'数据-基础表'!I13</f>
        <v>296</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25738</v>
      </c>
      <c r="S24" s="1003">
        <f t="shared" ref="S24:S54" ca="1" si="11">ROUND(R24*B24/10000,0)</f>
        <v>762</v>
      </c>
      <c r="T24" s="1004">
        <f ca="1">ROUND(R24*B24,0)</f>
        <v>7618448</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416</v>
      </c>
      <c r="B25" s="1006">
        <v>62.23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26768</v>
      </c>
      <c r="S25" s="993">
        <f t="shared" ca="1" si="11"/>
        <v>167</v>
      </c>
      <c r="T25" s="1004">
        <f ca="1">ROUND(R25*B25,0)</f>
        <v>1665773</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1752</v>
      </c>
      <c r="B1" s="600"/>
      <c r="C1" s="600"/>
      <c r="D1" s="600"/>
      <c r="E1" s="600"/>
      <c r="F1" s="883"/>
      <c r="G1" s="883"/>
      <c r="H1" s="883"/>
      <c r="I1" s="883"/>
      <c r="J1" s="883"/>
      <c r="K1" s="883"/>
      <c r="L1" s="883"/>
      <c r="M1" s="883"/>
      <c r="N1" s="883"/>
      <c r="O1" s="883"/>
      <c r="P1" s="883"/>
    </row>
    <row r="2" spans="1:16" ht="15.75">
      <c r="A2" s="884" t="s">
        <v>97</v>
      </c>
      <c r="B2" s="885">
        <f ca="1">SUMIF(B6:B13,"&lt;&gt;#ref!",B6:B13)</f>
        <v>225</v>
      </c>
      <c r="C2" s="884" t="s">
        <v>1753</v>
      </c>
      <c r="D2" s="884" t="s">
        <v>1754</v>
      </c>
      <c r="E2" s="886">
        <f ca="1">SUMIF(E6:E13,"&lt;&gt;#ref!",E6:E13)</f>
        <v>0</v>
      </c>
      <c r="F2" s="883"/>
      <c r="G2" s="883"/>
      <c r="H2" s="883"/>
      <c r="I2" s="883"/>
      <c r="J2" s="883"/>
      <c r="K2" s="883"/>
      <c r="L2" s="883"/>
      <c r="M2" s="883"/>
      <c r="N2" s="883"/>
      <c r="O2" s="883"/>
      <c r="P2" s="883"/>
    </row>
    <row r="3" spans="1:16" ht="15.75">
      <c r="A3" s="884" t="s">
        <v>1755</v>
      </c>
      <c r="B3" s="885" t="e">
        <f ca="1">ROUND(B2*10000/E2,0)</f>
        <v>#DIV/0!</v>
      </c>
      <c r="C3" s="884" t="s">
        <v>1756</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1757</v>
      </c>
      <c r="B5" s="889" t="s">
        <v>1758</v>
      </c>
      <c r="C5" s="890"/>
      <c r="D5" s="883"/>
      <c r="E5" s="891" t="s">
        <v>1759</v>
      </c>
      <c r="F5" s="883"/>
      <c r="G5" s="883"/>
      <c r="H5" s="883"/>
      <c r="I5" s="883"/>
      <c r="J5" s="883"/>
      <c r="K5" s="883"/>
      <c r="L5" s="883"/>
      <c r="M5" s="883"/>
      <c r="N5" s="883"/>
      <c r="O5" s="883"/>
      <c r="P5" s="883"/>
    </row>
    <row r="6" spans="1:16" ht="15.75">
      <c r="A6" s="892" t="s">
        <v>1760</v>
      </c>
      <c r="B6" s="885">
        <f ca="1">SUMIF(INDIRECT("'"&amp;A6&amp;"'"&amp;"!A:A"),"总价",INDIRECT("'"&amp;A6&amp;"'"&amp;"!B:B"))</f>
        <v>225</v>
      </c>
      <c r="C6" s="884" t="s">
        <v>1753</v>
      </c>
      <c r="D6" s="883"/>
      <c r="E6" s="886">
        <f ca="1">SUMIF(INDIRECT("'"&amp;A6&amp;"'"&amp;"!C:C"),"建筑面积",INDIRECT("'"&amp;A6&amp;"'"&amp;"!D:D"))</f>
        <v>0</v>
      </c>
      <c r="F6" s="883"/>
      <c r="G6" s="883"/>
      <c r="H6" s="883"/>
      <c r="I6" s="883"/>
      <c r="J6" s="883"/>
      <c r="K6" s="883"/>
      <c r="L6" s="883"/>
      <c r="M6" s="883"/>
      <c r="N6" s="883"/>
      <c r="O6" s="883"/>
      <c r="P6" s="883"/>
    </row>
    <row r="7" spans="1:16" ht="15.75">
      <c r="A7" s="892"/>
      <c r="B7" s="885" t="e">
        <f ca="1">SUMIF(INDIRECT("'"&amp;A7&amp;"'"&amp;"!A:A"),"总价",INDIRECT("'"&amp;A7&amp;"'"&amp;"!B:B"))</f>
        <v>#REF!</v>
      </c>
      <c r="C7" s="884" t="s">
        <v>1753</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1753</v>
      </c>
      <c r="D8" s="883"/>
      <c r="E8" s="886" t="e">
        <f t="shared" ca="1" si="0"/>
        <v>#REF!</v>
      </c>
      <c r="F8" s="883"/>
      <c r="G8" s="883"/>
      <c r="H8" s="883"/>
      <c r="I8" s="883"/>
      <c r="J8" s="883"/>
      <c r="K8" s="883"/>
      <c r="L8" s="883"/>
      <c r="M8" s="883"/>
      <c r="N8" s="883"/>
      <c r="O8" s="883"/>
      <c r="P8" s="883"/>
    </row>
    <row r="9" spans="1:16" ht="15.75">
      <c r="A9" s="892"/>
      <c r="B9" s="885" t="e">
        <f t="shared" ca="1" si="1"/>
        <v>#REF!</v>
      </c>
      <c r="C9" s="884" t="s">
        <v>1753</v>
      </c>
      <c r="D9" s="883"/>
      <c r="E9" s="886" t="e">
        <f t="shared" ca="1" si="0"/>
        <v>#REF!</v>
      </c>
      <c r="F9" s="883"/>
      <c r="G9" s="883"/>
      <c r="H9" s="883"/>
      <c r="I9" s="883"/>
      <c r="J9" s="883"/>
      <c r="K9" s="883"/>
      <c r="L9" s="883"/>
      <c r="M9" s="883"/>
      <c r="N9" s="883"/>
      <c r="O9" s="883"/>
      <c r="P9" s="883"/>
    </row>
    <row r="10" spans="1:16" ht="15.75">
      <c r="A10" s="892"/>
      <c r="B10" s="885" t="e">
        <f t="shared" ca="1" si="1"/>
        <v>#REF!</v>
      </c>
      <c r="C10" s="884" t="s">
        <v>1753</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1753</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1753</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1753</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M25" sqref="M25"/>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1761</v>
      </c>
      <c r="B1" s="341"/>
      <c r="C1" s="344" t="s">
        <v>1378</v>
      </c>
      <c r="D1" s="511">
        <f>SUM(D33:D34,D37:D42)</f>
        <v>0</v>
      </c>
      <c r="E1" s="512"/>
      <c r="F1" s="512"/>
      <c r="G1" s="512"/>
      <c r="H1" s="512"/>
      <c r="I1" s="512"/>
      <c r="J1" s="512"/>
      <c r="K1" s="504"/>
      <c r="L1" s="513" t="s">
        <v>1762</v>
      </c>
      <c r="M1" s="514">
        <f>SUMPRODUCT((区片价!B5:B9=I2)*(区片价!C3:G3=E2)*(区片价!C5:G9))</f>
        <v>0</v>
      </c>
      <c r="N1" s="515">
        <f>SUMPRODUCT((因素修正幅度!B5:B9=I2)*(因素修正幅度!C3:G3=E2)*(因素修正幅度!C5:G9))</f>
        <v>0</v>
      </c>
      <c r="O1" s="505"/>
      <c r="P1" s="505"/>
      <c r="Q1" s="504"/>
      <c r="R1" s="516" t="s">
        <v>1763</v>
      </c>
      <c r="S1" s="516" t="s">
        <v>1764</v>
      </c>
      <c r="T1" s="516" t="s">
        <v>1765</v>
      </c>
      <c r="U1" s="516" t="s">
        <v>1766</v>
      </c>
      <c r="V1" s="516" t="s">
        <v>1767</v>
      </c>
      <c r="W1" s="517"/>
      <c r="X1" s="517"/>
      <c r="Y1" s="517"/>
      <c r="Z1" s="517"/>
      <c r="AA1" s="517"/>
      <c r="AB1" s="517"/>
      <c r="AC1" s="518"/>
      <c r="AD1" s="519"/>
      <c r="AE1" s="519"/>
      <c r="AF1" s="519"/>
      <c r="AG1" s="519"/>
      <c r="AH1" s="519"/>
      <c r="AI1" s="519"/>
      <c r="AJ1" s="520"/>
    </row>
    <row r="2" spans="1:36" ht="15.75">
      <c r="A2" s="344" t="s">
        <v>1036</v>
      </c>
      <c r="B2" s="348">
        <f>C30</f>
        <v>225</v>
      </c>
      <c r="C2" s="521" t="s">
        <v>1037</v>
      </c>
      <c r="D2" s="522" t="s">
        <v>1768</v>
      </c>
      <c r="E2" s="523" t="s">
        <v>229</v>
      </c>
      <c r="F2" s="522" t="s">
        <v>1769</v>
      </c>
      <c r="G2" s="524" t="str">
        <f>IF(E2="商业",项目基本情况!B37,IF(E2="办公",项目基本情况!C37,IF(E2="住宅",项目基本情况!D37,IF(E2="工业",项目基本情况!E37,项目基本情况!F37))))</f>
        <v>六级</v>
      </c>
      <c r="H2" s="522" t="s">
        <v>1770</v>
      </c>
      <c r="I2" s="524" t="str">
        <f>IF(E2="商业",项目基本情况!B38,IF(E2="办公",项目基本情况!C38,IF(E2="住宅",项目基本情况!D38,IF(E2="工业",项目基本情况!E38,项目基本情况!F38))))</f>
        <v>Ⅵ-09</v>
      </c>
      <c r="J2" s="512"/>
      <c r="K2" s="504"/>
      <c r="L2" s="525" t="s">
        <v>1771</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f t="shared" ref="T2:T16" si="0">ROUND($C$5*$C$22*$C$23*$C$24*S2*$C$28,0)</f>
        <v>13456</v>
      </c>
      <c r="U2" s="528"/>
      <c r="V2" s="527">
        <f>ROUND(T2*U2/10000,0)</f>
        <v>0</v>
      </c>
      <c r="W2" s="517"/>
      <c r="X2" s="517"/>
      <c r="Y2" s="517"/>
      <c r="Z2" s="517"/>
      <c r="AA2" s="517"/>
      <c r="AB2" s="517"/>
      <c r="AC2" s="518"/>
      <c r="AD2" s="519"/>
      <c r="AE2" s="519"/>
      <c r="AF2" s="519"/>
      <c r="AG2" s="519"/>
      <c r="AH2" s="519"/>
      <c r="AI2" s="519"/>
      <c r="AJ2" s="520"/>
    </row>
    <row r="3" spans="1:36" ht="15.75">
      <c r="A3" s="347" t="s">
        <v>1038</v>
      </c>
      <c r="B3" s="348" t="e">
        <f>ROUND(B2*10000/D1,0)</f>
        <v>#DIV/0!</v>
      </c>
      <c r="C3" s="521" t="s">
        <v>1039</v>
      </c>
      <c r="D3" s="522" t="s">
        <v>1772</v>
      </c>
      <c r="E3" s="529" t="s">
        <v>244</v>
      </c>
      <c r="F3" s="530" t="s">
        <v>1773</v>
      </c>
      <c r="G3" s="531">
        <f>IF(F3="宗地容积率",'数据-汇总表'!I4,IF(F3="估价对象容积率",'数据-汇总表'!I6,'数据-汇总表'!I7))</f>
        <v>2.5</v>
      </c>
      <c r="H3" s="522" t="s">
        <v>1774</v>
      </c>
      <c r="I3" s="532">
        <v>1</v>
      </c>
      <c r="J3" s="512" t="s">
        <v>1775</v>
      </c>
      <c r="K3" s="504"/>
      <c r="L3" s="525" t="s">
        <v>1776</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f t="shared" si="0"/>
        <v>10606</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1777</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1.0004999999999999</v>
      </c>
      <c r="T4" s="527">
        <f t="shared" si="0"/>
        <v>8964</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1778</v>
      </c>
      <c r="C5" s="535">
        <f>ROUND(IF(E2="商业",C6*C7*C17+C20,(IF(E2="住宅",C6*C13*C17+C20,IF(E2="办公",C6*C12*C17+C20,C6+C20)))),0)</f>
        <v>10394</v>
      </c>
      <c r="D5" s="536">
        <f>ROUND(C6*C17+C20,0)</f>
        <v>10394</v>
      </c>
      <c r="E5" s="536"/>
      <c r="F5" s="537"/>
      <c r="G5" s="538"/>
      <c r="H5" s="538"/>
      <c r="I5" s="538"/>
      <c r="J5" s="539"/>
      <c r="K5" s="540"/>
      <c r="L5" s="525" t="s">
        <v>1779</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f t="shared" si="0"/>
        <v>7906</v>
      </c>
      <c r="U5" s="528"/>
      <c r="V5" s="527">
        <f t="shared" si="1"/>
        <v>0</v>
      </c>
      <c r="W5" s="517"/>
      <c r="X5" s="517"/>
      <c r="Y5" s="517"/>
      <c r="Z5" s="517"/>
      <c r="AA5" s="517"/>
      <c r="AB5" s="517"/>
      <c r="AC5" s="541"/>
      <c r="AD5" s="542"/>
      <c r="AE5" s="542"/>
      <c r="AF5" s="542"/>
      <c r="AG5" s="542"/>
      <c r="AH5" s="542"/>
      <c r="AI5" s="542"/>
      <c r="AJ5" s="543"/>
    </row>
    <row r="6" spans="1:36" ht="15">
      <c r="A6" s="544" t="s">
        <v>1041</v>
      </c>
      <c r="B6" s="545" t="s">
        <v>1780</v>
      </c>
      <c r="C6" s="546">
        <f>SUMIF(L1:L12,G2,M1:M12)</f>
        <v>10430</v>
      </c>
      <c r="D6" s="547"/>
      <c r="E6" s="548"/>
      <c r="F6" s="548"/>
      <c r="G6" s="549"/>
      <c r="H6" s="549"/>
      <c r="I6" s="549"/>
      <c r="J6" s="550"/>
      <c r="K6" s="551"/>
      <c r="L6" s="525" t="s">
        <v>1781</v>
      </c>
      <c r="M6" s="526">
        <f>SUMPRODUCT((区片价!B127:B189=I2)*(区片价!C3:G3=E2)*(区片价!C127:G189))</f>
        <v>10430</v>
      </c>
      <c r="N6" s="515">
        <f>SUMPRODUCT((因素修正幅度!B127:B189=I2)*(因素修正幅度!C3:G3=E2)*(因素修正幅度!C127:G189))</f>
        <v>0.105</v>
      </c>
      <c r="O6" s="504"/>
      <c r="P6" s="504"/>
      <c r="Q6" s="504"/>
      <c r="R6" s="516">
        <v>5</v>
      </c>
      <c r="S6" s="527">
        <f>ROUND(SUMPRODUCT((B106:B110=R6)*(C105:N105=G2)*(C106:N110)),4)</f>
        <v>0.84799999999999998</v>
      </c>
      <c r="T6" s="527">
        <f t="shared" si="0"/>
        <v>7598</v>
      </c>
      <c r="U6" s="528">
        <f>'数据-汇总表'!E19</f>
        <v>296</v>
      </c>
      <c r="V6" s="527">
        <f t="shared" si="1"/>
        <v>225</v>
      </c>
      <c r="W6" s="517"/>
      <c r="X6" s="517"/>
      <c r="Y6" s="517"/>
      <c r="Z6" s="517"/>
      <c r="AA6" s="517"/>
      <c r="AB6" s="517"/>
      <c r="AC6" s="541"/>
      <c r="AD6" s="542"/>
      <c r="AE6" s="542"/>
      <c r="AF6" s="542"/>
      <c r="AG6" s="542"/>
      <c r="AH6" s="542"/>
      <c r="AI6" s="542"/>
      <c r="AJ6" s="543"/>
    </row>
    <row r="7" spans="1:36" ht="24">
      <c r="A7" s="552" t="s">
        <v>1782</v>
      </c>
      <c r="B7" s="553" t="s">
        <v>1783</v>
      </c>
      <c r="C7" s="554">
        <f>IF(C8="不临65条商业街",1,ROUND(1+(1.6*E8+1.2*E9+0.8*E10+0.4*E11)*C9,4))</f>
        <v>1</v>
      </c>
      <c r="D7" s="555" t="s">
        <v>1784</v>
      </c>
      <c r="E7" s="556"/>
      <c r="F7" s="557"/>
      <c r="G7" s="558"/>
      <c r="H7" s="558"/>
      <c r="I7" s="558"/>
      <c r="J7" s="559"/>
      <c r="K7" s="551"/>
      <c r="L7" s="525" t="s">
        <v>1785</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1786</v>
      </c>
      <c r="X7" s="562" t="str">
        <f>G2</f>
        <v>六级</v>
      </c>
      <c r="Y7" s="562" t="s">
        <v>1787</v>
      </c>
      <c r="Z7" s="563">
        <f>G3</f>
        <v>2.5</v>
      </c>
      <c r="AA7" s="517"/>
      <c r="AB7" s="517"/>
      <c r="AC7" s="518"/>
      <c r="AD7" s="519"/>
      <c r="AE7" s="519"/>
      <c r="AF7" s="519"/>
      <c r="AG7" s="519"/>
      <c r="AH7" s="519"/>
      <c r="AI7" s="519"/>
      <c r="AJ7" s="520"/>
    </row>
    <row r="8" spans="1:36" ht="25.5">
      <c r="A8" s="564"/>
      <c r="B8" s="522" t="s">
        <v>1788</v>
      </c>
      <c r="C8" s="565" t="s">
        <v>1789</v>
      </c>
      <c r="D8" s="566" t="s">
        <v>1790</v>
      </c>
      <c r="E8" s="567" t="e">
        <f>ROUND(C11/E7,4)</f>
        <v>#DIV/0!</v>
      </c>
      <c r="F8" s="568" t="s">
        <v>1791</v>
      </c>
      <c r="G8" s="569"/>
      <c r="H8" s="569"/>
      <c r="I8" s="569"/>
      <c r="J8" s="570"/>
      <c r="K8" s="504"/>
      <c r="L8" s="525" t="s">
        <v>1792</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1793</v>
      </c>
      <c r="X8" s="3469"/>
      <c r="Y8" s="571" t="s">
        <v>1794</v>
      </c>
      <c r="Z8" s="571" t="s">
        <v>1795</v>
      </c>
      <c r="AA8" s="571" t="s">
        <v>1796</v>
      </c>
      <c r="AB8" s="571" t="s">
        <v>1797</v>
      </c>
      <c r="AC8" s="571" t="s">
        <v>1798</v>
      </c>
      <c r="AD8" s="571" t="s">
        <v>1799</v>
      </c>
      <c r="AE8" s="571" t="s">
        <v>1800</v>
      </c>
      <c r="AF8" s="571" t="s">
        <v>1801</v>
      </c>
      <c r="AG8" s="571" t="s">
        <v>1802</v>
      </c>
      <c r="AH8" s="571" t="s">
        <v>1803</v>
      </c>
      <c r="AI8" s="571" t="s">
        <v>1804</v>
      </c>
      <c r="AJ8" s="571" t="s">
        <v>1805</v>
      </c>
    </row>
    <row r="9" spans="1:36" ht="15">
      <c r="A9" s="564"/>
      <c r="B9" s="522" t="s">
        <v>1806</v>
      </c>
      <c r="C9" s="572">
        <f>SUMIF(修正!C73:C140,C8,修正!E73:E140)</f>
        <v>0</v>
      </c>
      <c r="D9" s="524" t="s">
        <v>1807</v>
      </c>
      <c r="E9" s="524" t="e">
        <f>ROUND(C11/E7,4)</f>
        <v>#DIV/0!</v>
      </c>
      <c r="F9" s="568" t="s">
        <v>1808</v>
      </c>
      <c r="G9" s="569"/>
      <c r="H9" s="569"/>
      <c r="I9" s="569"/>
      <c r="J9" s="570"/>
      <c r="K9" s="504"/>
      <c r="L9" s="525" t="s">
        <v>1809</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1810</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1811</v>
      </c>
      <c r="C10" s="524">
        <f>SUMIF(修正!C73:C140,C8,修正!F73:F140)</f>
        <v>0</v>
      </c>
      <c r="D10" s="524" t="s">
        <v>1812</v>
      </c>
      <c r="E10" s="524" t="e">
        <f>ROUND(C11/E7,4)</f>
        <v>#DIV/0!</v>
      </c>
      <c r="F10" s="568" t="s">
        <v>1813</v>
      </c>
      <c r="G10" s="569"/>
      <c r="H10" s="569"/>
      <c r="I10" s="569"/>
      <c r="J10" s="570"/>
      <c r="K10" s="504"/>
      <c r="L10" s="525" t="s">
        <v>1814</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1815</v>
      </c>
      <c r="C11" s="579">
        <f>C10/4</f>
        <v>0</v>
      </c>
      <c r="D11" s="579" t="s">
        <v>1816</v>
      </c>
      <c r="E11" s="579" t="e">
        <f>ROUND(C11/E7,4)</f>
        <v>#DIV/0!</v>
      </c>
      <c r="F11" s="580" t="s">
        <v>1817</v>
      </c>
      <c r="G11" s="581"/>
      <c r="H11" s="581"/>
      <c r="I11" s="581"/>
      <c r="J11" s="582"/>
      <c r="K11" s="504"/>
      <c r="L11" s="525" t="s">
        <v>1818</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1819</v>
      </c>
      <c r="B12" s="585" t="s">
        <v>1820</v>
      </c>
      <c r="C12" s="586">
        <v>1</v>
      </c>
      <c r="D12" s="587" t="s">
        <v>1821</v>
      </c>
      <c r="E12" s="588" t="s">
        <v>1822</v>
      </c>
      <c r="F12" s="589"/>
      <c r="G12" s="590"/>
      <c r="H12" s="590"/>
      <c r="I12" s="590"/>
      <c r="J12" s="591"/>
      <c r="K12" s="504"/>
      <c r="L12" s="592" t="s">
        <v>1823</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1824</v>
      </c>
      <c r="B13" s="594" t="s">
        <v>1825</v>
      </c>
      <c r="C13" s="554">
        <f>ROUND(C16*D16*E16*F16*G16*H16*I16*J16,4)</f>
        <v>0</v>
      </c>
      <c r="D13" s="595" t="s">
        <v>1826</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1827</v>
      </c>
      <c r="C14" s="604" t="s">
        <v>1828</v>
      </c>
      <c r="D14" s="605" t="s">
        <v>1829</v>
      </c>
      <c r="E14" s="606" t="s">
        <v>1830</v>
      </c>
      <c r="F14" s="607" t="s">
        <v>1831</v>
      </c>
      <c r="G14" s="607" t="s">
        <v>1831</v>
      </c>
      <c r="H14" s="607" t="s">
        <v>1831</v>
      </c>
      <c r="I14" s="607" t="s">
        <v>1831</v>
      </c>
      <c r="J14" s="607" t="s">
        <v>1831</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1832</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1736</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1833</v>
      </c>
      <c r="B17" s="621" t="s">
        <v>1834</v>
      </c>
      <c r="C17" s="622">
        <f>ROUND(IF(OR(E2="工业",E2="公共服务"),1,IF(AND(E18=0,E19=0),1,IF(AND(E18=J24,E19=G19),0.8,IF(E19=0,1+E17*(-0.2),1+E17*G17*(-0.2))))),4)</f>
        <v>1</v>
      </c>
      <c r="D17" s="623" t="s">
        <v>1835</v>
      </c>
      <c r="E17" s="622">
        <f>ROUND(G18/I18,2)</f>
        <v>0</v>
      </c>
      <c r="F17" s="623" t="s">
        <v>1836</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1837</v>
      </c>
      <c r="E18" s="630"/>
      <c r="F18" s="631" t="s">
        <v>1838</v>
      </c>
      <c r="G18" s="628">
        <f>ROUND(1-(1/(POWER(1+G24,E18))),4)</f>
        <v>0</v>
      </c>
      <c r="H18" s="631" t="s">
        <v>1839</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1840</v>
      </c>
      <c r="E19" s="640"/>
      <c r="F19" s="641" t="s">
        <v>1841</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1842</v>
      </c>
      <c r="B20" s="646" t="s">
        <v>1843</v>
      </c>
      <c r="C20" s="647">
        <f>ROUND(IF(F21="与级别开发程度一致",0,(G21-E21)/C21),0)</f>
        <v>-36</v>
      </c>
      <c r="D20" s="648" t="s">
        <v>1844</v>
      </c>
      <c r="E20" s="649"/>
      <c r="F20" s="3470" t="s">
        <v>1845</v>
      </c>
      <c r="G20" s="3471"/>
      <c r="H20" s="650" t="s">
        <v>382</v>
      </c>
      <c r="I20" s="650" t="s">
        <v>383</v>
      </c>
      <c r="J20" s="651" t="s">
        <v>384</v>
      </c>
      <c r="K20" s="652" t="s">
        <v>385</v>
      </c>
      <c r="L20" s="652" t="s">
        <v>386</v>
      </c>
      <c r="M20" s="652" t="s">
        <v>389</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1846</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1847</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1848</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1849</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1850</v>
      </c>
      <c r="E23" s="673">
        <v>44197</v>
      </c>
      <c r="F23" s="672" t="s">
        <v>1851</v>
      </c>
      <c r="G23" s="674">
        <f>'数据-取费表'!B2</f>
        <v>45981</v>
      </c>
      <c r="H23" s="675" t="s">
        <v>1852</v>
      </c>
      <c r="I23" s="676" t="str">
        <f>IF(H23="季度增幅（自定义）",SUMIF(N25:N28,E2,O25:O28),"")</f>
        <v/>
      </c>
      <c r="J23" s="677" t="s">
        <v>1853</v>
      </c>
      <c r="K23" s="634"/>
      <c r="L23" s="678" t="s">
        <v>1854</v>
      </c>
      <c r="M23" s="679">
        <f>ROUND(SUMIF(地价!B2:G2,E2,地价!B16:G16),0)</f>
        <v>350</v>
      </c>
      <c r="N23" s="680" t="s">
        <v>1855</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1856</v>
      </c>
      <c r="C24" s="684">
        <f>ROUND(POWER(1+G24,J24-I24)*(POWER(1+G24,I24)-1)/(POWER(1+G24,J24)-1),4)</f>
        <v>0.8024</v>
      </c>
      <c r="D24" s="685" t="s">
        <v>1857</v>
      </c>
      <c r="E24" s="686">
        <f>存贷款利率!E28/100</f>
        <v>4.3499999999999997E-2</v>
      </c>
      <c r="F24" s="685" t="s">
        <v>1858</v>
      </c>
      <c r="G24" s="687">
        <f>SUMIF(M30:Q30,E2,M33:Q33)</f>
        <v>5.5E-2</v>
      </c>
      <c r="H24" s="685" t="s">
        <v>1859</v>
      </c>
      <c r="I24" s="688">
        <f>SUMIF('数据-取费表'!C6:C15,E2,'数据-取费表'!F6:F15)/COUNTIF('数据-取费表'!C6:C15,E2)</f>
        <v>23</v>
      </c>
      <c r="J24" s="689">
        <f>IF(E2="住宅",70,IF(E2="商业",40,50))</f>
        <v>40</v>
      </c>
      <c r="K24" s="634"/>
      <c r="L24" s="690" t="s">
        <v>1860</v>
      </c>
      <c r="M24" s="691">
        <f>ROUND(SUMPRODUCT((地价!A4:A16=YEAR(G23)&amp;"-"&amp;ROUNDUP(MONTH(G23)/3,0))*(地价!B2:G2=E2)*(地价!B4:G16)),0)</f>
        <v>0</v>
      </c>
      <c r="N24" s="692" t="s">
        <v>1861</v>
      </c>
      <c r="O24" s="693" t="s">
        <v>1862</v>
      </c>
      <c r="P24" s="694" t="s">
        <v>1863</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1864</v>
      </c>
      <c r="C25" s="697">
        <f>IF(B25="容积率修正",IF(G3&lt;10,D26,J26),C27)</f>
        <v>1.5019</v>
      </c>
      <c r="D25" s="698"/>
      <c r="E25" s="698"/>
      <c r="F25" s="698"/>
      <c r="G25" s="698"/>
      <c r="H25" s="698"/>
      <c r="I25" s="698"/>
      <c r="J25" s="699"/>
      <c r="K25" s="634"/>
      <c r="L25" s="636"/>
      <c r="M25" s="636"/>
      <c r="N25" s="700" t="s">
        <v>1865</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1866</v>
      </c>
      <c r="B26" s="704" t="s">
        <v>1867</v>
      </c>
      <c r="C26" s="704" t="s">
        <v>1868</v>
      </c>
      <c r="D26" s="705">
        <f>IF(E26=G26,F26,IF(G3&lt;10,ROUND(F26+(H26-F26)*(G3-E26)/(G26-E26),4),"——"))</f>
        <v>1</v>
      </c>
      <c r="E26" s="531">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2.5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1869</v>
      </c>
      <c r="J26" s="706" t="str">
        <f>IF(G3&gt;=10,D115,"——")</f>
        <v>——</v>
      </c>
      <c r="K26" s="634"/>
      <c r="L26" s="636"/>
      <c r="M26" s="636"/>
      <c r="N26" s="700" t="s">
        <v>1870</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1871</v>
      </c>
      <c r="B27" s="707" t="s">
        <v>1872</v>
      </c>
      <c r="C27" s="708">
        <f>ROUND(IF(I3&lt;6,SUMPRODUCT((B106:B110=I3)*(C105:N105=G2)*(C106:N110)),SUMIF(C105:N105,G2,C112:N112)),4)</f>
        <v>1.5019</v>
      </c>
      <c r="D27" s="512"/>
      <c r="E27" s="512"/>
      <c r="F27" s="709"/>
      <c r="G27" s="710"/>
      <c r="H27" s="711"/>
      <c r="I27" s="712"/>
      <c r="J27" s="713"/>
      <c r="K27" s="504"/>
      <c r="L27" s="505"/>
      <c r="M27" s="505"/>
      <c r="N27" s="700" t="s">
        <v>1873</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1874</v>
      </c>
      <c r="B28" s="670" t="s">
        <v>1875</v>
      </c>
      <c r="C28" s="671">
        <f>SUMIF(A47:A101,E2,B47:B101)</f>
        <v>1.0455000000000001</v>
      </c>
      <c r="D28" s="714"/>
      <c r="E28" s="715"/>
      <c r="F28" s="715"/>
      <c r="G28" s="715"/>
      <c r="H28" s="715"/>
      <c r="I28" s="715"/>
      <c r="J28" s="716"/>
      <c r="K28" s="634"/>
      <c r="L28" s="636"/>
      <c r="M28" s="636"/>
      <c r="N28" s="717" t="s">
        <v>1876</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1877</v>
      </c>
      <c r="B29" s="720" t="s">
        <v>1878</v>
      </c>
      <c r="C29" s="721"/>
      <c r="D29" s="558"/>
      <c r="E29" s="558"/>
      <c r="F29" s="722"/>
      <c r="G29" s="558"/>
      <c r="H29" s="558"/>
      <c r="I29" s="558"/>
      <c r="J29" s="559"/>
      <c r="K29" s="504"/>
      <c r="L29" s="505"/>
      <c r="M29" s="505"/>
      <c r="N29" s="723" t="s">
        <v>1879</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1880</v>
      </c>
      <c r="C30" s="727">
        <f>IF(B25="容积率修正",E33+SUM(E37:E42),SUM(V2:V16)+SUM(E37:E42))</f>
        <v>225</v>
      </c>
      <c r="D30" s="728"/>
      <c r="E30" s="512"/>
      <c r="F30" s="729"/>
      <c r="G30" s="512"/>
      <c r="H30" s="512"/>
      <c r="I30" s="512"/>
      <c r="J30" s="730"/>
      <c r="K30" s="504"/>
      <c r="L30" s="731" t="s">
        <v>1768</v>
      </c>
      <c r="M30" s="732" t="s">
        <v>1881</v>
      </c>
      <c r="N30" s="732" t="s">
        <v>1882</v>
      </c>
      <c r="O30" s="732" t="s">
        <v>1883</v>
      </c>
      <c r="P30" s="732" t="s">
        <v>1884</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1885</v>
      </c>
      <c r="C31" s="734">
        <f>E34+SUM(I37:I42)</f>
        <v>0</v>
      </c>
      <c r="D31" s="735"/>
      <c r="E31" s="736"/>
      <c r="F31" s="737"/>
      <c r="G31" s="736"/>
      <c r="H31" s="736"/>
      <c r="I31" s="736"/>
      <c r="J31" s="738"/>
      <c r="K31" s="504"/>
      <c r="L31" s="739" t="s">
        <v>1886</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1887</v>
      </c>
      <c r="C32" s="743" t="s">
        <v>1888</v>
      </c>
      <c r="D32" s="743" t="s">
        <v>613</v>
      </c>
      <c r="E32" s="744" t="s">
        <v>1889</v>
      </c>
      <c r="F32" s="745"/>
      <c r="G32" s="597"/>
      <c r="H32" s="597"/>
      <c r="I32" s="597"/>
      <c r="J32" s="598"/>
      <c r="K32" s="504"/>
      <c r="L32" s="746" t="s">
        <v>1858</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1890</v>
      </c>
      <c r="C33" s="751">
        <f>ROUND(C5*C22*C23*C24*C25*C28,0)</f>
        <v>13456</v>
      </c>
      <c r="D33" s="752"/>
      <c r="E33" s="753">
        <f>ROUND(C33*D33/10000,0)</f>
        <v>0</v>
      </c>
      <c r="F33" s="754" t="s">
        <v>1891</v>
      </c>
      <c r="G33" s="755"/>
      <c r="H33" s="755"/>
      <c r="I33" s="755"/>
      <c r="J33" s="756"/>
      <c r="K33" s="504"/>
      <c r="L33" s="757" t="s">
        <v>1892</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1893</v>
      </c>
      <c r="C34" s="656" t="e">
        <f>ROUND(IF(E2="工业",C33*M42,IF(B25="楼层修正",SUM(V2:V16)*M41*10000/D34,C33*M41)),0)</f>
        <v>#DIV/0!</v>
      </c>
      <c r="D34" s="761"/>
      <c r="E34" s="753">
        <f>ROUND(IF(B25="楼层修正",SUM(V2:V16)*M40,C34*D34/10000),0)</f>
        <v>0</v>
      </c>
      <c r="F34" s="762" t="s">
        <v>1894</v>
      </c>
      <c r="G34" s="763"/>
      <c r="H34" s="763"/>
      <c r="I34" s="763"/>
      <c r="J34" s="764"/>
      <c r="K34" s="504"/>
      <c r="L34" s="757" t="s">
        <v>1895</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1896</v>
      </c>
      <c r="C35" s="767" t="s">
        <v>1897</v>
      </c>
      <c r="D35" s="597"/>
      <c r="E35" s="768"/>
      <c r="F35" s="768"/>
      <c r="G35" s="595" t="s">
        <v>1894</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1888</v>
      </c>
      <c r="D36" s="772" t="s">
        <v>613</v>
      </c>
      <c r="E36" s="772" t="s">
        <v>1889</v>
      </c>
      <c r="F36" s="511" t="s">
        <v>1898</v>
      </c>
      <c r="G36" s="773" t="s">
        <v>1888</v>
      </c>
      <c r="H36" s="773" t="s">
        <v>613</v>
      </c>
      <c r="I36" s="773" t="s">
        <v>1889</v>
      </c>
      <c r="J36" s="392"/>
      <c r="K36" s="774" t="s">
        <v>1899</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1900</v>
      </c>
      <c r="C37" s="751">
        <f>ROUND(D5*C22*C23*C24*C28*F37,0)</f>
        <v>5376</v>
      </c>
      <c r="D37" s="752">
        <f>'数据-汇总表'!G20</f>
        <v>0</v>
      </c>
      <c r="E37" s="524">
        <f>ROUND(C37*D37/10000,0)</f>
        <v>0</v>
      </c>
      <c r="F37" s="524">
        <f>SUMIF(修正!A59:A70,G2,修正!B59:B70)</f>
        <v>0.6</v>
      </c>
      <c r="G37" s="524">
        <f>ROUND(IF(E2="工业",C37*$M$42,C37*$M$41),0)</f>
        <v>1344</v>
      </c>
      <c r="H37" s="524">
        <f>D37</f>
        <v>0</v>
      </c>
      <c r="I37" s="524">
        <f>ROUND(G37*H37/10000,0)</f>
        <v>0</v>
      </c>
      <c r="J37" s="778"/>
      <c r="K37" s="779" t="s">
        <v>1901</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1902</v>
      </c>
      <c r="C38" s="751">
        <f>ROUND(D5*C22*C23*C24*C28*F38,0)</f>
        <v>2688</v>
      </c>
      <c r="D38" s="752"/>
      <c r="E38" s="524">
        <f t="shared" ref="E38:E42" si="4">ROUND(C38*D38/10000,0)</f>
        <v>0</v>
      </c>
      <c r="F38" s="524">
        <f>SUMIF(修正!A59:A70,G2,修正!C59:C70)</f>
        <v>0.3</v>
      </c>
      <c r="G38" s="524">
        <f>ROUND(IF(E2="工业",C38*$M$42,C38*$M$41),0)</f>
        <v>672</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1903</v>
      </c>
      <c r="C39" s="751">
        <f>ROUND(D5*C22*C23*C24*C28*F39,0)</f>
        <v>2240</v>
      </c>
      <c r="D39" s="752"/>
      <c r="E39" s="524">
        <f t="shared" si="4"/>
        <v>0</v>
      </c>
      <c r="F39" s="524">
        <f>SUMIF(修正!A59:A70,G2,修正!D59:D70)</f>
        <v>0.25</v>
      </c>
      <c r="G39" s="524">
        <f>ROUND(IF(E2="工业",C39*$M$42,C39*$M$41),0)</f>
        <v>560</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1904</v>
      </c>
      <c r="C40" s="524">
        <f>ROUND(D5*C22*C23*C24*C28*F40,0)</f>
        <v>2240</v>
      </c>
      <c r="D40" s="752"/>
      <c r="E40" s="524">
        <f t="shared" si="4"/>
        <v>0</v>
      </c>
      <c r="F40" s="751">
        <f>SUMIF(修正!A59:A70,G2,修正!E59:E70)</f>
        <v>0.25</v>
      </c>
      <c r="G40" s="524">
        <f>ROUND(IF(E2="工业",C40*$M$42,C40*$M$41),0)</f>
        <v>560</v>
      </c>
      <c r="H40" s="524">
        <f t="shared" si="5"/>
        <v>0</v>
      </c>
      <c r="I40" s="524">
        <f t="shared" si="6"/>
        <v>0</v>
      </c>
      <c r="J40" s="782"/>
      <c r="L40" s="783" t="s">
        <v>1905</v>
      </c>
      <c r="M40" s="784"/>
      <c r="Z40" s="625"/>
      <c r="AA40" s="625"/>
      <c r="AB40" s="625"/>
      <c r="AC40" s="625"/>
      <c r="AD40" s="625"/>
      <c r="AE40" s="625"/>
      <c r="AF40" s="625"/>
      <c r="AG40" s="625"/>
      <c r="AH40" s="625"/>
      <c r="AI40" s="625"/>
      <c r="AJ40" s="625"/>
    </row>
    <row r="41" spans="1:37" s="504" customFormat="1">
      <c r="A41" s="781"/>
      <c r="B41" s="604" t="s">
        <v>1906</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1907</v>
      </c>
      <c r="M41" s="786">
        <v>0.25</v>
      </c>
      <c r="Z41" s="625"/>
      <c r="AA41" s="625"/>
      <c r="AB41" s="625"/>
      <c r="AC41" s="625"/>
      <c r="AD41" s="625"/>
      <c r="AE41" s="625"/>
      <c r="AF41" s="625"/>
      <c r="AG41" s="625"/>
      <c r="AH41" s="625"/>
      <c r="AI41" s="625"/>
      <c r="AJ41" s="625"/>
    </row>
    <row r="42" spans="1:37" s="504" customFormat="1">
      <c r="A42" s="759"/>
      <c r="B42" s="787" t="s">
        <v>1908</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1884</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1909</v>
      </c>
      <c r="C44" s="511">
        <f>ROUND(POWER(1+E44,H44-G44)*(POWER(1+E44,G44)-1)/(POWER(1+E44,H44)-1),4)</f>
        <v>0</v>
      </c>
      <c r="D44" s="524" t="s">
        <v>1858</v>
      </c>
      <c r="E44" s="793">
        <f>G24</f>
        <v>5.5E-2</v>
      </c>
      <c r="F44" s="524" t="s">
        <v>1859</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1910</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1911</v>
      </c>
      <c r="B48" s="799">
        <f>1+E50</f>
        <v>1.0455000000000001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1912</v>
      </c>
      <c r="B49" s="805" t="s">
        <v>1913</v>
      </c>
      <c r="C49" s="805" t="s">
        <v>1914</v>
      </c>
      <c r="D49" s="805" t="s">
        <v>1915</v>
      </c>
      <c r="E49" s="806" t="s">
        <v>1916</v>
      </c>
      <c r="F49" s="807" t="s">
        <v>1917</v>
      </c>
      <c r="G49" s="805" t="s">
        <v>1736</v>
      </c>
      <c r="H49" s="808" t="s">
        <v>1918</v>
      </c>
      <c r="I49" s="805" t="s">
        <v>1919</v>
      </c>
      <c r="J49" s="809" t="s">
        <v>1449</v>
      </c>
      <c r="K49" s="809" t="s">
        <v>1450</v>
      </c>
      <c r="L49" s="809" t="s">
        <v>1451</v>
      </c>
      <c r="M49" s="809" t="s">
        <v>1452</v>
      </c>
      <c r="N49" s="809" t="s">
        <v>1453</v>
      </c>
      <c r="AA49" s="625"/>
      <c r="AB49" s="625"/>
      <c r="AC49" s="625"/>
      <c r="AD49" s="625"/>
      <c r="AE49" s="625"/>
      <c r="AF49" s="625"/>
      <c r="AG49" s="625"/>
      <c r="AH49" s="625"/>
      <c r="AI49" s="625"/>
      <c r="AJ49" s="625"/>
      <c r="AK49" s="625"/>
    </row>
    <row r="50" spans="1:37" s="504" customFormat="1" ht="24.75">
      <c r="A50" s="804" t="s">
        <v>1920</v>
      </c>
      <c r="B50" s="810">
        <f>估价对象房地状况!C4</f>
        <v>0</v>
      </c>
      <c r="C50" s="610" t="s">
        <v>1412</v>
      </c>
      <c r="D50" s="811">
        <f t="shared" ref="D50:D58" si="7">SUMIF($J$49:$N$49,C50,J50:N50)</f>
        <v>1.5699999999999999E-2</v>
      </c>
      <c r="E50" s="812">
        <f>ROUND(SUM(D50:D58),4)</f>
        <v>4.5499999999999999E-2</v>
      </c>
      <c r="F50" s="813">
        <f>IF(E2="商业",SUMIF(L1:L12,G2,N1:N12),"——")</f>
        <v>0.105</v>
      </c>
      <c r="G50" s="814">
        <f>H50</f>
        <v>1.5699999999999999E-2</v>
      </c>
      <c r="H50" s="815">
        <f t="shared" ref="H50:H58" si="8">IFERROR(ROUNDDOWN($F$50*I50/2,4),"——")</f>
        <v>1.5699999999999999E-2</v>
      </c>
      <c r="I50" s="816">
        <v>0.3</v>
      </c>
      <c r="J50" s="817">
        <f t="shared" ref="J50:J58" si="9">K50+$G50</f>
        <v>3.1399999999999997E-2</v>
      </c>
      <c r="K50" s="817">
        <f t="shared" ref="K50:K58" si="10">$L50+$G50</f>
        <v>1.5699999999999999E-2</v>
      </c>
      <c r="L50" s="817">
        <v>0</v>
      </c>
      <c r="M50" s="817">
        <f t="shared" ref="M50:N58" si="11">L50-$G50</f>
        <v>-1.5699999999999999E-2</v>
      </c>
      <c r="N50" s="817">
        <f t="shared" si="11"/>
        <v>-3.1399999999999997E-2</v>
      </c>
      <c r="AA50" s="625"/>
      <c r="AB50" s="625"/>
      <c r="AC50" s="625"/>
      <c r="AD50" s="625"/>
      <c r="AE50" s="625"/>
      <c r="AF50" s="625"/>
      <c r="AG50" s="625"/>
      <c r="AH50" s="625"/>
      <c r="AI50" s="625"/>
      <c r="AJ50" s="625"/>
      <c r="AK50" s="625"/>
    </row>
    <row r="51" spans="1:37" s="504" customFormat="1" ht="14.25">
      <c r="A51" s="804" t="s">
        <v>1921</v>
      </c>
      <c r="B51" s="805">
        <f>估价对象房地状况!C18</f>
        <v>0</v>
      </c>
      <c r="C51" s="610" t="s">
        <v>1412</v>
      </c>
      <c r="D51" s="811">
        <f t="shared" si="7"/>
        <v>1.15E-2</v>
      </c>
      <c r="E51" s="818"/>
      <c r="F51" s="813"/>
      <c r="G51" s="814">
        <f t="shared" ref="G51:G58" si="12">H51</f>
        <v>1.15E-2</v>
      </c>
      <c r="H51" s="815">
        <f t="shared" si="8"/>
        <v>1.15E-2</v>
      </c>
      <c r="I51" s="816">
        <v>0.22</v>
      </c>
      <c r="J51" s="817">
        <f t="shared" si="9"/>
        <v>2.3E-2</v>
      </c>
      <c r="K51" s="817">
        <f t="shared" si="10"/>
        <v>1.15E-2</v>
      </c>
      <c r="L51" s="817">
        <v>0</v>
      </c>
      <c r="M51" s="817">
        <f t="shared" si="11"/>
        <v>-1.15E-2</v>
      </c>
      <c r="N51" s="817">
        <f t="shared" si="11"/>
        <v>-2.3E-2</v>
      </c>
      <c r="AA51" s="625"/>
      <c r="AB51" s="625"/>
      <c r="AC51" s="625"/>
      <c r="AD51" s="625"/>
      <c r="AE51" s="625"/>
      <c r="AF51" s="625"/>
      <c r="AG51" s="625"/>
      <c r="AH51" s="625"/>
      <c r="AI51" s="625"/>
      <c r="AJ51" s="625"/>
      <c r="AK51" s="625"/>
    </row>
    <row r="52" spans="1:37" s="504" customFormat="1" ht="36">
      <c r="A52" s="819" t="s">
        <v>1922</v>
      </c>
      <c r="B52" s="805">
        <f>估价对象房地状况!C19</f>
        <v>0</v>
      </c>
      <c r="C52" s="610" t="s">
        <v>1412</v>
      </c>
      <c r="D52" s="811">
        <f t="shared" si="7"/>
        <v>6.3E-3</v>
      </c>
      <c r="E52" s="818"/>
      <c r="F52" s="813"/>
      <c r="G52" s="814">
        <f t="shared" si="12"/>
        <v>6.3E-3</v>
      </c>
      <c r="H52" s="815">
        <f t="shared" si="8"/>
        <v>6.3E-3</v>
      </c>
      <c r="I52" s="816">
        <v>0.12</v>
      </c>
      <c r="J52" s="817">
        <f t="shared" si="9"/>
        <v>1.26E-2</v>
      </c>
      <c r="K52" s="817">
        <f t="shared" si="10"/>
        <v>6.3E-3</v>
      </c>
      <c r="L52" s="817">
        <v>0</v>
      </c>
      <c r="M52" s="817">
        <f t="shared" si="11"/>
        <v>-6.3E-3</v>
      </c>
      <c r="N52" s="817">
        <f t="shared" si="11"/>
        <v>-1.26E-2</v>
      </c>
      <c r="AA52" s="625"/>
      <c r="AB52" s="625"/>
      <c r="AC52" s="625"/>
      <c r="AD52" s="625"/>
      <c r="AE52" s="625"/>
      <c r="AF52" s="625"/>
      <c r="AG52" s="625"/>
      <c r="AH52" s="625"/>
      <c r="AI52" s="625"/>
      <c r="AJ52" s="625"/>
      <c r="AK52" s="625"/>
    </row>
    <row r="53" spans="1:37" s="504" customFormat="1" ht="36.75">
      <c r="A53" s="804" t="s">
        <v>1923</v>
      </c>
      <c r="B53" s="820" t="s">
        <v>1924</v>
      </c>
      <c r="C53" s="610" t="s">
        <v>1407</v>
      </c>
      <c r="D53" s="811">
        <f t="shared" si="7"/>
        <v>0</v>
      </c>
      <c r="E53" s="818"/>
      <c r="F53" s="813"/>
      <c r="G53" s="814">
        <f t="shared" si="12"/>
        <v>2.5999999999999999E-3</v>
      </c>
      <c r="H53" s="815">
        <f t="shared" si="8"/>
        <v>2.5999999999999999E-3</v>
      </c>
      <c r="I53" s="816">
        <v>0.05</v>
      </c>
      <c r="J53" s="817">
        <f t="shared" si="9"/>
        <v>5.1999999999999998E-3</v>
      </c>
      <c r="K53" s="817">
        <f t="shared" si="10"/>
        <v>2.5999999999999999E-3</v>
      </c>
      <c r="L53" s="817">
        <v>0</v>
      </c>
      <c r="M53" s="817">
        <f t="shared" si="11"/>
        <v>-2.5999999999999999E-3</v>
      </c>
      <c r="N53" s="817">
        <f t="shared" si="11"/>
        <v>-5.1999999999999998E-3</v>
      </c>
      <c r="AA53" s="625"/>
      <c r="AB53" s="625"/>
      <c r="AC53" s="625"/>
      <c r="AD53" s="625"/>
      <c r="AE53" s="625"/>
      <c r="AF53" s="625"/>
      <c r="AG53" s="625"/>
      <c r="AH53" s="625"/>
      <c r="AI53" s="625"/>
      <c r="AJ53" s="625"/>
      <c r="AK53" s="625"/>
    </row>
    <row r="54" spans="1:37" s="504" customFormat="1" ht="24">
      <c r="A54" s="804" t="s">
        <v>1925</v>
      </c>
      <c r="B54" s="805">
        <f>估价对象房地状况!C24</f>
        <v>0</v>
      </c>
      <c r="C54" s="610" t="s">
        <v>1480</v>
      </c>
      <c r="D54" s="811">
        <f t="shared" si="7"/>
        <v>-4.1999999999999997E-3</v>
      </c>
      <c r="E54" s="818"/>
      <c r="F54" s="813"/>
      <c r="G54" s="814">
        <f t="shared" si="12"/>
        <v>4.1999999999999997E-3</v>
      </c>
      <c r="H54" s="815">
        <f t="shared" si="8"/>
        <v>4.1999999999999997E-3</v>
      </c>
      <c r="I54" s="816">
        <v>0.08</v>
      </c>
      <c r="J54" s="817">
        <f t="shared" si="9"/>
        <v>8.3999999999999995E-3</v>
      </c>
      <c r="K54" s="817">
        <f t="shared" si="10"/>
        <v>4.1999999999999997E-3</v>
      </c>
      <c r="L54" s="817">
        <v>0</v>
      </c>
      <c r="M54" s="817">
        <f t="shared" si="11"/>
        <v>-4.1999999999999997E-3</v>
      </c>
      <c r="N54" s="817">
        <f t="shared" si="11"/>
        <v>-8.3999999999999995E-3</v>
      </c>
      <c r="AA54" s="625"/>
      <c r="AB54" s="625"/>
      <c r="AC54" s="625"/>
      <c r="AD54" s="625"/>
      <c r="AE54" s="625"/>
      <c r="AF54" s="625"/>
      <c r="AG54" s="625"/>
      <c r="AH54" s="625"/>
      <c r="AI54" s="625"/>
      <c r="AJ54" s="625"/>
      <c r="AK54" s="625"/>
    </row>
    <row r="55" spans="1:37" s="504" customFormat="1" ht="24">
      <c r="A55" s="804" t="s">
        <v>1926</v>
      </c>
      <c r="B55" s="821" t="s">
        <v>1927</v>
      </c>
      <c r="C55" s="610" t="s">
        <v>1412</v>
      </c>
      <c r="D55" s="811">
        <f t="shared" si="7"/>
        <v>2.5999999999999999E-3</v>
      </c>
      <c r="E55" s="818"/>
      <c r="F55" s="813"/>
      <c r="G55" s="814">
        <f t="shared" si="12"/>
        <v>2.5999999999999999E-3</v>
      </c>
      <c r="H55" s="815">
        <f t="shared" si="8"/>
        <v>2.5999999999999999E-3</v>
      </c>
      <c r="I55" s="816">
        <v>0.05</v>
      </c>
      <c r="J55" s="817">
        <f t="shared" si="9"/>
        <v>5.1999999999999998E-3</v>
      </c>
      <c r="K55" s="817">
        <f t="shared" si="10"/>
        <v>2.5999999999999999E-3</v>
      </c>
      <c r="L55" s="817">
        <v>0</v>
      </c>
      <c r="M55" s="817">
        <f t="shared" si="11"/>
        <v>-2.5999999999999999E-3</v>
      </c>
      <c r="N55" s="817">
        <f t="shared" si="11"/>
        <v>-5.1999999999999998E-3</v>
      </c>
      <c r="AA55" s="625"/>
      <c r="AB55" s="625"/>
      <c r="AC55" s="625"/>
      <c r="AD55" s="625"/>
      <c r="AE55" s="625"/>
      <c r="AF55" s="625"/>
      <c r="AG55" s="625"/>
      <c r="AH55" s="625"/>
      <c r="AI55" s="625"/>
      <c r="AJ55" s="625"/>
      <c r="AK55" s="625"/>
    </row>
    <row r="56" spans="1:37" s="504" customFormat="1" ht="24">
      <c r="A56" s="822" t="s">
        <v>1928</v>
      </c>
      <c r="B56" s="823">
        <f>估价对象房地状况!C21</f>
        <v>0</v>
      </c>
      <c r="C56" s="610" t="s">
        <v>1412</v>
      </c>
      <c r="D56" s="811">
        <f t="shared" si="7"/>
        <v>2.5999999999999999E-3</v>
      </c>
      <c r="E56" s="818"/>
      <c r="F56" s="813"/>
      <c r="G56" s="814">
        <f t="shared" si="12"/>
        <v>2.5999999999999999E-3</v>
      </c>
      <c r="H56" s="815">
        <f t="shared" si="8"/>
        <v>2.5999999999999999E-3</v>
      </c>
      <c r="I56" s="816">
        <v>0.05</v>
      </c>
      <c r="J56" s="817">
        <f t="shared" si="9"/>
        <v>5.1999999999999998E-3</v>
      </c>
      <c r="K56" s="817">
        <f t="shared" si="10"/>
        <v>2.5999999999999999E-3</v>
      </c>
      <c r="L56" s="817">
        <v>0</v>
      </c>
      <c r="M56" s="817">
        <f t="shared" si="11"/>
        <v>-2.5999999999999999E-3</v>
      </c>
      <c r="N56" s="817">
        <f t="shared" si="11"/>
        <v>-5.1999999999999998E-3</v>
      </c>
      <c r="AA56" s="625"/>
      <c r="AB56" s="625"/>
      <c r="AC56" s="625"/>
      <c r="AD56" s="625"/>
      <c r="AE56" s="625"/>
      <c r="AF56" s="625"/>
      <c r="AG56" s="625"/>
      <c r="AH56" s="625"/>
      <c r="AI56" s="625"/>
      <c r="AJ56" s="625"/>
      <c r="AK56" s="625"/>
    </row>
    <row r="57" spans="1:37" s="504" customFormat="1" ht="24">
      <c r="A57" s="822" t="s">
        <v>1929</v>
      </c>
      <c r="B57" s="805">
        <f>估价对象房地状况!C22</f>
        <v>0</v>
      </c>
      <c r="C57" s="610" t="s">
        <v>1479</v>
      </c>
      <c r="D57" s="811">
        <f t="shared" si="7"/>
        <v>8.3999999999999995E-3</v>
      </c>
      <c r="E57" s="818"/>
      <c r="F57" s="813"/>
      <c r="G57" s="814">
        <f t="shared" si="12"/>
        <v>4.1999999999999997E-3</v>
      </c>
      <c r="H57" s="815">
        <f t="shared" si="8"/>
        <v>4.1999999999999997E-3</v>
      </c>
      <c r="I57" s="816">
        <v>0.08</v>
      </c>
      <c r="J57" s="817">
        <f t="shared" si="9"/>
        <v>8.3999999999999995E-3</v>
      </c>
      <c r="K57" s="817">
        <f t="shared" si="10"/>
        <v>4.1999999999999997E-3</v>
      </c>
      <c r="L57" s="817">
        <v>0</v>
      </c>
      <c r="M57" s="817">
        <f t="shared" si="11"/>
        <v>-4.1999999999999997E-3</v>
      </c>
      <c r="N57" s="817">
        <f t="shared" si="11"/>
        <v>-8.3999999999999995E-3</v>
      </c>
      <c r="AA57" s="625"/>
      <c r="AB57" s="625"/>
      <c r="AC57" s="625"/>
      <c r="AD57" s="625"/>
      <c r="AE57" s="625"/>
      <c r="AF57" s="625"/>
      <c r="AG57" s="625"/>
      <c r="AH57" s="625"/>
      <c r="AI57" s="625"/>
      <c r="AJ57" s="625"/>
      <c r="AK57" s="625"/>
    </row>
    <row r="58" spans="1:37" s="504" customFormat="1" ht="24">
      <c r="A58" s="824" t="s">
        <v>1930</v>
      </c>
      <c r="B58" s="825">
        <f>估价对象房地状况!C20</f>
        <v>0</v>
      </c>
      <c r="C58" s="610" t="s">
        <v>1412</v>
      </c>
      <c r="D58" s="811">
        <f t="shared" si="7"/>
        <v>2.5999999999999999E-3</v>
      </c>
      <c r="E58" s="826"/>
      <c r="F58" s="813"/>
      <c r="G58" s="814">
        <f t="shared" si="12"/>
        <v>2.5999999999999999E-3</v>
      </c>
      <c r="H58" s="815">
        <f t="shared" si="8"/>
        <v>2.5999999999999999E-3</v>
      </c>
      <c r="I58" s="827">
        <v>0.05</v>
      </c>
      <c r="J58" s="817">
        <f t="shared" si="9"/>
        <v>5.1999999999999998E-3</v>
      </c>
      <c r="K58" s="817">
        <f t="shared" si="10"/>
        <v>2.5999999999999999E-3</v>
      </c>
      <c r="L58" s="817">
        <v>0</v>
      </c>
      <c r="M58" s="817">
        <f t="shared" si="11"/>
        <v>-2.5999999999999999E-3</v>
      </c>
      <c r="N58" s="817">
        <f t="shared" si="11"/>
        <v>-5.1999999999999998E-3</v>
      </c>
      <c r="AA58" s="625"/>
      <c r="AB58" s="625"/>
      <c r="AC58" s="625"/>
      <c r="AD58" s="625"/>
      <c r="AE58" s="625"/>
      <c r="AF58" s="625"/>
      <c r="AG58" s="625"/>
      <c r="AH58" s="625"/>
      <c r="AI58" s="625"/>
      <c r="AJ58" s="625"/>
      <c r="AK58" s="625"/>
    </row>
    <row r="59" spans="1:37" s="504" customFormat="1" ht="15">
      <c r="A59" s="798" t="s">
        <v>1931</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1912</v>
      </c>
      <c r="B60" s="805"/>
      <c r="C60" s="805" t="s">
        <v>1914</v>
      </c>
      <c r="D60" s="805" t="s">
        <v>1915</v>
      </c>
      <c r="E60" s="806" t="s">
        <v>1916</v>
      </c>
      <c r="F60" s="807" t="s">
        <v>1932</v>
      </c>
      <c r="G60" s="805" t="s">
        <v>1736</v>
      </c>
      <c r="H60" s="808" t="s">
        <v>1918</v>
      </c>
      <c r="I60" s="805" t="s">
        <v>1919</v>
      </c>
      <c r="J60" s="809" t="s">
        <v>1449</v>
      </c>
      <c r="K60" s="809" t="s">
        <v>1450</v>
      </c>
      <c r="L60" s="809" t="s">
        <v>1451</v>
      </c>
      <c r="M60" s="809" t="s">
        <v>1452</v>
      </c>
      <c r="N60" s="809" t="s">
        <v>1453</v>
      </c>
      <c r="AA60" s="625"/>
      <c r="AB60" s="625"/>
      <c r="AC60" s="625"/>
      <c r="AD60" s="625"/>
      <c r="AE60" s="625"/>
      <c r="AF60" s="625"/>
      <c r="AG60" s="625"/>
      <c r="AH60" s="625"/>
      <c r="AI60" s="625"/>
      <c r="AJ60" s="625"/>
      <c r="AK60" s="625"/>
    </row>
    <row r="61" spans="1:37" s="504" customFormat="1" ht="24">
      <c r="A61" s="804" t="s">
        <v>1933</v>
      </c>
      <c r="B61" s="810">
        <f>估价对象房地状况!C17</f>
        <v>0</v>
      </c>
      <c r="C61" s="610" t="s">
        <v>1412</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1921</v>
      </c>
      <c r="B62" s="805">
        <f>估价对象房地状况!C18</f>
        <v>0</v>
      </c>
      <c r="C62" s="610" t="s">
        <v>1479</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1922</v>
      </c>
      <c r="B63" s="805">
        <f>估价对象房地状况!C19</f>
        <v>0</v>
      </c>
      <c r="C63" s="610" t="s">
        <v>1412</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1923</v>
      </c>
      <c r="B64" s="820" t="s">
        <v>1924</v>
      </c>
      <c r="C64" s="610" t="s">
        <v>1412</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1925</v>
      </c>
      <c r="B65" s="805">
        <f>估价对象房地状况!C24</f>
        <v>0</v>
      </c>
      <c r="C65" s="610" t="s">
        <v>1412</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1926</v>
      </c>
      <c r="B66" s="821" t="s">
        <v>1927</v>
      </c>
      <c r="C66" s="610" t="s">
        <v>1412</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1928</v>
      </c>
      <c r="B67" s="823">
        <f>估价对象房地状况!C21</f>
        <v>0</v>
      </c>
      <c r="C67" s="610" t="s">
        <v>1412</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1929</v>
      </c>
      <c r="B68" s="823">
        <f>估价对象房地状况!C22</f>
        <v>0</v>
      </c>
      <c r="C68" s="610" t="s">
        <v>1479</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1930</v>
      </c>
      <c r="B69" s="828">
        <f>估价对象房地状况!C20</f>
        <v>0</v>
      </c>
      <c r="C69" s="610" t="s">
        <v>1412</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1934</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1912</v>
      </c>
      <c r="B71" s="805"/>
      <c r="C71" s="805" t="s">
        <v>1914</v>
      </c>
      <c r="D71" s="805" t="s">
        <v>1915</v>
      </c>
      <c r="E71" s="806" t="s">
        <v>1916</v>
      </c>
      <c r="F71" s="807" t="s">
        <v>1932</v>
      </c>
      <c r="G71" s="805" t="s">
        <v>1736</v>
      </c>
      <c r="H71" s="808" t="s">
        <v>1918</v>
      </c>
      <c r="I71" s="805" t="s">
        <v>1919</v>
      </c>
      <c r="J71" s="809" t="s">
        <v>1449</v>
      </c>
      <c r="K71" s="809" t="s">
        <v>1450</v>
      </c>
      <c r="L71" s="809" t="s">
        <v>1451</v>
      </c>
      <c r="M71" s="809" t="s">
        <v>1452</v>
      </c>
      <c r="N71" s="809" t="s">
        <v>1453</v>
      </c>
      <c r="AA71" s="625"/>
      <c r="AB71" s="625"/>
      <c r="AC71" s="625"/>
      <c r="AD71" s="625"/>
      <c r="AE71" s="625"/>
      <c r="AF71" s="625"/>
      <c r="AG71" s="625"/>
      <c r="AH71" s="625"/>
      <c r="AI71" s="625"/>
      <c r="AJ71" s="625"/>
      <c r="AK71" s="625"/>
    </row>
    <row r="72" spans="1:37" s="504" customFormat="1" ht="24">
      <c r="A72" s="804" t="s">
        <v>1935</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1921</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1922</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1936</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1928</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1929</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1926</v>
      </c>
      <c r="B78" s="821" t="s">
        <v>1927</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1930</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1937</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1938</v>
      </c>
      <c r="B81" s="799">
        <f>1+E83</f>
        <v>1</v>
      </c>
      <c r="C81" s="801"/>
      <c r="D81" s="801"/>
      <c r="E81" s="802"/>
      <c r="F81" s="803"/>
      <c r="G81" s="599"/>
      <c r="H81" s="599"/>
      <c r="I81" s="599"/>
      <c r="J81" s="600"/>
      <c r="K81" s="600"/>
      <c r="L81" s="600"/>
      <c r="M81" s="600"/>
      <c r="N81" s="600"/>
      <c r="Z81" s="508"/>
      <c r="AA81" s="506"/>
      <c r="AG81" s="510"/>
      <c r="AK81" s="506"/>
    </row>
    <row r="82" spans="1:37" ht="24.75">
      <c r="A82" s="804" t="s">
        <v>1912</v>
      </c>
      <c r="B82" s="805"/>
      <c r="C82" s="805" t="s">
        <v>1914</v>
      </c>
      <c r="D82" s="805" t="s">
        <v>1915</v>
      </c>
      <c r="E82" s="806" t="s">
        <v>1916</v>
      </c>
      <c r="F82" s="807" t="s">
        <v>1932</v>
      </c>
      <c r="G82" s="805" t="s">
        <v>1736</v>
      </c>
      <c r="H82" s="808" t="s">
        <v>1918</v>
      </c>
      <c r="I82" s="805" t="s">
        <v>1919</v>
      </c>
      <c r="J82" s="809" t="s">
        <v>1449</v>
      </c>
      <c r="K82" s="809" t="s">
        <v>1450</v>
      </c>
      <c r="L82" s="809" t="s">
        <v>1451</v>
      </c>
      <c r="M82" s="809" t="s">
        <v>1452</v>
      </c>
      <c r="N82" s="809" t="s">
        <v>1453</v>
      </c>
      <c r="Z82" s="508"/>
      <c r="AA82" s="506"/>
      <c r="AG82" s="510"/>
      <c r="AK82" s="506"/>
    </row>
    <row r="83" spans="1:37" ht="38.25">
      <c r="A83" s="804" t="s">
        <v>1939</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1921</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1922</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1936</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1928</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1929</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1926</v>
      </c>
      <c r="B89" s="821" t="s">
        <v>1940</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1941</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1912</v>
      </c>
      <c r="B92" s="627"/>
      <c r="C92" s="627" t="s">
        <v>1914</v>
      </c>
      <c r="D92" s="627" t="s">
        <v>1915</v>
      </c>
      <c r="E92" s="740" t="s">
        <v>1916</v>
      </c>
      <c r="F92" s="842" t="s">
        <v>1932</v>
      </c>
      <c r="G92" s="627" t="s">
        <v>1736</v>
      </c>
      <c r="H92" s="843" t="s">
        <v>1918</v>
      </c>
      <c r="I92" s="627" t="s">
        <v>1919</v>
      </c>
      <c r="J92" s="844" t="s">
        <v>1449</v>
      </c>
      <c r="K92" s="844" t="s">
        <v>1450</v>
      </c>
      <c r="L92" s="844" t="s">
        <v>1451</v>
      </c>
      <c r="M92" s="844" t="s">
        <v>1452</v>
      </c>
      <c r="N92" s="844" t="s">
        <v>1453</v>
      </c>
    </row>
    <row r="93" spans="1:37" ht="24">
      <c r="A93" s="819" t="s">
        <v>1942</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1921</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1922</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1923</v>
      </c>
      <c r="B96" s="850" t="s">
        <v>1924</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1925</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1926</v>
      </c>
      <c r="B98" s="851" t="s">
        <v>1927</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1928</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1929</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1930</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1943</v>
      </c>
      <c r="B103" s="3472"/>
      <c r="C103" s="3472"/>
      <c r="D103" s="3472"/>
      <c r="E103" s="3472"/>
      <c r="F103" s="3472"/>
      <c r="G103" s="3472"/>
      <c r="H103" s="3472"/>
      <c r="I103" s="3472"/>
      <c r="J103" s="3472"/>
      <c r="K103" s="855"/>
      <c r="L103" s="855"/>
      <c r="M103" s="855"/>
      <c r="N103" s="855"/>
    </row>
    <row r="104" spans="1:14">
      <c r="A104" s="3478" t="s">
        <v>1944</v>
      </c>
      <c r="B104" s="3478" t="s">
        <v>1945</v>
      </c>
      <c r="C104" s="857" t="s">
        <v>1946</v>
      </c>
      <c r="D104" s="858"/>
      <c r="E104" s="858"/>
      <c r="F104" s="858"/>
      <c r="G104" s="858"/>
      <c r="H104" s="858"/>
      <c r="I104" s="858"/>
      <c r="J104" s="859"/>
      <c r="K104" s="860"/>
      <c r="L104" s="860"/>
      <c r="M104" s="860"/>
      <c r="N104" s="860"/>
    </row>
    <row r="105" spans="1:14">
      <c r="A105" s="3478"/>
      <c r="B105" s="3478"/>
      <c r="C105" s="856" t="s">
        <v>1794</v>
      </c>
      <c r="D105" s="856" t="s">
        <v>1795</v>
      </c>
      <c r="E105" s="856" t="s">
        <v>1796</v>
      </c>
      <c r="F105" s="856" t="s">
        <v>1797</v>
      </c>
      <c r="G105" s="856" t="s">
        <v>1798</v>
      </c>
      <c r="H105" s="856" t="s">
        <v>1799</v>
      </c>
      <c r="I105" s="856" t="s">
        <v>1800</v>
      </c>
      <c r="J105" s="856" t="s">
        <v>1801</v>
      </c>
      <c r="K105" s="856" t="s">
        <v>1802</v>
      </c>
      <c r="L105" s="856" t="s">
        <v>1803</v>
      </c>
      <c r="M105" s="856" t="s">
        <v>1804</v>
      </c>
      <c r="N105" s="856" t="s">
        <v>1805</v>
      </c>
    </row>
    <row r="106" spans="1:14">
      <c r="A106" s="3479" t="s">
        <v>1947</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1810</v>
      </c>
      <c r="C111" s="861">
        <f>$I$3</f>
        <v>1</v>
      </c>
      <c r="D111" s="861">
        <f t="shared" ref="D111:N111" si="34">$I$3</f>
        <v>1</v>
      </c>
      <c r="E111" s="861">
        <f t="shared" si="34"/>
        <v>1</v>
      </c>
      <c r="F111" s="861">
        <f t="shared" si="34"/>
        <v>1</v>
      </c>
      <c r="G111" s="861">
        <f t="shared" si="34"/>
        <v>1</v>
      </c>
      <c r="H111" s="861">
        <f t="shared" si="34"/>
        <v>1</v>
      </c>
      <c r="I111" s="861">
        <f t="shared" si="34"/>
        <v>1</v>
      </c>
      <c r="J111" s="861">
        <f t="shared" si="34"/>
        <v>1</v>
      </c>
      <c r="K111" s="861">
        <f t="shared" si="34"/>
        <v>1</v>
      </c>
      <c r="L111" s="861">
        <f t="shared" si="34"/>
        <v>1</v>
      </c>
      <c r="M111" s="861">
        <f t="shared" si="34"/>
        <v>1</v>
      </c>
      <c r="N111" s="861">
        <f t="shared" si="34"/>
        <v>1</v>
      </c>
    </row>
    <row r="112" spans="1:14">
      <c r="A112" s="3481"/>
      <c r="B112" s="856">
        <v>6</v>
      </c>
      <c r="C112" s="843">
        <f>(-0.5556*(C111^2)-0.2719*C111+8944)*(10^(-4))</f>
        <v>0.89431724999999995</v>
      </c>
      <c r="D112" s="843">
        <f>(-0.5556*(D111^2)-0.2719*D111+8944)*(10^(-4))</f>
        <v>0.89431724999999995</v>
      </c>
      <c r="E112" s="843">
        <f>(-0.7912*(E111^2)-11.3794*E111+8482)*(10^(-4))</f>
        <v>0.84698293999999996</v>
      </c>
      <c r="F112" s="843">
        <f t="shared" ref="F112:I112" si="35">(-0.7912*(F111^2)-11.3794*F111+8482)*(10^(-4))</f>
        <v>0.84698293999999996</v>
      </c>
      <c r="G112" s="843">
        <f t="shared" si="35"/>
        <v>0.84698293999999996</v>
      </c>
      <c r="H112" s="843">
        <f t="shared" si="35"/>
        <v>0.84698293999999996</v>
      </c>
      <c r="I112" s="843">
        <f t="shared" si="35"/>
        <v>0.84698293999999996</v>
      </c>
      <c r="J112" s="843">
        <f>(-0.989*(J111^2)-63.78*J111+7771)*(10^(-4))</f>
        <v>0.77062310000000001</v>
      </c>
      <c r="K112" s="843">
        <f t="shared" ref="K112:N112" si="36">(-0.989*(K111^2)-63.78*K111+7771)*(10^(-4))</f>
        <v>0.77062310000000001</v>
      </c>
      <c r="L112" s="843">
        <f t="shared" si="36"/>
        <v>0.77062310000000001</v>
      </c>
      <c r="M112" s="843">
        <f t="shared" si="36"/>
        <v>0.77062310000000001</v>
      </c>
      <c r="N112" s="843">
        <f t="shared" si="36"/>
        <v>0.77062310000000001</v>
      </c>
    </row>
    <row r="113" spans="1:14">
      <c r="A113" s="3473" t="s">
        <v>1948</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1949</v>
      </c>
      <c r="B116" s="865">
        <f>G3</f>
        <v>2.5</v>
      </c>
      <c r="C116" s="866" t="s">
        <v>1950</v>
      </c>
      <c r="D116" s="867">
        <f>SUMPRODUCT((A118:A122=F116)*(B117:M117=H116)*B118:M122)</f>
        <v>0.91400000000000003</v>
      </c>
      <c r="E116" s="522" t="s">
        <v>1768</v>
      </c>
      <c r="F116" s="868" t="str">
        <f>E2</f>
        <v>商业</v>
      </c>
      <c r="G116" s="522" t="s">
        <v>1769</v>
      </c>
      <c r="H116" s="868" t="str">
        <f>G2</f>
        <v>六级</v>
      </c>
      <c r="I116" s="522"/>
      <c r="J116" s="869"/>
      <c r="K116" s="869"/>
      <c r="L116" s="869"/>
      <c r="M116" s="869"/>
      <c r="N116" s="863"/>
    </row>
    <row r="117" spans="1:14">
      <c r="A117" s="870"/>
      <c r="B117" s="871" t="s">
        <v>1951</v>
      </c>
      <c r="C117" s="871" t="s">
        <v>1952</v>
      </c>
      <c r="D117" s="871" t="s">
        <v>1953</v>
      </c>
      <c r="E117" s="872" t="s">
        <v>1954</v>
      </c>
      <c r="F117" s="872" t="s">
        <v>1955</v>
      </c>
      <c r="G117" s="872" t="s">
        <v>1956</v>
      </c>
      <c r="H117" s="873" t="s">
        <v>1957</v>
      </c>
      <c r="I117" s="873" t="s">
        <v>1958</v>
      </c>
      <c r="J117" s="874" t="s">
        <v>1959</v>
      </c>
      <c r="K117" s="874" t="s">
        <v>1960</v>
      </c>
      <c r="L117" s="874" t="s">
        <v>1961</v>
      </c>
      <c r="M117" s="875" t="s">
        <v>1962</v>
      </c>
      <c r="N117" s="863"/>
    </row>
    <row r="118" spans="1:14">
      <c r="A118" s="739" t="s">
        <v>1881</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7">I118</f>
        <v>0.80359999999999998</v>
      </c>
      <c r="K118" s="843">
        <f t="shared" si="37"/>
        <v>0.80359999999999998</v>
      </c>
      <c r="L118" s="843">
        <f t="shared" si="37"/>
        <v>0.80359999999999998</v>
      </c>
      <c r="M118" s="876">
        <f t="shared" si="37"/>
        <v>0.80359999999999998</v>
      </c>
      <c r="N118" s="863"/>
    </row>
    <row r="119" spans="1:14">
      <c r="A119" s="739" t="s">
        <v>1882</v>
      </c>
      <c r="B119" s="843">
        <f>ROUND(0.993-0.0112*B116,4)</f>
        <v>0.96499999999999997</v>
      </c>
      <c r="C119" s="843">
        <f>B119</f>
        <v>0.96499999999999997</v>
      </c>
      <c r="D119" s="843">
        <f>ROUND(0.9415-0.0142*B116,4)</f>
        <v>0.90600000000000003</v>
      </c>
      <c r="E119" s="843">
        <f t="shared" ref="E119:H120" si="38">D119</f>
        <v>0.90600000000000003</v>
      </c>
      <c r="F119" s="843">
        <f t="shared" si="38"/>
        <v>0.90600000000000003</v>
      </c>
      <c r="G119" s="843">
        <f t="shared" si="38"/>
        <v>0.90600000000000003</v>
      </c>
      <c r="H119" s="843">
        <f t="shared" si="38"/>
        <v>0.90600000000000003</v>
      </c>
      <c r="I119" s="843">
        <f>ROUND(0.838-0.0182*B116,4)</f>
        <v>0.79249999999999998</v>
      </c>
      <c r="J119" s="843">
        <f t="shared" si="37"/>
        <v>0.79249999999999998</v>
      </c>
      <c r="K119" s="843">
        <f t="shared" si="37"/>
        <v>0.79249999999999998</v>
      </c>
      <c r="L119" s="843">
        <f t="shared" si="37"/>
        <v>0.79249999999999998</v>
      </c>
      <c r="M119" s="876">
        <f t="shared" si="37"/>
        <v>0.79249999999999998</v>
      </c>
      <c r="N119" s="863"/>
    </row>
    <row r="120" spans="1:14">
      <c r="A120" s="739" t="s">
        <v>1883</v>
      </c>
      <c r="B120" s="843">
        <f>ROUND(0.9448-0.0115*B116,4)</f>
        <v>0.91610000000000003</v>
      </c>
      <c r="C120" s="843">
        <f>B120</f>
        <v>0.91610000000000003</v>
      </c>
      <c r="D120" s="843">
        <f>ROUND(0.937-0.0145*B116,4)</f>
        <v>0.90080000000000005</v>
      </c>
      <c r="E120" s="843">
        <f t="shared" si="38"/>
        <v>0.90080000000000005</v>
      </c>
      <c r="F120" s="843">
        <f t="shared" si="38"/>
        <v>0.90080000000000005</v>
      </c>
      <c r="G120" s="843">
        <f t="shared" si="38"/>
        <v>0.90080000000000005</v>
      </c>
      <c r="H120" s="843">
        <f t="shared" si="38"/>
        <v>0.90080000000000005</v>
      </c>
      <c r="I120" s="843">
        <f>ROUND(0.7965-0.0185*B116,4)</f>
        <v>0.75029999999999997</v>
      </c>
      <c r="J120" s="843">
        <f t="shared" si="37"/>
        <v>0.75029999999999997</v>
      </c>
      <c r="K120" s="843">
        <f t="shared" si="37"/>
        <v>0.75029999999999997</v>
      </c>
      <c r="L120" s="843">
        <f t="shared" si="37"/>
        <v>0.75029999999999997</v>
      </c>
      <c r="M120" s="876">
        <f t="shared" si="37"/>
        <v>0.75029999999999997</v>
      </c>
      <c r="N120" s="863"/>
    </row>
    <row r="121" spans="1:14">
      <c r="A121" s="877" t="s">
        <v>1884</v>
      </c>
      <c r="B121" s="878">
        <f>ROUND(0.7836-0.012*B116,4)</f>
        <v>0.75360000000000005</v>
      </c>
      <c r="C121" s="878">
        <f>B121</f>
        <v>0.75360000000000005</v>
      </c>
      <c r="D121" s="878">
        <f>ROUND(0.753-0.015*B116,4)</f>
        <v>0.71550000000000002</v>
      </c>
      <c r="E121" s="878">
        <f>D121</f>
        <v>0.71550000000000002</v>
      </c>
      <c r="F121" s="878">
        <f>E121</f>
        <v>0.71550000000000002</v>
      </c>
      <c r="G121" s="878">
        <f>ROUND(0.6612-0.018*B116,4)</f>
        <v>0.61619999999999997</v>
      </c>
      <c r="H121" s="878">
        <f>G121</f>
        <v>0.61619999999999997</v>
      </c>
      <c r="I121" s="878">
        <f>ROUND(0.5905-0.019*B116,4)</f>
        <v>0.54300000000000004</v>
      </c>
      <c r="J121" s="878">
        <f t="shared" si="37"/>
        <v>0.54300000000000004</v>
      </c>
      <c r="K121" s="878">
        <f t="shared" si="37"/>
        <v>0.54300000000000004</v>
      </c>
      <c r="L121" s="878">
        <f t="shared" si="37"/>
        <v>0.54300000000000004</v>
      </c>
      <c r="M121" s="879">
        <f t="shared" si="37"/>
        <v>0.54300000000000004</v>
      </c>
      <c r="N121" s="863"/>
    </row>
    <row r="122" spans="1:14">
      <c r="A122" s="880" t="s">
        <v>231</v>
      </c>
      <c r="B122" s="843">
        <f>ROUND(0.9404-0.0106*B116,4)</f>
        <v>0.91390000000000005</v>
      </c>
      <c r="C122" s="843">
        <f>B122</f>
        <v>0.91390000000000005</v>
      </c>
      <c r="D122" s="843">
        <f>ROUND(0.8955-0.0135*B116,4)</f>
        <v>0.86180000000000001</v>
      </c>
      <c r="E122" s="843">
        <f t="shared" ref="E122:H122" si="39">D122</f>
        <v>0.86180000000000001</v>
      </c>
      <c r="F122" s="843">
        <f t="shared" si="39"/>
        <v>0.86180000000000001</v>
      </c>
      <c r="G122" s="843">
        <f t="shared" si="39"/>
        <v>0.86180000000000001</v>
      </c>
      <c r="H122" s="843">
        <f t="shared" si="39"/>
        <v>0.86180000000000001</v>
      </c>
      <c r="I122" s="843">
        <f>ROUND(0.7632-0.0166*B116,4)</f>
        <v>0.72170000000000001</v>
      </c>
      <c r="J122" s="843">
        <f t="shared" si="37"/>
        <v>0.72170000000000001</v>
      </c>
      <c r="K122" s="843">
        <f t="shared" si="37"/>
        <v>0.72170000000000001</v>
      </c>
      <c r="L122" s="843">
        <f t="shared" si="37"/>
        <v>0.72170000000000001</v>
      </c>
      <c r="M122" s="876">
        <f t="shared" si="37"/>
        <v>0.72170000000000001</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382</v>
      </c>
      <c r="B8" s="460">
        <v>80</v>
      </c>
      <c r="C8" s="460">
        <v>80</v>
      </c>
      <c r="D8" s="460">
        <v>70</v>
      </c>
      <c r="E8" s="460">
        <v>70</v>
      </c>
      <c r="F8" s="460">
        <v>70</v>
      </c>
      <c r="G8" s="460">
        <v>70</v>
      </c>
      <c r="H8" s="460">
        <v>70</v>
      </c>
      <c r="I8" s="460">
        <v>60</v>
      </c>
      <c r="J8" s="460">
        <v>60</v>
      </c>
      <c r="K8" s="460">
        <v>60</v>
      </c>
      <c r="L8" s="460">
        <v>60</v>
      </c>
      <c r="M8" s="461">
        <v>60</v>
      </c>
    </row>
    <row r="9" spans="1:13" ht="19.5" customHeight="1">
      <c r="A9" s="462" t="s">
        <v>383</v>
      </c>
      <c r="B9" s="463">
        <v>70</v>
      </c>
      <c r="C9" s="463">
        <v>70</v>
      </c>
      <c r="D9" s="463">
        <v>60</v>
      </c>
      <c r="E9" s="463">
        <v>60</v>
      </c>
      <c r="F9" s="463">
        <v>60</v>
      </c>
      <c r="G9" s="463">
        <v>60</v>
      </c>
      <c r="H9" s="463">
        <v>60</v>
      </c>
      <c r="I9" s="463">
        <v>50</v>
      </c>
      <c r="J9" s="463">
        <v>50</v>
      </c>
      <c r="K9" s="463">
        <v>50</v>
      </c>
      <c r="L9" s="463">
        <v>50</v>
      </c>
      <c r="M9" s="464">
        <v>50</v>
      </c>
    </row>
    <row r="10" spans="1:13" ht="19.5" customHeight="1">
      <c r="A10" s="462" t="s">
        <v>384</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385</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386</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387</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1963</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389</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1964</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1965</v>
      </c>
      <c r="B18" s="468"/>
      <c r="C18" s="469"/>
      <c r="D18" s="469"/>
      <c r="E18" s="468"/>
      <c r="F18" s="469"/>
      <c r="G18" s="469"/>
    </row>
    <row r="19" spans="1:13" ht="19.5" customHeight="1">
      <c r="A19" s="466" t="s">
        <v>1966</v>
      </c>
      <c r="B19" s="470" t="s">
        <v>1967</v>
      </c>
      <c r="C19" s="470" t="s">
        <v>1968</v>
      </c>
      <c r="D19" s="471"/>
      <c r="E19" s="466" t="s">
        <v>1969</v>
      </c>
      <c r="F19" s="472"/>
      <c r="G19" s="472"/>
    </row>
    <row r="20" spans="1:13" ht="19.5" customHeight="1">
      <c r="A20" s="3483" t="s">
        <v>229</v>
      </c>
      <c r="B20" s="3489" t="s">
        <v>1970</v>
      </c>
      <c r="C20" s="473" t="s">
        <v>244</v>
      </c>
      <c r="D20" s="473"/>
      <c r="E20" s="474">
        <v>1</v>
      </c>
      <c r="F20" s="475" t="s">
        <v>1971</v>
      </c>
      <c r="G20" s="475"/>
    </row>
    <row r="21" spans="1:13" ht="19.5" customHeight="1">
      <c r="A21" s="3484"/>
      <c r="B21" s="3490"/>
      <c r="C21" s="476" t="s">
        <v>259</v>
      </c>
      <c r="D21" s="476"/>
      <c r="E21" s="477">
        <v>1</v>
      </c>
      <c r="F21" s="475" t="s">
        <v>1972</v>
      </c>
      <c r="G21" s="475"/>
    </row>
    <row r="22" spans="1:13" ht="19.5" customHeight="1">
      <c r="A22" s="3484"/>
      <c r="B22" s="3490"/>
      <c r="C22" s="476" t="s">
        <v>270</v>
      </c>
      <c r="D22" s="476"/>
      <c r="E22" s="477">
        <v>0.9</v>
      </c>
      <c r="F22" s="475" t="s">
        <v>1973</v>
      </c>
      <c r="G22" s="475"/>
    </row>
    <row r="23" spans="1:13" ht="19.5" customHeight="1">
      <c r="A23" s="3484"/>
      <c r="B23" s="3490"/>
      <c r="C23" s="476" t="s">
        <v>281</v>
      </c>
      <c r="D23" s="476"/>
      <c r="E23" s="477">
        <v>0.9</v>
      </c>
      <c r="F23" s="475" t="s">
        <v>1974</v>
      </c>
      <c r="G23" s="475"/>
    </row>
    <row r="24" spans="1:13" ht="19.5" customHeight="1">
      <c r="A24" s="3484"/>
      <c r="B24" s="3490"/>
      <c r="C24" s="476" t="s">
        <v>290</v>
      </c>
      <c r="D24" s="476"/>
      <c r="E24" s="477">
        <v>0.8</v>
      </c>
      <c r="F24" s="475" t="s">
        <v>1975</v>
      </c>
      <c r="G24" s="475"/>
    </row>
    <row r="25" spans="1:13" ht="19.5" customHeight="1">
      <c r="A25" s="3484"/>
      <c r="B25" s="3490"/>
      <c r="C25" s="476" t="s">
        <v>298</v>
      </c>
      <c r="D25" s="476"/>
      <c r="E25" s="477">
        <v>0.8</v>
      </c>
      <c r="F25" s="475"/>
      <c r="G25" s="475"/>
    </row>
    <row r="26" spans="1:13" ht="19.5" customHeight="1">
      <c r="A26" s="3484"/>
      <c r="B26" s="3490"/>
      <c r="C26" s="476" t="s">
        <v>306</v>
      </c>
      <c r="D26" s="476"/>
      <c r="E26" s="477">
        <v>0.43</v>
      </c>
      <c r="F26" s="475"/>
      <c r="G26" s="475"/>
    </row>
    <row r="27" spans="1:13" ht="19.5" customHeight="1">
      <c r="A27" s="3485"/>
      <c r="B27" s="3491"/>
      <c r="C27" s="478" t="s">
        <v>313</v>
      </c>
      <c r="D27" s="478"/>
      <c r="E27" s="479">
        <f>E26*0.9</f>
        <v>0.38700000000000001</v>
      </c>
      <c r="F27" s="475" t="s">
        <v>1976</v>
      </c>
      <c r="G27" s="475"/>
    </row>
    <row r="28" spans="1:13" ht="19.5" customHeight="1">
      <c r="A28" s="480" t="s">
        <v>230</v>
      </c>
      <c r="B28" s="481" t="s">
        <v>1970</v>
      </c>
      <c r="C28" s="482" t="s">
        <v>245</v>
      </c>
      <c r="D28" s="483"/>
      <c r="E28" s="484">
        <v>1</v>
      </c>
      <c r="F28" s="475" t="s">
        <v>1977</v>
      </c>
      <c r="G28" s="475"/>
    </row>
    <row r="29" spans="1:13" ht="19.5" customHeight="1">
      <c r="A29" s="3486" t="s">
        <v>231</v>
      </c>
      <c r="B29" s="3492" t="s">
        <v>231</v>
      </c>
      <c r="C29" s="485" t="s">
        <v>246</v>
      </c>
      <c r="D29" s="486"/>
      <c r="E29" s="474">
        <v>1</v>
      </c>
      <c r="F29" s="475" t="s">
        <v>1978</v>
      </c>
      <c r="G29" s="475"/>
    </row>
    <row r="30" spans="1:13" ht="19.5" customHeight="1">
      <c r="A30" s="3487"/>
      <c r="B30" s="3493"/>
      <c r="C30" s="487" t="s">
        <v>260</v>
      </c>
      <c r="D30" s="488"/>
      <c r="E30" s="477">
        <v>1</v>
      </c>
      <c r="F30" s="475" t="s">
        <v>1979</v>
      </c>
      <c r="G30" s="475"/>
    </row>
    <row r="31" spans="1:13" ht="19.5" customHeight="1">
      <c r="A31" s="3487"/>
      <c r="B31" s="3493"/>
      <c r="C31" s="487" t="s">
        <v>271</v>
      </c>
      <c r="D31" s="488"/>
      <c r="E31" s="477">
        <v>0.8</v>
      </c>
      <c r="F31" s="475" t="s">
        <v>1980</v>
      </c>
      <c r="G31" s="475"/>
    </row>
    <row r="32" spans="1:13" ht="19.5" customHeight="1">
      <c r="A32" s="3487"/>
      <c r="B32" s="3493"/>
      <c r="C32" s="487" t="s">
        <v>282</v>
      </c>
      <c r="D32" s="488"/>
      <c r="E32" s="477">
        <v>0.8</v>
      </c>
      <c r="F32" s="475" t="s">
        <v>1981</v>
      </c>
      <c r="G32" s="475"/>
    </row>
    <row r="33" spans="1:7" ht="19.5" customHeight="1">
      <c r="A33" s="3487"/>
      <c r="B33" s="3493"/>
      <c r="C33" s="487" t="s">
        <v>291</v>
      </c>
      <c r="D33" s="488"/>
      <c r="E33" s="477">
        <v>0.8</v>
      </c>
      <c r="F33" s="475" t="s">
        <v>1982</v>
      </c>
      <c r="G33" s="475"/>
    </row>
    <row r="34" spans="1:7" ht="19.5" customHeight="1">
      <c r="A34" s="3487"/>
      <c r="B34" s="3493"/>
      <c r="C34" s="487" t="s">
        <v>299</v>
      </c>
      <c r="D34" s="488"/>
      <c r="E34" s="477">
        <v>0.7</v>
      </c>
      <c r="F34" s="475" t="s">
        <v>1983</v>
      </c>
      <c r="G34" s="475"/>
    </row>
    <row r="35" spans="1:7" ht="19.5" customHeight="1">
      <c r="A35" s="3487"/>
      <c r="B35" s="3493"/>
      <c r="C35" s="487" t="s">
        <v>307</v>
      </c>
      <c r="D35" s="488"/>
      <c r="E35" s="477">
        <v>0.8</v>
      </c>
      <c r="F35" s="475" t="s">
        <v>1984</v>
      </c>
      <c r="G35" s="475"/>
    </row>
    <row r="36" spans="1:7" ht="19.5" customHeight="1">
      <c r="A36" s="3487"/>
      <c r="B36" s="3493"/>
      <c r="C36" s="487" t="s">
        <v>314</v>
      </c>
      <c r="D36" s="488"/>
      <c r="E36" s="477">
        <v>0.6</v>
      </c>
      <c r="F36" s="475" t="s">
        <v>1985</v>
      </c>
      <c r="G36" s="475"/>
    </row>
    <row r="37" spans="1:7" ht="19.5" customHeight="1">
      <c r="A37" s="3487"/>
      <c r="B37" s="3493"/>
      <c r="C37" s="487" t="s">
        <v>320</v>
      </c>
      <c r="D37" s="488"/>
      <c r="E37" s="477">
        <v>0.2</v>
      </c>
      <c r="F37" s="475" t="s">
        <v>1986</v>
      </c>
      <c r="G37" s="475"/>
    </row>
    <row r="38" spans="1:7" ht="19.5" customHeight="1">
      <c r="A38" s="3487"/>
      <c r="B38" s="3493"/>
      <c r="C38" s="487" t="s">
        <v>326</v>
      </c>
      <c r="D38" s="488"/>
      <c r="E38" s="477">
        <v>0.2</v>
      </c>
      <c r="F38" s="475" t="s">
        <v>1987</v>
      </c>
      <c r="G38" s="475"/>
    </row>
    <row r="39" spans="1:7" ht="19.5" customHeight="1">
      <c r="A39" s="3487"/>
      <c r="B39" s="3494" t="s">
        <v>1988</v>
      </c>
      <c r="C39" s="487" t="s">
        <v>332</v>
      </c>
      <c r="D39" s="488"/>
      <c r="E39" s="477">
        <v>0.6</v>
      </c>
      <c r="F39" s="475" t="s">
        <v>1989</v>
      </c>
      <c r="G39" s="475"/>
    </row>
    <row r="40" spans="1:7" ht="19.5" customHeight="1">
      <c r="A40" s="3487"/>
      <c r="B40" s="3493"/>
      <c r="C40" s="487" t="s">
        <v>338</v>
      </c>
      <c r="D40" s="488"/>
      <c r="E40" s="477">
        <v>0.6</v>
      </c>
      <c r="F40" s="475" t="s">
        <v>1990</v>
      </c>
      <c r="G40" s="475"/>
    </row>
    <row r="41" spans="1:7" ht="19.5" customHeight="1">
      <c r="A41" s="3488"/>
      <c r="B41" s="3495"/>
      <c r="C41" s="489" t="s">
        <v>342</v>
      </c>
      <c r="D41" s="490"/>
      <c r="E41" s="479">
        <v>0.6</v>
      </c>
      <c r="F41" s="475" t="s">
        <v>1991</v>
      </c>
      <c r="G41" s="475"/>
    </row>
    <row r="42" spans="1:7" ht="19.5" customHeight="1">
      <c r="A42" s="491" t="s">
        <v>232</v>
      </c>
      <c r="B42" s="492" t="s">
        <v>232</v>
      </c>
      <c r="C42" s="493" t="s">
        <v>247</v>
      </c>
      <c r="D42" s="494"/>
      <c r="E42" s="495">
        <v>1</v>
      </c>
      <c r="F42" s="475" t="s">
        <v>1992</v>
      </c>
      <c r="G42" s="475"/>
    </row>
    <row r="43" spans="1:7" ht="19.5" customHeight="1">
      <c r="A43" s="3483" t="s">
        <v>233</v>
      </c>
      <c r="B43" s="3492" t="s">
        <v>1993</v>
      </c>
      <c r="C43" s="485" t="s">
        <v>248</v>
      </c>
      <c r="D43" s="486"/>
      <c r="E43" s="474">
        <v>1</v>
      </c>
      <c r="F43" s="475" t="s">
        <v>1994</v>
      </c>
      <c r="G43" s="475"/>
    </row>
    <row r="44" spans="1:7" ht="19.5" customHeight="1">
      <c r="A44" s="3484"/>
      <c r="B44" s="3493"/>
      <c r="C44" s="487" t="s">
        <v>261</v>
      </c>
      <c r="D44" s="488"/>
      <c r="E44" s="477">
        <v>1</v>
      </c>
      <c r="F44" s="475" t="s">
        <v>1995</v>
      </c>
      <c r="G44" s="475"/>
    </row>
    <row r="45" spans="1:7" ht="19.5" customHeight="1">
      <c r="A45" s="3484"/>
      <c r="B45" s="3496"/>
      <c r="C45" s="487" t="s">
        <v>272</v>
      </c>
      <c r="D45" s="488"/>
      <c r="E45" s="477">
        <v>1.5</v>
      </c>
      <c r="F45" s="475" t="s">
        <v>1996</v>
      </c>
      <c r="G45" s="475"/>
    </row>
    <row r="46" spans="1:7" ht="19.5" customHeight="1">
      <c r="A46" s="3484"/>
      <c r="B46" s="476" t="s">
        <v>231</v>
      </c>
      <c r="C46" s="487" t="s">
        <v>283</v>
      </c>
      <c r="D46" s="488"/>
      <c r="E46" s="477">
        <v>2</v>
      </c>
      <c r="F46" s="475" t="s">
        <v>1997</v>
      </c>
      <c r="G46" s="475"/>
    </row>
    <row r="47" spans="1:7" ht="19.5" customHeight="1">
      <c r="A47" s="3484"/>
      <c r="B47" s="3494" t="s">
        <v>1998</v>
      </c>
      <c r="C47" s="487" t="s">
        <v>292</v>
      </c>
      <c r="D47" s="488"/>
      <c r="E47" s="477">
        <v>1</v>
      </c>
      <c r="F47" s="475" t="s">
        <v>1999</v>
      </c>
      <c r="G47" s="475"/>
    </row>
    <row r="48" spans="1:7" ht="19.5" customHeight="1">
      <c r="A48" s="3484"/>
      <c r="B48" s="3493"/>
      <c r="C48" s="487" t="s">
        <v>300</v>
      </c>
      <c r="D48" s="488"/>
      <c r="E48" s="477">
        <v>1</v>
      </c>
      <c r="F48" s="475" t="s">
        <v>2000</v>
      </c>
      <c r="G48" s="475"/>
    </row>
    <row r="49" spans="1:7" ht="19.5" customHeight="1">
      <c r="A49" s="3484"/>
      <c r="B49" s="3493"/>
      <c r="C49" s="487" t="s">
        <v>308</v>
      </c>
      <c r="D49" s="488"/>
      <c r="E49" s="477">
        <v>1</v>
      </c>
      <c r="F49" s="475" t="s">
        <v>2001</v>
      </c>
      <c r="G49" s="475"/>
    </row>
    <row r="50" spans="1:7" ht="19.5" customHeight="1">
      <c r="A50" s="3484"/>
      <c r="B50" s="3493"/>
      <c r="C50" s="487" t="s">
        <v>315</v>
      </c>
      <c r="D50" s="488"/>
      <c r="E50" s="477">
        <v>1</v>
      </c>
      <c r="F50" s="475" t="s">
        <v>2002</v>
      </c>
      <c r="G50" s="475"/>
    </row>
    <row r="51" spans="1:7" ht="19.5" customHeight="1">
      <c r="A51" s="3484"/>
      <c r="B51" s="3493"/>
      <c r="C51" s="487" t="s">
        <v>321</v>
      </c>
      <c r="D51" s="488"/>
      <c r="E51" s="477">
        <v>1</v>
      </c>
      <c r="F51" s="475" t="s">
        <v>2003</v>
      </c>
      <c r="G51" s="475"/>
    </row>
    <row r="52" spans="1:7" ht="19.5" customHeight="1">
      <c r="A52" s="3484"/>
      <c r="B52" s="3493"/>
      <c r="C52" s="487" t="s">
        <v>327</v>
      </c>
      <c r="D52" s="488"/>
      <c r="E52" s="477">
        <v>1</v>
      </c>
      <c r="F52" s="475" t="s">
        <v>2004</v>
      </c>
      <c r="G52" s="475"/>
    </row>
    <row r="53" spans="1:7" ht="19.5" customHeight="1">
      <c r="A53" s="3485"/>
      <c r="B53" s="3495"/>
      <c r="C53" s="489" t="s">
        <v>333</v>
      </c>
      <c r="D53" s="490"/>
      <c r="E53" s="479">
        <v>1</v>
      </c>
      <c r="F53" s="475" t="s">
        <v>2005</v>
      </c>
      <c r="G53" s="475"/>
    </row>
    <row r="54" spans="1:7" ht="19.5" customHeight="1">
      <c r="A54" s="497"/>
      <c r="B54" s="497"/>
      <c r="C54" s="497"/>
      <c r="D54" s="497"/>
      <c r="E54" s="497"/>
      <c r="F54" s="497"/>
      <c r="G54" s="497"/>
    </row>
    <row r="56" spans="1:7" ht="19.5" customHeight="1">
      <c r="A56" s="498"/>
      <c r="B56" s="463" t="s">
        <v>470</v>
      </c>
      <c r="C56" s="463" t="s">
        <v>470</v>
      </c>
      <c r="D56" s="463" t="s">
        <v>470</v>
      </c>
      <c r="E56" s="466" t="s">
        <v>470</v>
      </c>
      <c r="F56" s="466" t="s">
        <v>2006</v>
      </c>
      <c r="G56" s="466" t="s">
        <v>470</v>
      </c>
    </row>
    <row r="57" spans="1:7" ht="19.5" customHeight="1">
      <c r="A57" s="499"/>
      <c r="B57" s="466" t="s">
        <v>229</v>
      </c>
      <c r="C57" s="466" t="s">
        <v>229</v>
      </c>
      <c r="D57" s="466" t="s">
        <v>229</v>
      </c>
      <c r="E57" s="463" t="s">
        <v>230</v>
      </c>
      <c r="F57" s="463" t="s">
        <v>233</v>
      </c>
      <c r="G57" s="463" t="s">
        <v>1669</v>
      </c>
    </row>
    <row r="58" spans="1:7" ht="19.5" customHeight="1">
      <c r="A58" s="500"/>
      <c r="B58" s="463">
        <v>1</v>
      </c>
      <c r="C58" s="463">
        <v>2</v>
      </c>
      <c r="D58" s="463">
        <v>3</v>
      </c>
      <c r="E58" s="501" t="s">
        <v>2007</v>
      </c>
      <c r="F58" s="501" t="s">
        <v>2007</v>
      </c>
      <c r="G58" s="501" t="s">
        <v>2007</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2008</v>
      </c>
      <c r="E72" s="502"/>
      <c r="F72" s="502"/>
    </row>
    <row r="73" spans="1:7" ht="19.5" customHeight="1">
      <c r="A73" s="476" t="s">
        <v>2009</v>
      </c>
      <c r="B73" s="476" t="s">
        <v>2010</v>
      </c>
      <c r="C73" s="476" t="s">
        <v>2011</v>
      </c>
      <c r="D73" s="476" t="s">
        <v>2012</v>
      </c>
      <c r="E73" s="476" t="s">
        <v>2013</v>
      </c>
      <c r="F73" s="476" t="s">
        <v>2014</v>
      </c>
    </row>
    <row r="74" spans="1:7" ht="13.5">
      <c r="A74" s="476"/>
      <c r="B74" s="476"/>
      <c r="C74" s="476" t="s">
        <v>1789</v>
      </c>
      <c r="D74" s="476"/>
      <c r="E74" s="476" t="s">
        <v>124</v>
      </c>
      <c r="F74" s="476" t="s">
        <v>124</v>
      </c>
    </row>
    <row r="75" spans="1:7" ht="13.5">
      <c r="A75" s="476">
        <v>1</v>
      </c>
      <c r="B75" s="3494" t="s">
        <v>2015</v>
      </c>
      <c r="C75" s="463" t="s">
        <v>2016</v>
      </c>
      <c r="D75" s="463" t="s">
        <v>2017</v>
      </c>
      <c r="E75" s="476">
        <v>0.2</v>
      </c>
      <c r="F75" s="476">
        <v>25</v>
      </c>
    </row>
    <row r="76" spans="1:7" ht="24">
      <c r="A76" s="476">
        <v>2</v>
      </c>
      <c r="B76" s="3493"/>
      <c r="C76" s="463" t="s">
        <v>2018</v>
      </c>
      <c r="D76" s="463" t="s">
        <v>2019</v>
      </c>
      <c r="E76" s="476">
        <v>0.2</v>
      </c>
      <c r="F76" s="476">
        <v>25</v>
      </c>
    </row>
    <row r="77" spans="1:7" ht="24">
      <c r="A77" s="476">
        <v>3</v>
      </c>
      <c r="B77" s="3493"/>
      <c r="C77" s="463" t="s">
        <v>2020</v>
      </c>
      <c r="D77" s="463" t="s">
        <v>2021</v>
      </c>
      <c r="E77" s="476">
        <v>0.2</v>
      </c>
      <c r="F77" s="476">
        <v>25</v>
      </c>
    </row>
    <row r="78" spans="1:7" ht="13.5">
      <c r="A78" s="476">
        <v>4</v>
      </c>
      <c r="B78" s="3493"/>
      <c r="C78" s="463" t="s">
        <v>2022</v>
      </c>
      <c r="D78" s="463" t="s">
        <v>2023</v>
      </c>
      <c r="E78" s="476">
        <v>0.15</v>
      </c>
      <c r="F78" s="476">
        <v>20</v>
      </c>
    </row>
    <row r="79" spans="1:7" ht="24">
      <c r="A79" s="476">
        <v>5</v>
      </c>
      <c r="B79" s="3493"/>
      <c r="C79" s="463" t="s">
        <v>2024</v>
      </c>
      <c r="D79" s="463" t="s">
        <v>2025</v>
      </c>
      <c r="E79" s="476">
        <v>0.15</v>
      </c>
      <c r="F79" s="476">
        <v>20</v>
      </c>
    </row>
    <row r="80" spans="1:7" ht="24">
      <c r="A80" s="476">
        <v>6</v>
      </c>
      <c r="B80" s="3493"/>
      <c r="C80" s="463" t="s">
        <v>2026</v>
      </c>
      <c r="D80" s="463" t="s">
        <v>2027</v>
      </c>
      <c r="E80" s="476">
        <v>0.15</v>
      </c>
      <c r="F80" s="476">
        <v>20</v>
      </c>
    </row>
    <row r="81" spans="1:6" ht="24">
      <c r="A81" s="476">
        <v>7</v>
      </c>
      <c r="B81" s="3493"/>
      <c r="C81" s="463" t="s">
        <v>2028</v>
      </c>
      <c r="D81" s="463" t="s">
        <v>2029</v>
      </c>
      <c r="E81" s="476">
        <v>0.15</v>
      </c>
      <c r="F81" s="476">
        <v>20</v>
      </c>
    </row>
    <row r="82" spans="1:6" ht="24">
      <c r="A82" s="476">
        <v>8</v>
      </c>
      <c r="B82" s="3493"/>
      <c r="C82" s="463" t="s">
        <v>2030</v>
      </c>
      <c r="D82" s="463" t="s">
        <v>2031</v>
      </c>
      <c r="E82" s="476">
        <v>0.1</v>
      </c>
      <c r="F82" s="476">
        <v>15</v>
      </c>
    </row>
    <row r="83" spans="1:6" ht="24">
      <c r="A83" s="476">
        <v>9</v>
      </c>
      <c r="B83" s="3493"/>
      <c r="C83" s="463" t="s">
        <v>2032</v>
      </c>
      <c r="D83" s="463" t="s">
        <v>2033</v>
      </c>
      <c r="E83" s="476">
        <v>0.1</v>
      </c>
      <c r="F83" s="476">
        <v>15</v>
      </c>
    </row>
    <row r="84" spans="1:6" ht="24">
      <c r="A84" s="476">
        <v>10</v>
      </c>
      <c r="B84" s="3493"/>
      <c r="C84" s="463" t="s">
        <v>2034</v>
      </c>
      <c r="D84" s="463" t="s">
        <v>2035</v>
      </c>
      <c r="E84" s="476">
        <v>0.1</v>
      </c>
      <c r="F84" s="476">
        <v>15</v>
      </c>
    </row>
    <row r="85" spans="1:6" ht="24">
      <c r="A85" s="476">
        <v>11</v>
      </c>
      <c r="B85" s="3493"/>
      <c r="C85" s="463" t="s">
        <v>2036</v>
      </c>
      <c r="D85" s="463" t="s">
        <v>2037</v>
      </c>
      <c r="E85" s="476">
        <v>0.1</v>
      </c>
      <c r="F85" s="476">
        <v>15</v>
      </c>
    </row>
    <row r="86" spans="1:6" ht="24">
      <c r="A86" s="476">
        <v>12</v>
      </c>
      <c r="B86" s="3493"/>
      <c r="C86" s="463" t="s">
        <v>2038</v>
      </c>
      <c r="D86" s="463" t="s">
        <v>2039</v>
      </c>
      <c r="E86" s="476">
        <v>0.1</v>
      </c>
      <c r="F86" s="476">
        <v>15</v>
      </c>
    </row>
    <row r="87" spans="1:6" ht="13.5">
      <c r="A87" s="476">
        <v>13</v>
      </c>
      <c r="B87" s="3493"/>
      <c r="C87" s="463" t="s">
        <v>2040</v>
      </c>
      <c r="D87" s="463" t="s">
        <v>2041</v>
      </c>
      <c r="E87" s="476">
        <v>0.1</v>
      </c>
      <c r="F87" s="476">
        <v>15</v>
      </c>
    </row>
    <row r="88" spans="1:6" ht="13.5">
      <c r="A88" s="476">
        <v>14</v>
      </c>
      <c r="B88" s="3493"/>
      <c r="C88" s="463" t="s">
        <v>2042</v>
      </c>
      <c r="D88" s="463" t="s">
        <v>2043</v>
      </c>
      <c r="E88" s="476">
        <v>0.1</v>
      </c>
      <c r="F88" s="476">
        <v>15</v>
      </c>
    </row>
    <row r="89" spans="1:6" ht="13.5">
      <c r="A89" s="476">
        <v>15</v>
      </c>
      <c r="B89" s="3493"/>
      <c r="C89" s="463" t="s">
        <v>2044</v>
      </c>
      <c r="D89" s="463" t="s">
        <v>2045</v>
      </c>
      <c r="E89" s="476">
        <v>0.1</v>
      </c>
      <c r="F89" s="476">
        <v>15</v>
      </c>
    </row>
    <row r="90" spans="1:6" ht="24">
      <c r="A90" s="476">
        <v>16</v>
      </c>
      <c r="B90" s="3493"/>
      <c r="C90" s="463" t="s">
        <v>2046</v>
      </c>
      <c r="D90" s="463" t="s">
        <v>2047</v>
      </c>
      <c r="E90" s="476">
        <v>0.1</v>
      </c>
      <c r="F90" s="476">
        <v>15</v>
      </c>
    </row>
    <row r="91" spans="1:6" ht="24">
      <c r="A91" s="476">
        <v>17</v>
      </c>
      <c r="B91" s="3496"/>
      <c r="C91" s="463" t="s">
        <v>2048</v>
      </c>
      <c r="D91" s="463" t="s">
        <v>2049</v>
      </c>
      <c r="E91" s="476">
        <v>0.1</v>
      </c>
      <c r="F91" s="476">
        <v>15</v>
      </c>
    </row>
    <row r="92" spans="1:6" ht="13.5">
      <c r="A92" s="476">
        <v>18</v>
      </c>
      <c r="B92" s="3494" t="s">
        <v>2050</v>
      </c>
      <c r="C92" s="463" t="s">
        <v>2051</v>
      </c>
      <c r="D92" s="463" t="s">
        <v>2052</v>
      </c>
      <c r="E92" s="476">
        <v>0.2</v>
      </c>
      <c r="F92" s="476">
        <v>25</v>
      </c>
    </row>
    <row r="93" spans="1:6" ht="24">
      <c r="A93" s="476">
        <v>19</v>
      </c>
      <c r="B93" s="3493"/>
      <c r="C93" s="463" t="s">
        <v>2053</v>
      </c>
      <c r="D93" s="463" t="s">
        <v>2054</v>
      </c>
      <c r="E93" s="476">
        <v>0.2</v>
      </c>
      <c r="F93" s="476">
        <v>25</v>
      </c>
    </row>
    <row r="94" spans="1:6" ht="13.5">
      <c r="A94" s="476">
        <v>20</v>
      </c>
      <c r="B94" s="3493"/>
      <c r="C94" s="463" t="s">
        <v>2055</v>
      </c>
      <c r="D94" s="463" t="s">
        <v>2056</v>
      </c>
      <c r="E94" s="476">
        <v>0.15</v>
      </c>
      <c r="F94" s="476">
        <v>20</v>
      </c>
    </row>
    <row r="95" spans="1:6" ht="13.5">
      <c r="A95" s="476">
        <v>21</v>
      </c>
      <c r="B95" s="3493"/>
      <c r="C95" s="463" t="s">
        <v>2057</v>
      </c>
      <c r="D95" s="463" t="s">
        <v>2058</v>
      </c>
      <c r="E95" s="476">
        <v>0.15</v>
      </c>
      <c r="F95" s="476">
        <v>20</v>
      </c>
    </row>
    <row r="96" spans="1:6" ht="13.5">
      <c r="A96" s="476">
        <v>22</v>
      </c>
      <c r="B96" s="3493"/>
      <c r="C96" s="463" t="s">
        <v>2059</v>
      </c>
      <c r="D96" s="463" t="s">
        <v>2060</v>
      </c>
      <c r="E96" s="476">
        <v>0.15</v>
      </c>
      <c r="F96" s="476">
        <v>20</v>
      </c>
    </row>
    <row r="97" spans="1:6" ht="36">
      <c r="A97" s="476">
        <v>23</v>
      </c>
      <c r="B97" s="3493"/>
      <c r="C97" s="463" t="s">
        <v>2061</v>
      </c>
      <c r="D97" s="463" t="s">
        <v>2062</v>
      </c>
      <c r="E97" s="476">
        <v>0.15</v>
      </c>
      <c r="F97" s="476">
        <v>20</v>
      </c>
    </row>
    <row r="98" spans="1:6" ht="13.5">
      <c r="A98" s="476">
        <v>24</v>
      </c>
      <c r="B98" s="3493"/>
      <c r="C98" s="463" t="s">
        <v>2063</v>
      </c>
      <c r="D98" s="463" t="s">
        <v>2064</v>
      </c>
      <c r="E98" s="476">
        <v>0.1</v>
      </c>
      <c r="F98" s="476">
        <v>15</v>
      </c>
    </row>
    <row r="99" spans="1:6" ht="13.5">
      <c r="A99" s="476">
        <v>25</v>
      </c>
      <c r="B99" s="3493"/>
      <c r="C99" s="463" t="s">
        <v>2065</v>
      </c>
      <c r="D99" s="463" t="s">
        <v>2066</v>
      </c>
      <c r="E99" s="476">
        <v>0.1</v>
      </c>
      <c r="F99" s="476">
        <v>15</v>
      </c>
    </row>
    <row r="100" spans="1:6" ht="24">
      <c r="A100" s="476">
        <v>26</v>
      </c>
      <c r="B100" s="3493"/>
      <c r="C100" s="463" t="s">
        <v>2067</v>
      </c>
      <c r="D100" s="463" t="s">
        <v>2068</v>
      </c>
      <c r="E100" s="476">
        <v>0.1</v>
      </c>
      <c r="F100" s="476">
        <v>15</v>
      </c>
    </row>
    <row r="101" spans="1:6" ht="24">
      <c r="A101" s="476">
        <v>27</v>
      </c>
      <c r="B101" s="3493"/>
      <c r="C101" s="463" t="s">
        <v>2069</v>
      </c>
      <c r="D101" s="463" t="s">
        <v>2070</v>
      </c>
      <c r="E101" s="476">
        <v>0.1</v>
      </c>
      <c r="F101" s="476">
        <v>15</v>
      </c>
    </row>
    <row r="102" spans="1:6" ht="13.5">
      <c r="A102" s="476">
        <v>28</v>
      </c>
      <c r="B102" s="3493"/>
      <c r="C102" s="463" t="s">
        <v>2071</v>
      </c>
      <c r="D102" s="463" t="s">
        <v>2072</v>
      </c>
      <c r="E102" s="476">
        <v>0.1</v>
      </c>
      <c r="F102" s="476">
        <v>15</v>
      </c>
    </row>
    <row r="103" spans="1:6" ht="13.5">
      <c r="A103" s="476">
        <v>29</v>
      </c>
      <c r="B103" s="3493"/>
      <c r="C103" s="463" t="s">
        <v>2073</v>
      </c>
      <c r="D103" s="463" t="s">
        <v>2074</v>
      </c>
      <c r="E103" s="476">
        <v>0.1</v>
      </c>
      <c r="F103" s="476">
        <v>15</v>
      </c>
    </row>
    <row r="104" spans="1:6" ht="13.5">
      <c r="A104" s="476">
        <v>30</v>
      </c>
      <c r="B104" s="3493"/>
      <c r="C104" s="463" t="s">
        <v>2075</v>
      </c>
      <c r="D104" s="463" t="s">
        <v>2076</v>
      </c>
      <c r="E104" s="476">
        <v>0.1</v>
      </c>
      <c r="F104" s="476">
        <v>15</v>
      </c>
    </row>
    <row r="105" spans="1:6" ht="24">
      <c r="A105" s="476">
        <v>31</v>
      </c>
      <c r="B105" s="3493"/>
      <c r="C105" s="463" t="s">
        <v>2077</v>
      </c>
      <c r="D105" s="463" t="s">
        <v>2078</v>
      </c>
      <c r="E105" s="476">
        <v>0.1</v>
      </c>
      <c r="F105" s="476">
        <v>15</v>
      </c>
    </row>
    <row r="106" spans="1:6" ht="24">
      <c r="A106" s="476">
        <v>32</v>
      </c>
      <c r="B106" s="3493"/>
      <c r="C106" s="463" t="s">
        <v>2079</v>
      </c>
      <c r="D106" s="463" t="s">
        <v>2080</v>
      </c>
      <c r="E106" s="476">
        <v>0.1</v>
      </c>
      <c r="F106" s="476">
        <v>15</v>
      </c>
    </row>
    <row r="107" spans="1:6" ht="24">
      <c r="A107" s="476">
        <v>33</v>
      </c>
      <c r="B107" s="3493"/>
      <c r="C107" s="463" t="s">
        <v>2081</v>
      </c>
      <c r="D107" s="463" t="s">
        <v>2082</v>
      </c>
      <c r="E107" s="476">
        <v>0.1</v>
      </c>
      <c r="F107" s="476">
        <v>15</v>
      </c>
    </row>
    <row r="108" spans="1:6" ht="24">
      <c r="A108" s="476">
        <v>34</v>
      </c>
      <c r="B108" s="3496"/>
      <c r="C108" s="463" t="s">
        <v>2083</v>
      </c>
      <c r="D108" s="463" t="s">
        <v>2084</v>
      </c>
      <c r="E108" s="476">
        <v>0.1</v>
      </c>
      <c r="F108" s="476">
        <v>15</v>
      </c>
    </row>
    <row r="109" spans="1:6" ht="24">
      <c r="A109" s="476">
        <v>35</v>
      </c>
      <c r="B109" s="3494" t="s">
        <v>2085</v>
      </c>
      <c r="C109" s="476" t="s">
        <v>2086</v>
      </c>
      <c r="D109" s="463" t="s">
        <v>2087</v>
      </c>
      <c r="E109" s="476">
        <v>0.15</v>
      </c>
      <c r="F109" s="476">
        <v>20</v>
      </c>
    </row>
    <row r="110" spans="1:6" ht="13.5">
      <c r="A110" s="476">
        <v>36</v>
      </c>
      <c r="B110" s="3493"/>
      <c r="C110" s="476" t="s">
        <v>2088</v>
      </c>
      <c r="D110" s="463" t="s">
        <v>2089</v>
      </c>
      <c r="E110" s="476">
        <v>0.15</v>
      </c>
      <c r="F110" s="476">
        <v>20</v>
      </c>
    </row>
    <row r="111" spans="1:6" ht="13.5">
      <c r="A111" s="476">
        <v>37</v>
      </c>
      <c r="B111" s="3493"/>
      <c r="C111" s="476" t="s">
        <v>2090</v>
      </c>
      <c r="D111" s="463" t="s">
        <v>2091</v>
      </c>
      <c r="E111" s="476">
        <v>0.15</v>
      </c>
      <c r="F111" s="476">
        <v>20</v>
      </c>
    </row>
    <row r="112" spans="1:6" ht="13.5">
      <c r="A112" s="476">
        <v>38</v>
      </c>
      <c r="B112" s="3493"/>
      <c r="C112" s="476" t="s">
        <v>2092</v>
      </c>
      <c r="D112" s="463" t="s">
        <v>2093</v>
      </c>
      <c r="E112" s="476">
        <v>0.1</v>
      </c>
      <c r="F112" s="476">
        <v>15</v>
      </c>
    </row>
    <row r="113" spans="1:6" ht="24">
      <c r="A113" s="476">
        <v>39</v>
      </c>
      <c r="B113" s="3493"/>
      <c r="C113" s="476" t="s">
        <v>2094</v>
      </c>
      <c r="D113" s="463" t="s">
        <v>2095</v>
      </c>
      <c r="E113" s="476">
        <v>0.1</v>
      </c>
      <c r="F113" s="476">
        <v>15</v>
      </c>
    </row>
    <row r="114" spans="1:6" ht="24">
      <c r="A114" s="476">
        <v>40</v>
      </c>
      <c r="B114" s="3496"/>
      <c r="C114" s="476" t="s">
        <v>2096</v>
      </c>
      <c r="D114" s="463" t="s">
        <v>2097</v>
      </c>
      <c r="E114" s="476">
        <v>0.1</v>
      </c>
      <c r="F114" s="476">
        <v>15</v>
      </c>
    </row>
    <row r="115" spans="1:6" ht="13.5">
      <c r="A115" s="476">
        <v>41</v>
      </c>
      <c r="B115" s="3490" t="s">
        <v>2098</v>
      </c>
      <c r="C115" s="476" t="s">
        <v>2099</v>
      </c>
      <c r="D115" s="463" t="s">
        <v>2100</v>
      </c>
      <c r="E115" s="476">
        <v>0.1</v>
      </c>
      <c r="F115" s="476">
        <v>15</v>
      </c>
    </row>
    <row r="116" spans="1:6" ht="13.5">
      <c r="A116" s="476">
        <v>42</v>
      </c>
      <c r="B116" s="3490"/>
      <c r="C116" s="476" t="s">
        <v>2101</v>
      </c>
      <c r="D116" s="463" t="s">
        <v>2102</v>
      </c>
      <c r="E116" s="476">
        <v>0.1</v>
      </c>
      <c r="F116" s="476">
        <v>15</v>
      </c>
    </row>
    <row r="117" spans="1:6" ht="24">
      <c r="A117" s="476">
        <v>43</v>
      </c>
      <c r="B117" s="3490"/>
      <c r="C117" s="476" t="s">
        <v>2103</v>
      </c>
      <c r="D117" s="463" t="s">
        <v>2104</v>
      </c>
      <c r="E117" s="476">
        <v>0.1</v>
      </c>
      <c r="F117" s="476">
        <v>15</v>
      </c>
    </row>
    <row r="118" spans="1:6" ht="13.5">
      <c r="A118" s="476">
        <v>44</v>
      </c>
      <c r="B118" s="3494" t="s">
        <v>2105</v>
      </c>
      <c r="C118" s="476" t="s">
        <v>2106</v>
      </c>
      <c r="D118" s="463" t="s">
        <v>2107</v>
      </c>
      <c r="E118" s="476">
        <v>0.1</v>
      </c>
      <c r="F118" s="476">
        <v>15</v>
      </c>
    </row>
    <row r="119" spans="1:6" ht="24">
      <c r="A119" s="476">
        <v>45</v>
      </c>
      <c r="B119" s="3496"/>
      <c r="C119" s="463" t="s">
        <v>2108</v>
      </c>
      <c r="D119" s="463" t="s">
        <v>2109</v>
      </c>
      <c r="E119" s="476">
        <v>0.1</v>
      </c>
      <c r="F119" s="476">
        <v>15</v>
      </c>
    </row>
    <row r="120" spans="1:6" ht="24">
      <c r="A120" s="476">
        <v>46</v>
      </c>
      <c r="B120" s="3494" t="s">
        <v>2110</v>
      </c>
      <c r="C120" s="476" t="s">
        <v>2111</v>
      </c>
      <c r="D120" s="463" t="s">
        <v>2112</v>
      </c>
      <c r="E120" s="476">
        <v>0.1</v>
      </c>
      <c r="F120" s="476">
        <v>15</v>
      </c>
    </row>
    <row r="121" spans="1:6" ht="24">
      <c r="A121" s="476">
        <v>47</v>
      </c>
      <c r="B121" s="3496"/>
      <c r="C121" s="476" t="s">
        <v>2113</v>
      </c>
      <c r="D121" s="463" t="s">
        <v>2114</v>
      </c>
      <c r="E121" s="476">
        <v>0.1</v>
      </c>
      <c r="F121" s="476">
        <v>15</v>
      </c>
    </row>
    <row r="122" spans="1:6" ht="13.5">
      <c r="A122" s="476">
        <v>48</v>
      </c>
      <c r="B122" s="3494" t="s">
        <v>2115</v>
      </c>
      <c r="C122" s="476" t="s">
        <v>2116</v>
      </c>
      <c r="D122" s="463" t="s">
        <v>2117</v>
      </c>
      <c r="E122" s="476">
        <v>0.1</v>
      </c>
      <c r="F122" s="476">
        <v>15</v>
      </c>
    </row>
    <row r="123" spans="1:6" ht="13.5">
      <c r="A123" s="476">
        <v>49</v>
      </c>
      <c r="B123" s="3496"/>
      <c r="C123" s="476" t="s">
        <v>2118</v>
      </c>
      <c r="D123" s="463" t="s">
        <v>2119</v>
      </c>
      <c r="E123" s="476">
        <v>0.1</v>
      </c>
      <c r="F123" s="476">
        <v>15</v>
      </c>
    </row>
    <row r="124" spans="1:6" ht="24">
      <c r="A124" s="476">
        <v>50</v>
      </c>
      <c r="B124" s="3490" t="s">
        <v>2120</v>
      </c>
      <c r="C124" s="476" t="s">
        <v>2121</v>
      </c>
      <c r="D124" s="463" t="s">
        <v>2122</v>
      </c>
      <c r="E124" s="476">
        <v>0.1</v>
      </c>
      <c r="F124" s="476">
        <v>15</v>
      </c>
    </row>
    <row r="125" spans="1:6" ht="24">
      <c r="A125" s="476">
        <v>51</v>
      </c>
      <c r="B125" s="3490"/>
      <c r="C125" s="476" t="s">
        <v>2123</v>
      </c>
      <c r="D125" s="463" t="s">
        <v>2124</v>
      </c>
      <c r="E125" s="476">
        <v>0.1</v>
      </c>
      <c r="F125" s="476">
        <v>15</v>
      </c>
    </row>
    <row r="126" spans="1:6" ht="24">
      <c r="A126" s="476">
        <v>52</v>
      </c>
      <c r="B126" s="3490" t="s">
        <v>2125</v>
      </c>
      <c r="C126" s="476" t="s">
        <v>2126</v>
      </c>
      <c r="D126" s="463" t="s">
        <v>2127</v>
      </c>
      <c r="E126" s="476">
        <v>0.1</v>
      </c>
      <c r="F126" s="476">
        <v>15</v>
      </c>
    </row>
    <row r="127" spans="1:6" ht="24">
      <c r="A127" s="476">
        <v>53</v>
      </c>
      <c r="B127" s="3490"/>
      <c r="C127" s="476" t="s">
        <v>2128</v>
      </c>
      <c r="D127" s="463" t="s">
        <v>2129</v>
      </c>
      <c r="E127" s="476">
        <v>0.1</v>
      </c>
      <c r="F127" s="476">
        <v>15</v>
      </c>
    </row>
    <row r="128" spans="1:6" ht="13.5">
      <c r="A128" s="476">
        <v>54</v>
      </c>
      <c r="B128" s="476" t="s">
        <v>2130</v>
      </c>
      <c r="C128" s="476" t="s">
        <v>2131</v>
      </c>
      <c r="D128" s="463" t="s">
        <v>2132</v>
      </c>
      <c r="E128" s="476">
        <v>0.1</v>
      </c>
      <c r="F128" s="476">
        <v>15</v>
      </c>
    </row>
    <row r="129" spans="1:6" ht="13.5">
      <c r="A129" s="476">
        <v>55</v>
      </c>
      <c r="B129" s="3490" t="s">
        <v>2133</v>
      </c>
      <c r="C129" s="476" t="s">
        <v>2134</v>
      </c>
      <c r="D129" s="463" t="s">
        <v>2135</v>
      </c>
      <c r="E129" s="476">
        <v>0.1</v>
      </c>
      <c r="F129" s="476">
        <v>15</v>
      </c>
    </row>
    <row r="130" spans="1:6" ht="13.5">
      <c r="A130" s="476">
        <v>56</v>
      </c>
      <c r="B130" s="3490"/>
      <c r="C130" s="476" t="s">
        <v>2136</v>
      </c>
      <c r="D130" s="463" t="s">
        <v>2137</v>
      </c>
      <c r="E130" s="476">
        <v>0.1</v>
      </c>
      <c r="F130" s="476">
        <v>15</v>
      </c>
    </row>
    <row r="131" spans="1:6" ht="24">
      <c r="A131" s="476">
        <v>57</v>
      </c>
      <c r="B131" s="3490"/>
      <c r="C131" s="476" t="s">
        <v>2138</v>
      </c>
      <c r="D131" s="463" t="s">
        <v>2139</v>
      </c>
      <c r="E131" s="476">
        <v>0.1</v>
      </c>
      <c r="F131" s="476">
        <v>15</v>
      </c>
    </row>
    <row r="132" spans="1:6" ht="24">
      <c r="A132" s="476">
        <v>58</v>
      </c>
      <c r="B132" s="3490" t="s">
        <v>2140</v>
      </c>
      <c r="C132" s="476" t="s">
        <v>2141</v>
      </c>
      <c r="D132" s="463" t="s">
        <v>2142</v>
      </c>
      <c r="E132" s="476">
        <v>0.1</v>
      </c>
      <c r="F132" s="476">
        <v>15</v>
      </c>
    </row>
    <row r="133" spans="1:6" ht="13.5">
      <c r="A133" s="476">
        <v>59</v>
      </c>
      <c r="B133" s="3490"/>
      <c r="C133" s="476" t="s">
        <v>2143</v>
      </c>
      <c r="D133" s="463" t="s">
        <v>2144</v>
      </c>
      <c r="E133" s="476">
        <v>0.1</v>
      </c>
      <c r="F133" s="476">
        <v>15</v>
      </c>
    </row>
    <row r="134" spans="1:6" ht="13.5">
      <c r="A134" s="476">
        <v>60</v>
      </c>
      <c r="B134" s="3494" t="s">
        <v>2145</v>
      </c>
      <c r="C134" s="476" t="s">
        <v>2146</v>
      </c>
      <c r="D134" s="463" t="s">
        <v>2147</v>
      </c>
      <c r="E134" s="476">
        <v>0.1</v>
      </c>
      <c r="F134" s="476">
        <v>15</v>
      </c>
    </row>
    <row r="135" spans="1:6" ht="13.5">
      <c r="A135" s="476">
        <v>61</v>
      </c>
      <c r="B135" s="3496"/>
      <c r="C135" s="476" t="s">
        <v>2148</v>
      </c>
      <c r="D135" s="463" t="s">
        <v>2149</v>
      </c>
      <c r="E135" s="476">
        <v>0.1</v>
      </c>
      <c r="F135" s="476">
        <v>15</v>
      </c>
    </row>
    <row r="136" spans="1:6" ht="24">
      <c r="A136" s="476">
        <v>62</v>
      </c>
      <c r="B136" s="476" t="s">
        <v>2150</v>
      </c>
      <c r="C136" s="476" t="s">
        <v>2151</v>
      </c>
      <c r="D136" s="463" t="s">
        <v>2152</v>
      </c>
      <c r="E136" s="476">
        <v>0.1</v>
      </c>
      <c r="F136" s="476">
        <v>15</v>
      </c>
    </row>
    <row r="137" spans="1:6" ht="13.5">
      <c r="A137" s="476">
        <v>63</v>
      </c>
      <c r="B137" s="3490" t="s">
        <v>2153</v>
      </c>
      <c r="C137" s="476" t="s">
        <v>2154</v>
      </c>
      <c r="D137" s="463" t="s">
        <v>2155</v>
      </c>
      <c r="E137" s="476">
        <v>0.1</v>
      </c>
      <c r="F137" s="476">
        <v>15</v>
      </c>
    </row>
    <row r="138" spans="1:6" ht="13.5">
      <c r="A138" s="476">
        <v>64</v>
      </c>
      <c r="B138" s="3490"/>
      <c r="C138" s="476" t="s">
        <v>2156</v>
      </c>
      <c r="D138" s="463" t="s">
        <v>2157</v>
      </c>
      <c r="E138" s="476">
        <v>0.1</v>
      </c>
      <c r="F138" s="476">
        <v>15</v>
      </c>
    </row>
    <row r="139" spans="1:6" ht="13.5">
      <c r="A139" s="476">
        <v>65</v>
      </c>
      <c r="B139" s="476" t="s">
        <v>2158</v>
      </c>
      <c r="C139" s="476" t="s">
        <v>2159</v>
      </c>
      <c r="D139" s="463" t="s">
        <v>2160</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762</v>
      </c>
    </row>
    <row r="6" spans="1:5" ht="15.75">
      <c r="B6" s="3179"/>
      <c r="C6" s="3131" t="s">
        <v>98</v>
      </c>
      <c r="D6" s="3132" t="str">
        <f ca="1">NUMBERSTRING(INT(D5*10000),2)&amp;"元整"</f>
        <v>柒佰陆拾贰万元整</v>
      </c>
    </row>
    <row r="7" spans="1:5" ht="15.75">
      <c r="B7" s="3180"/>
      <c r="C7" s="3133" t="s">
        <v>99</v>
      </c>
      <c r="D7" s="3134">
        <f ca="1">结果表!H102</f>
        <v>25738</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762</v>
      </c>
    </row>
    <row r="14" spans="1:5" ht="15.75">
      <c r="B14" s="3179"/>
      <c r="C14" s="3131" t="s">
        <v>98</v>
      </c>
      <c r="D14" s="3132" t="str">
        <f ca="1">NUMBERSTRING(INT(D13*10000),2)&amp;"元整"</f>
        <v>柒佰陆拾贰万元整</v>
      </c>
    </row>
    <row r="15" spans="1:5" ht="15">
      <c r="B15" s="3180"/>
      <c r="C15" s="3133" t="s">
        <v>99</v>
      </c>
      <c r="D15" s="3141">
        <f ca="1">结果表!H108</f>
        <v>25738</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2161</v>
      </c>
      <c r="B1" s="423"/>
      <c r="C1" s="423"/>
      <c r="D1" s="423"/>
      <c r="E1" s="423"/>
      <c r="F1" s="423"/>
      <c r="G1" s="423"/>
      <c r="H1" s="423"/>
      <c r="I1" s="423"/>
      <c r="J1" s="423"/>
      <c r="K1" s="423"/>
      <c r="L1" s="423"/>
      <c r="M1" s="423"/>
      <c r="N1" s="424"/>
    </row>
    <row r="2" spans="1:20">
      <c r="A2" s="425" t="s">
        <v>2162</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2163</v>
      </c>
      <c r="R2" s="430" t="s">
        <v>2164</v>
      </c>
      <c r="S2" s="430" t="s">
        <v>2165</v>
      </c>
      <c r="T2" s="430" t="s">
        <v>2166</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2167</v>
      </c>
      <c r="B93" s="423"/>
      <c r="C93" s="423"/>
      <c r="D93" s="423"/>
      <c r="E93" s="423"/>
      <c r="F93" s="423"/>
      <c r="G93" s="423"/>
      <c r="H93" s="423"/>
      <c r="I93" s="423"/>
      <c r="J93" s="423"/>
      <c r="K93" s="423"/>
      <c r="L93" s="423"/>
      <c r="M93" s="423"/>
    </row>
    <row r="94" spans="1:20">
      <c r="A94" s="425" t="s">
        <v>2162</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2163</v>
      </c>
      <c r="R94" s="430" t="s">
        <v>2164</v>
      </c>
      <c r="S94" s="430" t="s">
        <v>2165</v>
      </c>
      <c r="T94" s="430" t="s">
        <v>2166</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2168</v>
      </c>
      <c r="B185" s="423"/>
      <c r="C185" s="423"/>
      <c r="D185" s="423"/>
      <c r="E185" s="423"/>
      <c r="F185" s="423"/>
      <c r="G185" s="423"/>
      <c r="H185" s="423"/>
      <c r="I185" s="423"/>
      <c r="J185" s="423"/>
      <c r="K185" s="423"/>
      <c r="L185" s="423"/>
      <c r="M185" s="423"/>
    </row>
    <row r="186" spans="1:20">
      <c r="A186" s="425" t="s">
        <v>2162</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2163</v>
      </c>
      <c r="R186" s="430" t="s">
        <v>2164</v>
      </c>
      <c r="S186" s="430" t="s">
        <v>2165</v>
      </c>
      <c r="T186" s="430" t="s">
        <v>2166</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2169</v>
      </c>
      <c r="B277" s="423"/>
      <c r="C277" s="423"/>
      <c r="D277" s="423"/>
      <c r="E277" s="423"/>
      <c r="F277" s="423"/>
      <c r="G277" s="423"/>
      <c r="H277" s="423"/>
      <c r="I277" s="423"/>
      <c r="J277" s="423"/>
      <c r="K277" s="423"/>
      <c r="L277" s="423"/>
      <c r="M277" s="423"/>
    </row>
    <row r="278" spans="1:21">
      <c r="A278" s="425" t="s">
        <v>2162</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2163</v>
      </c>
      <c r="R278" s="430" t="s">
        <v>2164</v>
      </c>
      <c r="S278" s="430" t="s">
        <v>2170</v>
      </c>
      <c r="T278" s="430" t="s">
        <v>2171</v>
      </c>
      <c r="U278" s="430" t="s">
        <v>2166</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2172</v>
      </c>
      <c r="B369" s="438"/>
      <c r="C369" s="438"/>
      <c r="D369" s="438"/>
      <c r="E369" s="438"/>
      <c r="F369" s="438"/>
      <c r="G369" s="438"/>
      <c r="H369" s="438"/>
      <c r="I369" s="438"/>
      <c r="J369" s="438"/>
      <c r="K369" s="438"/>
      <c r="L369" s="438"/>
      <c r="M369" s="438"/>
    </row>
    <row r="370" spans="1:20">
      <c r="A370" s="425" t="s">
        <v>2162</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0.95120000000000005</v>
      </c>
      <c r="Q370" s="430" t="s">
        <v>2163</v>
      </c>
      <c r="R370" s="430" t="s">
        <v>2164</v>
      </c>
      <c r="S370" s="430" t="s">
        <v>2165</v>
      </c>
      <c r="T370" s="430" t="s">
        <v>2166</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2173</v>
      </c>
      <c r="B1" s="341"/>
      <c r="C1" s="342"/>
      <c r="D1" s="342"/>
      <c r="E1" s="342"/>
      <c r="F1" s="342"/>
      <c r="G1" s="343"/>
    </row>
    <row r="2" spans="1:7" s="332" customFormat="1" ht="18" customHeight="1">
      <c r="A2" s="344" t="s">
        <v>2174</v>
      </c>
      <c r="B2" s="345">
        <f ca="1">C52</f>
        <v>28409</v>
      </c>
      <c r="C2" s="346" t="s">
        <v>1500</v>
      </c>
      <c r="D2" s="343"/>
      <c r="E2" s="343"/>
      <c r="F2" s="343"/>
      <c r="G2" s="343"/>
    </row>
    <row r="3" spans="1:7" s="332" customFormat="1" ht="18" customHeight="1">
      <c r="A3" s="347" t="s">
        <v>2175</v>
      </c>
      <c r="B3" s="348">
        <f ca="1">ROUND(B2*10000/'数据-汇总表'!E3,0)</f>
        <v>959764</v>
      </c>
      <c r="C3" s="346" t="s">
        <v>1679</v>
      </c>
      <c r="D3" s="343"/>
      <c r="E3" s="343"/>
      <c r="F3" s="343"/>
      <c r="G3" s="343"/>
    </row>
    <row r="4" spans="1:7" s="333" customFormat="1" ht="15.75">
      <c r="A4" s="349" t="s">
        <v>2176</v>
      </c>
      <c r="B4" s="350"/>
      <c r="C4" s="350"/>
      <c r="D4" s="350"/>
      <c r="E4" s="350"/>
      <c r="F4" s="350"/>
      <c r="G4" s="351"/>
    </row>
    <row r="5" spans="1:7" s="334" customFormat="1" ht="13.5" customHeight="1">
      <c r="A5" s="352" t="s">
        <v>1041</v>
      </c>
      <c r="B5" s="353" t="s">
        <v>2177</v>
      </c>
      <c r="C5" s="354">
        <f>C6+C7+C8</f>
        <v>20610</v>
      </c>
      <c r="D5" s="354" t="s">
        <v>2178</v>
      </c>
      <c r="E5" s="355" t="s">
        <v>2179</v>
      </c>
      <c r="F5" s="355" t="s">
        <v>2180</v>
      </c>
      <c r="G5" s="356"/>
    </row>
    <row r="6" spans="1:7" s="334" customFormat="1" ht="13.5" customHeight="1">
      <c r="A6" s="357" t="s">
        <v>1045</v>
      </c>
      <c r="B6" s="358" t="s">
        <v>2181</v>
      </c>
      <c r="C6" s="359">
        <v>20000</v>
      </c>
      <c r="D6" s="360"/>
      <c r="E6" s="361"/>
      <c r="F6" s="361"/>
      <c r="G6" s="362"/>
    </row>
    <row r="7" spans="1:7" s="334" customFormat="1" ht="13.5" customHeight="1">
      <c r="A7" s="357" t="s">
        <v>1047</v>
      </c>
      <c r="B7" s="358" t="s">
        <v>2182</v>
      </c>
      <c r="C7" s="363">
        <f>ROUND(C6*F7,0)</f>
        <v>610</v>
      </c>
      <c r="D7" s="363"/>
      <c r="E7" s="361"/>
      <c r="F7" s="364">
        <f>'数据-取费表'!B48+'数据-取费表'!B49</f>
        <v>3.0499999999999999E-2</v>
      </c>
      <c r="G7" s="362"/>
    </row>
    <row r="8" spans="1:7" s="335" customFormat="1">
      <c r="A8" s="357" t="s">
        <v>1049</v>
      </c>
      <c r="B8" s="358" t="s">
        <v>2183</v>
      </c>
      <c r="C8" s="363" t="str">
        <f>IF(G8="已包含在土地购买价格中","0",'数据-取费表'!B29)</f>
        <v>0</v>
      </c>
      <c r="D8" s="365"/>
      <c r="E8" s="363"/>
      <c r="F8" s="364"/>
      <c r="G8" s="366" t="s">
        <v>2184</v>
      </c>
    </row>
    <row r="9" spans="1:7" s="334" customFormat="1" ht="13.5" customHeight="1">
      <c r="A9" s="367" t="s">
        <v>1051</v>
      </c>
      <c r="B9" s="368" t="s">
        <v>2185</v>
      </c>
      <c r="C9" s="369">
        <f>ROUND(D9*E9/10000,0)</f>
        <v>0</v>
      </c>
      <c r="D9" s="370">
        <f>'数据-汇总表'!E5</f>
        <v>0</v>
      </c>
      <c r="E9" s="369">
        <f>'数据-取费表'!B27</f>
        <v>0</v>
      </c>
      <c r="F9" s="364"/>
      <c r="G9" s="371"/>
    </row>
    <row r="10" spans="1:7" s="334" customFormat="1" ht="13.5" customHeight="1">
      <c r="A10" s="367" t="s">
        <v>1054</v>
      </c>
      <c r="B10" s="368" t="s">
        <v>2186</v>
      </c>
      <c r="C10" s="369">
        <f>ROUND(D10*E10/10000,0)</f>
        <v>6</v>
      </c>
      <c r="D10" s="370">
        <f>'数据-汇总表'!E6</f>
        <v>296</v>
      </c>
      <c r="E10" s="369">
        <f>'数据-取费表'!B28</f>
        <v>200</v>
      </c>
      <c r="F10" s="364"/>
      <c r="G10" s="371"/>
    </row>
    <row r="11" spans="1:7" s="334" customFormat="1" ht="13.5" hidden="1" customHeight="1">
      <c r="A11" s="372" t="s">
        <v>1056</v>
      </c>
      <c r="B11" s="358" t="s">
        <v>2187</v>
      </c>
      <c r="C11" s="354"/>
      <c r="D11" s="361"/>
      <c r="E11" s="361"/>
      <c r="F11" s="361"/>
      <c r="G11" s="362"/>
    </row>
    <row r="12" spans="1:7" s="334" customFormat="1" ht="13.5" hidden="1" customHeight="1">
      <c r="A12" s="372" t="s">
        <v>1058</v>
      </c>
      <c r="B12" s="358" t="s">
        <v>2188</v>
      </c>
      <c r="C12" s="354">
        <v>0</v>
      </c>
      <c r="D12" s="361"/>
      <c r="E12" s="373"/>
      <c r="F12" s="364">
        <v>3.0499999999999999E-2</v>
      </c>
      <c r="G12" s="362"/>
    </row>
    <row r="13" spans="1:7" s="334" customFormat="1" ht="13.5" hidden="1" customHeight="1">
      <c r="A13" s="372" t="s">
        <v>1059</v>
      </c>
      <c r="B13" s="358" t="s">
        <v>2189</v>
      </c>
      <c r="C13" s="354"/>
      <c r="D13" s="361"/>
      <c r="E13" s="361"/>
      <c r="F13" s="361"/>
      <c r="G13" s="362"/>
    </row>
    <row r="14" spans="1:7" s="334" customFormat="1" ht="13.5" hidden="1" customHeight="1">
      <c r="A14" s="372" t="s">
        <v>1061</v>
      </c>
      <c r="B14" s="358" t="s">
        <v>2183</v>
      </c>
      <c r="C14" s="354"/>
      <c r="D14" s="361"/>
      <c r="E14" s="361"/>
      <c r="F14" s="361"/>
      <c r="G14" s="362" t="s">
        <v>2190</v>
      </c>
    </row>
    <row r="15" spans="1:7" s="334" customFormat="1" ht="13.5" hidden="1" customHeight="1">
      <c r="A15" s="372" t="s">
        <v>1063</v>
      </c>
      <c r="B15" s="358" t="s">
        <v>2191</v>
      </c>
      <c r="C15" s="363"/>
      <c r="D15" s="361"/>
      <c r="E15" s="361"/>
      <c r="F15" s="361"/>
      <c r="G15" s="362" t="s">
        <v>2192</v>
      </c>
    </row>
    <row r="16" spans="1:7" s="334" customFormat="1" ht="13.5" hidden="1" customHeight="1">
      <c r="A16" s="372" t="s">
        <v>1066</v>
      </c>
      <c r="B16" s="358" t="s">
        <v>2183</v>
      </c>
      <c r="C16" s="363"/>
      <c r="D16" s="361"/>
      <c r="E16" s="361"/>
      <c r="F16" s="361"/>
      <c r="G16" s="362"/>
    </row>
    <row r="17" spans="1:7" s="334" customFormat="1" ht="13.5" hidden="1" customHeight="1">
      <c r="A17" s="372" t="s">
        <v>1067</v>
      </c>
      <c r="B17" s="358" t="s">
        <v>2193</v>
      </c>
      <c r="C17" s="374"/>
      <c r="D17" s="374"/>
      <c r="E17" s="374"/>
      <c r="F17" s="374"/>
      <c r="G17" s="362" t="s">
        <v>2192</v>
      </c>
    </row>
    <row r="18" spans="1:7" s="334" customFormat="1" ht="13.5" hidden="1" customHeight="1">
      <c r="A18" s="372" t="s">
        <v>1069</v>
      </c>
      <c r="B18" s="358" t="s">
        <v>2194</v>
      </c>
      <c r="C18" s="363">
        <v>0</v>
      </c>
      <c r="D18" s="361"/>
      <c r="E18" s="361"/>
      <c r="F18" s="364">
        <v>3.0499999999999999E-2</v>
      </c>
      <c r="G18" s="362" t="s">
        <v>2195</v>
      </c>
    </row>
    <row r="19" spans="1:7" s="335" customFormat="1" ht="13.5" customHeight="1">
      <c r="A19" s="375" t="s">
        <v>1782</v>
      </c>
      <c r="B19" s="353" t="s">
        <v>2196</v>
      </c>
      <c r="C19" s="354">
        <f>IF(G19="已包含在土地取得成本中","0",ROUND(D19*E19/10000,0))</f>
        <v>6</v>
      </c>
      <c r="D19" s="355">
        <f>'数据-汇总表'!E3</f>
        <v>296</v>
      </c>
      <c r="E19" s="354">
        <f>'数据-取费表'!B31</f>
        <v>200</v>
      </c>
      <c r="F19" s="376"/>
      <c r="G19" s="366" t="s">
        <v>2197</v>
      </c>
    </row>
    <row r="20" spans="1:7" s="334" customFormat="1" ht="13.5" customHeight="1">
      <c r="A20" s="375" t="s">
        <v>1819</v>
      </c>
      <c r="B20" s="353" t="s">
        <v>2198</v>
      </c>
      <c r="C20" s="377">
        <f>ROUND((C5+C19)*F20,0)</f>
        <v>618</v>
      </c>
      <c r="D20" s="377"/>
      <c r="E20" s="377"/>
      <c r="F20" s="378">
        <f>'数据-取费表'!B37</f>
        <v>0.03</v>
      </c>
      <c r="G20" s="379" t="s">
        <v>2199</v>
      </c>
    </row>
    <row r="21" spans="1:7" s="334" customFormat="1" ht="13.5" customHeight="1">
      <c r="A21" s="375" t="s">
        <v>1824</v>
      </c>
      <c r="B21" s="353" t="s">
        <v>2200</v>
      </c>
      <c r="C21" s="380">
        <f>F21</f>
        <v>0.03</v>
      </c>
      <c r="D21" s="381" t="s">
        <v>2201</v>
      </c>
      <c r="E21" s="377"/>
      <c r="F21" s="378">
        <f>'数据-取费表'!B38</f>
        <v>0.03</v>
      </c>
      <c r="G21" s="382" t="s">
        <v>2202</v>
      </c>
    </row>
    <row r="22" spans="1:7" s="334" customFormat="1" ht="13.5" customHeight="1">
      <c r="A22" s="375" t="s">
        <v>1833</v>
      </c>
      <c r="B22" s="353" t="s">
        <v>2203</v>
      </c>
      <c r="C22" s="383">
        <f ca="1">ROUND(SUM(C23:C25),0)</f>
        <v>1329</v>
      </c>
      <c r="D22" s="380">
        <f ca="1">C26</f>
        <v>8.9999999999999998E-4</v>
      </c>
      <c r="E22" s="381" t="s">
        <v>2201</v>
      </c>
      <c r="F22" s="384">
        <f ca="1">'数据-取费表'!B40</f>
        <v>3.1300000000000001E-2</v>
      </c>
      <c r="G22" s="379" t="str">
        <f>IF('数据-取费表'!B22&lt;=1,"单利计息","复利计息")</f>
        <v>复利计息</v>
      </c>
    </row>
    <row r="23" spans="1:7" s="334" customFormat="1" ht="13.5" customHeight="1">
      <c r="A23" s="385" t="s">
        <v>1045</v>
      </c>
      <c r="B23" s="358" t="s">
        <v>2204</v>
      </c>
      <c r="C23" s="386">
        <f ca="1">ROUND(IF('数据-取费表'!B22&lt;=1,C5*F22*'数据-取费表'!B23,C5*(POWER((1+F22),'数据-取费表'!B23)-1)),0)</f>
        <v>1310</v>
      </c>
      <c r="D23" s="387"/>
      <c r="E23" s="387"/>
      <c r="F23" s="388"/>
      <c r="G23" s="389" t="s">
        <v>2205</v>
      </c>
    </row>
    <row r="24" spans="1:7" s="334" customFormat="1" ht="13.5" customHeight="1">
      <c r="A24" s="385" t="s">
        <v>1047</v>
      </c>
      <c r="B24" s="358" t="s">
        <v>2206</v>
      </c>
      <c r="C24" s="386">
        <f ca="1">ROUND(IF('数据-取费表'!B22&lt;=1,C19*F22*('数据-取费表'!B19/2+'数据-取费表'!B21),C19*(POWER((1+F22),('数据-取费表'!B19/2+'数据-取费表'!B21))-1)),0)</f>
        <v>0</v>
      </c>
      <c r="D24" s="387"/>
      <c r="E24" s="387"/>
      <c r="F24" s="388"/>
      <c r="G24" s="389" t="s">
        <v>2207</v>
      </c>
    </row>
    <row r="25" spans="1:7" s="334" customFormat="1" ht="24">
      <c r="A25" s="385" t="s">
        <v>1049</v>
      </c>
      <c r="B25" s="358" t="s">
        <v>2208</v>
      </c>
      <c r="C25" s="386">
        <f ca="1">ROUND(IF('数据-取费表'!B22&lt;=1,C20*F22*'数据-取费表'!B23/2,C20*(POWER((1+F22),'数据-取费表'!B23/2)-1)),0)</f>
        <v>19</v>
      </c>
      <c r="D25" s="387"/>
      <c r="E25" s="390"/>
      <c r="F25" s="388"/>
      <c r="G25" s="391" t="s">
        <v>2209</v>
      </c>
    </row>
    <row r="26" spans="1:7" s="334" customFormat="1">
      <c r="A26" s="385" t="s">
        <v>1089</v>
      </c>
      <c r="B26" s="358" t="s">
        <v>2210</v>
      </c>
      <c r="C26" s="387">
        <f ca="1">ROUND(IF('数据-取费表'!B22&lt;=1,F21*F22*'数据-取费表'!B23/2,F21*(POWER((1+F22),'数据-取费表'!B23/2)-1)),4)</f>
        <v>8.9999999999999998E-4</v>
      </c>
      <c r="D26" s="387"/>
      <c r="E26" s="390"/>
      <c r="F26" s="388"/>
      <c r="G26" s="392"/>
    </row>
    <row r="27" spans="1:7" s="334" customFormat="1" ht="24.75">
      <c r="A27" s="375" t="s">
        <v>1842</v>
      </c>
      <c r="B27" s="393" t="s">
        <v>2211</v>
      </c>
      <c r="C27" s="394">
        <f>C28</f>
        <v>3185</v>
      </c>
      <c r="D27" s="380">
        <f>C29</f>
        <v>4.4999999999999997E-3</v>
      </c>
      <c r="E27" s="381" t="s">
        <v>2201</v>
      </c>
      <c r="F27" s="395">
        <f>'数据-取费表'!Q16</f>
        <v>0.15</v>
      </c>
      <c r="G27" s="396" t="s">
        <v>2212</v>
      </c>
    </row>
    <row r="28" spans="1:7" s="334" customFormat="1" ht="13.5" customHeight="1">
      <c r="A28" s="385" t="s">
        <v>1045</v>
      </c>
      <c r="B28" s="397" t="s">
        <v>2213</v>
      </c>
      <c r="C28" s="398">
        <f>ROUND((C5+C19+C20)*F27*'数据-取费表'!B21/'数据-取费表'!B20,0)</f>
        <v>3185</v>
      </c>
      <c r="D28" s="380"/>
      <c r="E28" s="381"/>
      <c r="F28" s="395"/>
      <c r="G28" s="396"/>
    </row>
    <row r="29" spans="1:7" s="334" customFormat="1" ht="13.5" customHeight="1">
      <c r="A29" s="385" t="s">
        <v>1047</v>
      </c>
      <c r="B29" s="397" t="s">
        <v>2214</v>
      </c>
      <c r="C29" s="387">
        <f>ROUND(C21*F27*'数据-取费表'!B21/'数据-取费表'!B20,4)</f>
        <v>4.4999999999999997E-3</v>
      </c>
      <c r="D29" s="380"/>
      <c r="E29" s="381"/>
      <c r="F29" s="395"/>
      <c r="G29" s="396"/>
    </row>
    <row r="30" spans="1:7" s="334" customFormat="1" ht="13.5" customHeight="1">
      <c r="A30" s="375" t="s">
        <v>2215</v>
      </c>
      <c r="B30" s="353" t="s">
        <v>2216</v>
      </c>
      <c r="C30" s="380">
        <f>F30</f>
        <v>5.6000000000000001E-2</v>
      </c>
      <c r="D30" s="381" t="s">
        <v>2217</v>
      </c>
      <c r="E30" s="390"/>
      <c r="F30" s="384">
        <f>'数据-取费表'!B41</f>
        <v>5.6000000000000001E-2</v>
      </c>
      <c r="G30" s="382" t="s">
        <v>2218</v>
      </c>
    </row>
    <row r="31" spans="1:7" ht="16.5" customHeight="1">
      <c r="A31" s="399">
        <v>1</v>
      </c>
      <c r="B31" s="353" t="s">
        <v>2219</v>
      </c>
      <c r="C31" s="354">
        <f ca="1">ROUND((C5+C19+C20+C22+C27)/(1-C21-D22-D27-C30/(1+'数据-取费表'!B42)),0)</f>
        <v>28255</v>
      </c>
      <c r="D31" s="400"/>
      <c r="E31" s="354"/>
      <c r="F31" s="401"/>
      <c r="G31" s="382" t="s">
        <v>2220</v>
      </c>
    </row>
    <row r="32" spans="1:7" s="333" customFormat="1" ht="15.75">
      <c r="A32" s="402" t="s">
        <v>2221</v>
      </c>
      <c r="B32" s="403"/>
      <c r="C32" s="403"/>
      <c r="D32" s="403"/>
      <c r="E32" s="403"/>
      <c r="F32" s="403"/>
      <c r="G32" s="404"/>
    </row>
    <row r="33" spans="1:7" s="334" customFormat="1" ht="13.5" customHeight="1">
      <c r="A33" s="352" t="s">
        <v>1041</v>
      </c>
      <c r="B33" s="353" t="s">
        <v>2222</v>
      </c>
      <c r="C33" s="405">
        <f>SUM(C34:C38)</f>
        <v>153</v>
      </c>
      <c r="D33" s="377"/>
      <c r="E33" s="355"/>
      <c r="F33" s="390"/>
      <c r="G33" s="382"/>
    </row>
    <row r="34" spans="1:7" s="336" customFormat="1" ht="13.5" customHeight="1">
      <c r="A34" s="385" t="s">
        <v>1045</v>
      </c>
      <c r="B34" s="358" t="s">
        <v>2223</v>
      </c>
      <c r="C34" s="363">
        <f>IF(F34=100%,'数据-取费表'!M16-SUMIF('数据-取费表'!C:C,"公共配套",'数据-取费表'!M:M),'数据-取费表'!O16-SUMIF('数据-取费表'!C:C,"公共配套",'数据-取费表'!O:O))</f>
        <v>133</v>
      </c>
      <c r="D34" s="360"/>
      <c r="E34" s="363"/>
      <c r="F34" s="406">
        <f>IF('数据-取费表'!B24=0,1,'数据-取费表'!N16)</f>
        <v>1</v>
      </c>
      <c r="G34" s="362" t="s">
        <v>2224</v>
      </c>
    </row>
    <row r="35" spans="1:7" ht="13.5" customHeight="1">
      <c r="A35" s="385" t="s">
        <v>1047</v>
      </c>
      <c r="B35" s="358" t="s">
        <v>2225</v>
      </c>
      <c r="C35" s="363">
        <f>ROUND(C34*F35,0)</f>
        <v>11</v>
      </c>
      <c r="D35" s="363"/>
      <c r="E35" s="363"/>
      <c r="F35" s="407">
        <f>'数据-取费表'!B33</f>
        <v>0.08</v>
      </c>
      <c r="G35" s="362" t="s">
        <v>2226</v>
      </c>
    </row>
    <row r="36" spans="1:7" ht="24">
      <c r="A36" s="385" t="s">
        <v>1049</v>
      </c>
      <c r="B36" s="358" t="s">
        <v>2227</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2228</v>
      </c>
    </row>
    <row r="37" spans="1:7" s="336" customFormat="1" ht="13.5" customHeight="1">
      <c r="A37" s="385" t="s">
        <v>1089</v>
      </c>
      <c r="B37" s="358" t="s">
        <v>2229</v>
      </c>
      <c r="C37" s="398">
        <f>ROUND(E37*D37*F34/10000,0)</f>
        <v>6</v>
      </c>
      <c r="D37" s="360">
        <f>'数据-汇总表'!E3</f>
        <v>296</v>
      </c>
      <c r="E37" s="398">
        <f>'数据-取费表'!B35</f>
        <v>200</v>
      </c>
      <c r="F37" s="407"/>
      <c r="G37" s="409" t="s">
        <v>2230</v>
      </c>
    </row>
    <row r="38" spans="1:7" ht="13.5" customHeight="1">
      <c r="A38" s="385" t="s">
        <v>1111</v>
      </c>
      <c r="B38" s="358" t="s">
        <v>2188</v>
      </c>
      <c r="C38" s="363">
        <f>ROUND(C34*F38,0)</f>
        <v>3</v>
      </c>
      <c r="D38" s="363"/>
      <c r="E38" s="363"/>
      <c r="F38" s="407">
        <f>'数据-取费表'!B36</f>
        <v>0.02</v>
      </c>
      <c r="G38" s="362" t="s">
        <v>2226</v>
      </c>
    </row>
    <row r="39" spans="1:7" s="334" customFormat="1" ht="13.5" customHeight="1">
      <c r="A39" s="375" t="s">
        <v>1782</v>
      </c>
      <c r="B39" s="353" t="s">
        <v>2198</v>
      </c>
      <c r="C39" s="377">
        <f>ROUND(C33*F20,0)</f>
        <v>5</v>
      </c>
      <c r="D39" s="377"/>
      <c r="E39" s="377"/>
      <c r="F39" s="378"/>
      <c r="G39" s="379" t="s">
        <v>2231</v>
      </c>
    </row>
    <row r="40" spans="1:7" s="334" customFormat="1" ht="13.5" customHeight="1">
      <c r="A40" s="375" t="s">
        <v>1819</v>
      </c>
      <c r="B40" s="353" t="s">
        <v>2200</v>
      </c>
      <c r="C40" s="410">
        <f>F21</f>
        <v>0.03</v>
      </c>
      <c r="D40" s="381" t="s">
        <v>2232</v>
      </c>
      <c r="E40" s="377"/>
      <c r="F40" s="378"/>
      <c r="G40" s="382" t="s">
        <v>2233</v>
      </c>
    </row>
    <row r="41" spans="1:7" s="334" customFormat="1" ht="13.5" customHeight="1">
      <c r="A41" s="375" t="s">
        <v>1824</v>
      </c>
      <c r="B41" s="353" t="s">
        <v>2203</v>
      </c>
      <c r="C41" s="377">
        <f ca="1">ROUND(SUM(C42:C43),0)</f>
        <v>5</v>
      </c>
      <c r="D41" s="380">
        <f ca="1">C44</f>
        <v>8.9999999999999998E-4</v>
      </c>
      <c r="E41" s="381" t="s">
        <v>2232</v>
      </c>
      <c r="F41" s="384"/>
      <c r="G41" s="379" t="str">
        <f>IF('数据-取费表'!B22&lt;=1,"单利计息","复利计息")</f>
        <v>复利计息</v>
      </c>
    </row>
    <row r="42" spans="1:7" ht="13.5" customHeight="1">
      <c r="A42" s="385" t="s">
        <v>1045</v>
      </c>
      <c r="B42" s="358" t="s">
        <v>2204</v>
      </c>
      <c r="C42" s="387">
        <f ca="1">ROUND(IF('数据-取费表'!B22&lt;=1,C33*F22*'数据-取费表'!B21/2,C33*(POWER((1+F22),'数据-取费表'!B21/2)-1)),0)</f>
        <v>5</v>
      </c>
      <c r="D42" s="387"/>
      <c r="E42" s="387"/>
      <c r="F42" s="388"/>
      <c r="G42" s="3359" t="s">
        <v>2234</v>
      </c>
    </row>
    <row r="43" spans="1:7" ht="13.5" customHeight="1">
      <c r="A43" s="385" t="s">
        <v>1047</v>
      </c>
      <c r="B43" s="358" t="s">
        <v>2206</v>
      </c>
      <c r="C43" s="387">
        <f ca="1">ROUND(IF('数据-取费表'!B22&lt;=1,C39*F22*'数据-取费表'!B21/2,C39*(POWER((1+F22),'数据-取费表'!B21/2)-1)),0)</f>
        <v>0</v>
      </c>
      <c r="D43" s="387"/>
      <c r="E43" s="387"/>
      <c r="F43" s="388"/>
      <c r="G43" s="3360"/>
    </row>
    <row r="44" spans="1:7" ht="13.5" customHeight="1">
      <c r="A44" s="385" t="s">
        <v>1049</v>
      </c>
      <c r="B44" s="358" t="s">
        <v>2208</v>
      </c>
      <c r="C44" s="387">
        <f ca="1">ROUND(IF('数据-取费表'!B22&lt;=1,C40*F22*'数据-取费表'!B21/2,C40*(POWER((1+F22),'数据-取费表'!B21/2)-1)),4)</f>
        <v>8.9999999999999998E-4</v>
      </c>
      <c r="D44" s="387"/>
      <c r="E44" s="387"/>
      <c r="F44" s="388"/>
      <c r="G44" s="3361"/>
    </row>
    <row r="45" spans="1:7" s="334" customFormat="1" ht="13.5" customHeight="1">
      <c r="A45" s="375" t="s">
        <v>1833</v>
      </c>
      <c r="B45" s="393" t="s">
        <v>2211</v>
      </c>
      <c r="C45" s="394">
        <f>C46</f>
        <v>24</v>
      </c>
      <c r="D45" s="380">
        <f>C47</f>
        <v>4.4999999999999997E-3</v>
      </c>
      <c r="E45" s="381" t="s">
        <v>2232</v>
      </c>
      <c r="F45" s="395"/>
      <c r="G45" s="396" t="s">
        <v>2235</v>
      </c>
    </row>
    <row r="46" spans="1:7" s="334" customFormat="1" ht="13.5" customHeight="1">
      <c r="A46" s="385" t="s">
        <v>1045</v>
      </c>
      <c r="B46" s="397" t="s">
        <v>2236</v>
      </c>
      <c r="C46" s="398">
        <f>ROUND((C33+C39)*F27,0)</f>
        <v>24</v>
      </c>
      <c r="D46" s="411"/>
      <c r="E46" s="381"/>
      <c r="F46" s="395"/>
      <c r="G46" s="396"/>
    </row>
    <row r="47" spans="1:7" s="334" customFormat="1" ht="13.5" customHeight="1">
      <c r="A47" s="385" t="s">
        <v>1047</v>
      </c>
      <c r="B47" s="397" t="s">
        <v>2237</v>
      </c>
      <c r="C47" s="387">
        <f>ROUND(C40*F27,4)</f>
        <v>4.4999999999999997E-3</v>
      </c>
      <c r="D47" s="411"/>
      <c r="E47" s="381"/>
      <c r="F47" s="395"/>
      <c r="G47" s="396"/>
    </row>
    <row r="48" spans="1:7" s="334" customFormat="1" ht="13.5" customHeight="1">
      <c r="A48" s="375" t="s">
        <v>1842</v>
      </c>
      <c r="B48" s="353" t="s">
        <v>2216</v>
      </c>
      <c r="C48" s="410">
        <f>F30</f>
        <v>5.6000000000000001E-2</v>
      </c>
      <c r="D48" s="381" t="s">
        <v>2238</v>
      </c>
      <c r="E48" s="377"/>
      <c r="F48" s="384"/>
      <c r="G48" s="382" t="s">
        <v>2239</v>
      </c>
    </row>
    <row r="49" spans="1:7" ht="16.5" customHeight="1">
      <c r="A49" s="375" t="s">
        <v>2215</v>
      </c>
      <c r="B49" s="353" t="s">
        <v>2240</v>
      </c>
      <c r="C49" s="377">
        <f ca="1">ROUND((C33+C39+C41+C45)/(1-C40-D41-D45-C48/(1+'数据-取费表'!B42)),0)</f>
        <v>205</v>
      </c>
      <c r="D49" s="377"/>
      <c r="E49" s="377"/>
      <c r="F49" s="412"/>
      <c r="G49" s="382" t="s">
        <v>2241</v>
      </c>
    </row>
    <row r="50" spans="1:7" s="336" customFormat="1" ht="24">
      <c r="A50" s="375" t="s">
        <v>2242</v>
      </c>
      <c r="B50" s="353" t="s">
        <v>2243</v>
      </c>
      <c r="C50" s="377"/>
      <c r="D50" s="377"/>
      <c r="E50" s="377"/>
      <c r="F50" s="412">
        <f>IF('数据-取费表'!B24=0,'数据-取费表'!N16,1)</f>
        <v>0.75</v>
      </c>
      <c r="G50" s="396" t="s">
        <v>2244</v>
      </c>
    </row>
    <row r="51" spans="1:7" ht="16.5" customHeight="1">
      <c r="A51" s="375" t="s">
        <v>2245</v>
      </c>
      <c r="B51" s="353" t="s">
        <v>2246</v>
      </c>
      <c r="C51" s="377">
        <f ca="1">ROUND(C49*F50,0)</f>
        <v>154</v>
      </c>
      <c r="D51" s="377"/>
      <c r="E51" s="377"/>
      <c r="F51" s="412"/>
      <c r="G51" s="382" t="s">
        <v>2247</v>
      </c>
    </row>
    <row r="52" spans="1:7" s="333" customFormat="1" ht="15.75">
      <c r="A52" s="413" t="s">
        <v>2248</v>
      </c>
      <c r="B52" s="414"/>
      <c r="C52" s="415">
        <f ca="1">C31+C51</f>
        <v>28409</v>
      </c>
      <c r="D52" s="414"/>
      <c r="E52" s="414"/>
      <c r="F52" s="414"/>
      <c r="G52" s="416"/>
    </row>
    <row r="55" spans="1:7" ht="15">
      <c r="B55" s="417" t="s">
        <v>2249</v>
      </c>
      <c r="C55" s="418"/>
    </row>
    <row r="56" spans="1:7">
      <c r="B56" s="419" t="s">
        <v>2250</v>
      </c>
      <c r="C56" s="420">
        <f ca="1">ROUND(C51/C52,3)</f>
        <v>5.0000000000000001E-3</v>
      </c>
    </row>
    <row r="57" spans="1:7">
      <c r="B57" s="419" t="s">
        <v>2251</v>
      </c>
      <c r="C57" s="421">
        <f ca="1">1-C56</f>
        <v>0.995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2252</v>
      </c>
      <c r="B1" s="3497"/>
    </row>
    <row r="2" spans="1:7">
      <c r="A2" s="298"/>
      <c r="B2" s="298"/>
    </row>
    <row r="3" spans="1:7">
      <c r="A3" s="298"/>
      <c r="B3" s="298"/>
      <c r="C3" s="299" t="s">
        <v>229</v>
      </c>
      <c r="D3" s="299" t="s">
        <v>230</v>
      </c>
      <c r="E3" s="299" t="s">
        <v>232</v>
      </c>
      <c r="F3" s="299" t="s">
        <v>233</v>
      </c>
      <c r="G3" s="299" t="s">
        <v>231</v>
      </c>
    </row>
    <row r="4" spans="1:7">
      <c r="A4" s="300" t="s">
        <v>2253</v>
      </c>
      <c r="B4" s="301" t="s">
        <v>2254</v>
      </c>
      <c r="C4" s="299"/>
      <c r="D4" s="299"/>
      <c r="E4" s="299"/>
      <c r="F4" s="299"/>
      <c r="G4" s="299"/>
    </row>
    <row r="5" spans="1:7">
      <c r="A5" s="302" t="s">
        <v>235</v>
      </c>
      <c r="B5" s="303" t="s">
        <v>2255</v>
      </c>
      <c r="C5" s="304">
        <v>9.8000000000000004E-2</v>
      </c>
      <c r="D5" s="304">
        <v>8.6999999999999994E-2</v>
      </c>
      <c r="E5" s="304">
        <v>8.6999999999999994E-2</v>
      </c>
      <c r="F5" s="304">
        <v>9.8000000000000004E-2</v>
      </c>
      <c r="G5" s="305">
        <v>9.5000000000000001E-2</v>
      </c>
    </row>
    <row r="6" spans="1:7">
      <c r="A6" s="306" t="s">
        <v>235</v>
      </c>
      <c r="B6" s="307" t="s">
        <v>2256</v>
      </c>
      <c r="C6" s="308">
        <v>9.8000000000000004E-2</v>
      </c>
      <c r="D6" s="308">
        <v>9.8000000000000004E-2</v>
      </c>
      <c r="E6" s="308">
        <v>9.8000000000000004E-2</v>
      </c>
      <c r="F6" s="308">
        <v>0.1</v>
      </c>
      <c r="G6" s="309">
        <v>9.9000000000000005E-2</v>
      </c>
    </row>
    <row r="7" spans="1:7">
      <c r="A7" s="306" t="s">
        <v>235</v>
      </c>
      <c r="B7" s="307" t="s">
        <v>2257</v>
      </c>
      <c r="C7" s="308">
        <v>9.7000000000000003E-2</v>
      </c>
      <c r="D7" s="308">
        <v>9.7000000000000003E-2</v>
      </c>
      <c r="E7" s="308">
        <v>9.6000000000000002E-2</v>
      </c>
      <c r="F7" s="308">
        <v>0.1</v>
      </c>
      <c r="G7" s="309">
        <v>9.8000000000000004E-2</v>
      </c>
    </row>
    <row r="8" spans="1:7">
      <c r="A8" s="306" t="s">
        <v>235</v>
      </c>
      <c r="B8" s="307" t="s">
        <v>2258</v>
      </c>
      <c r="C8" s="308">
        <v>8.1000000000000003E-2</v>
      </c>
      <c r="D8" s="308">
        <v>8.2000000000000003E-2</v>
      </c>
      <c r="E8" s="308">
        <v>7.0000000000000007E-2</v>
      </c>
      <c r="F8" s="308">
        <v>9.6000000000000002E-2</v>
      </c>
      <c r="G8" s="309">
        <v>8.8999999999999996E-2</v>
      </c>
    </row>
    <row r="9" spans="1:7">
      <c r="A9" s="310" t="s">
        <v>235</v>
      </c>
      <c r="B9" s="311" t="s">
        <v>2259</v>
      </c>
      <c r="C9" s="312">
        <v>0.1</v>
      </c>
      <c r="D9" s="312">
        <v>0.1</v>
      </c>
      <c r="E9" s="312">
        <v>0.1</v>
      </c>
      <c r="F9" s="313"/>
      <c r="G9" s="314">
        <v>0.1</v>
      </c>
    </row>
    <row r="10" spans="1:7">
      <c r="A10" s="302" t="s">
        <v>251</v>
      </c>
      <c r="B10" s="303" t="s">
        <v>2260</v>
      </c>
      <c r="C10" s="304">
        <v>6.7000000000000004E-2</v>
      </c>
      <c r="D10" s="304">
        <v>7.9000000000000001E-2</v>
      </c>
      <c r="E10" s="304">
        <v>7.9000000000000001E-2</v>
      </c>
      <c r="F10" s="304">
        <v>0.1</v>
      </c>
      <c r="G10" s="305">
        <v>9.0999999999999998E-2</v>
      </c>
    </row>
    <row r="11" spans="1:7">
      <c r="A11" s="306" t="s">
        <v>251</v>
      </c>
      <c r="B11" s="307" t="s">
        <v>2261</v>
      </c>
      <c r="C11" s="308">
        <v>0.05</v>
      </c>
      <c r="D11" s="308">
        <v>5.2999999999999999E-2</v>
      </c>
      <c r="E11" s="308">
        <v>6.3E-2</v>
      </c>
      <c r="F11" s="308">
        <v>0.1</v>
      </c>
      <c r="G11" s="309">
        <v>7.1999999999999995E-2</v>
      </c>
    </row>
    <row r="12" spans="1:7">
      <c r="A12" s="306" t="s">
        <v>251</v>
      </c>
      <c r="B12" s="307" t="s">
        <v>2262</v>
      </c>
      <c r="C12" s="308">
        <v>5.2999999999999999E-2</v>
      </c>
      <c r="D12" s="308">
        <v>0.09</v>
      </c>
      <c r="E12" s="308">
        <v>7.1999999999999995E-2</v>
      </c>
      <c r="F12" s="308">
        <v>0.1</v>
      </c>
      <c r="G12" s="309">
        <v>9.7000000000000003E-2</v>
      </c>
    </row>
    <row r="13" spans="1:7">
      <c r="A13" s="306" t="s">
        <v>251</v>
      </c>
      <c r="B13" s="307" t="s">
        <v>2263</v>
      </c>
      <c r="C13" s="308">
        <v>9.7000000000000003E-2</v>
      </c>
      <c r="D13" s="308">
        <v>9.1999999999999998E-2</v>
      </c>
      <c r="E13" s="308">
        <v>9.5000000000000001E-2</v>
      </c>
      <c r="F13" s="308">
        <v>0.1</v>
      </c>
      <c r="G13" s="309">
        <v>9.7000000000000003E-2</v>
      </c>
    </row>
    <row r="14" spans="1:7">
      <c r="A14" s="306" t="s">
        <v>251</v>
      </c>
      <c r="B14" s="307" t="s">
        <v>2264</v>
      </c>
      <c r="C14" s="308">
        <v>9.7000000000000003E-2</v>
      </c>
      <c r="D14" s="308">
        <v>9.7000000000000003E-2</v>
      </c>
      <c r="E14" s="308">
        <v>9.7000000000000003E-2</v>
      </c>
      <c r="F14" s="308">
        <v>0.1</v>
      </c>
      <c r="G14" s="309">
        <v>9.8000000000000004E-2</v>
      </c>
    </row>
    <row r="15" spans="1:7">
      <c r="A15" s="306" t="s">
        <v>251</v>
      </c>
      <c r="B15" s="307" t="s">
        <v>2265</v>
      </c>
      <c r="C15" s="308">
        <v>9.8000000000000004E-2</v>
      </c>
      <c r="D15" s="308">
        <v>9.0999999999999998E-2</v>
      </c>
      <c r="E15" s="308">
        <v>0.06</v>
      </c>
      <c r="F15" s="308">
        <v>0.1</v>
      </c>
      <c r="G15" s="309">
        <v>9.7000000000000003E-2</v>
      </c>
    </row>
    <row r="16" spans="1:7">
      <c r="A16" s="306" t="s">
        <v>251</v>
      </c>
      <c r="B16" s="307" t="s">
        <v>2266</v>
      </c>
      <c r="C16" s="308">
        <v>9.8000000000000004E-2</v>
      </c>
      <c r="D16" s="308">
        <v>9.7000000000000003E-2</v>
      </c>
      <c r="E16" s="308">
        <v>9.5000000000000001E-2</v>
      </c>
      <c r="F16" s="308">
        <v>0.1</v>
      </c>
      <c r="G16" s="309">
        <v>9.9000000000000005E-2</v>
      </c>
    </row>
    <row r="17" spans="1:7">
      <c r="A17" s="306" t="s">
        <v>251</v>
      </c>
      <c r="B17" s="307" t="s">
        <v>2267</v>
      </c>
      <c r="C17" s="308">
        <v>8.8999999999999996E-2</v>
      </c>
      <c r="D17" s="308">
        <v>9.1999999999999998E-2</v>
      </c>
      <c r="E17" s="308">
        <v>6.0999999999999999E-2</v>
      </c>
      <c r="F17" s="308">
        <v>0.1</v>
      </c>
      <c r="G17" s="309">
        <v>9.7000000000000003E-2</v>
      </c>
    </row>
    <row r="18" spans="1:7">
      <c r="A18" s="306" t="s">
        <v>251</v>
      </c>
      <c r="B18" s="307" t="s">
        <v>2268</v>
      </c>
      <c r="C18" s="308">
        <v>9.8000000000000004E-2</v>
      </c>
      <c r="D18" s="308">
        <v>9.8000000000000004E-2</v>
      </c>
      <c r="E18" s="308">
        <v>9.8000000000000004E-2</v>
      </c>
      <c r="F18" s="315"/>
      <c r="G18" s="309">
        <v>9.9000000000000005E-2</v>
      </c>
    </row>
    <row r="19" spans="1:7">
      <c r="A19" s="306" t="s">
        <v>251</v>
      </c>
      <c r="B19" s="307" t="s">
        <v>2269</v>
      </c>
      <c r="C19" s="308">
        <v>9.9000000000000005E-2</v>
      </c>
      <c r="D19" s="308">
        <v>7.3999999999999996E-2</v>
      </c>
      <c r="E19" s="308">
        <v>8.1000000000000003E-2</v>
      </c>
      <c r="F19" s="315"/>
      <c r="G19" s="309">
        <v>9.2999999999999999E-2</v>
      </c>
    </row>
    <row r="20" spans="1:7">
      <c r="A20" s="306" t="s">
        <v>251</v>
      </c>
      <c r="B20" s="307" t="s">
        <v>2270</v>
      </c>
      <c r="C20" s="308">
        <v>0.1</v>
      </c>
      <c r="D20" s="308">
        <v>8.8999999999999996E-2</v>
      </c>
      <c r="E20" s="308">
        <v>8.8999999999999996E-2</v>
      </c>
      <c r="F20" s="315"/>
      <c r="G20" s="309">
        <v>9.5000000000000001E-2</v>
      </c>
    </row>
    <row r="21" spans="1:7">
      <c r="A21" s="306" t="s">
        <v>251</v>
      </c>
      <c r="B21" s="307" t="s">
        <v>2271</v>
      </c>
      <c r="C21" s="308">
        <v>0.1</v>
      </c>
      <c r="D21" s="308">
        <v>9.0999999999999998E-2</v>
      </c>
      <c r="E21" s="308">
        <v>8.2000000000000003E-2</v>
      </c>
      <c r="F21" s="315"/>
      <c r="G21" s="309">
        <v>9.7000000000000003E-2</v>
      </c>
    </row>
    <row r="22" spans="1:7">
      <c r="A22" s="306" t="s">
        <v>251</v>
      </c>
      <c r="B22" s="307" t="s">
        <v>2272</v>
      </c>
      <c r="C22" s="308">
        <v>9.5000000000000001E-2</v>
      </c>
      <c r="D22" s="308">
        <v>9.9000000000000005E-2</v>
      </c>
      <c r="E22" s="308">
        <v>9.8000000000000004E-2</v>
      </c>
      <c r="F22" s="315"/>
      <c r="G22" s="309">
        <v>0.1</v>
      </c>
    </row>
    <row r="23" spans="1:7">
      <c r="A23" s="306" t="s">
        <v>251</v>
      </c>
      <c r="B23" s="307" t="s">
        <v>2273</v>
      </c>
      <c r="C23" s="308">
        <v>9.9000000000000005E-2</v>
      </c>
      <c r="D23" s="308">
        <v>0.1</v>
      </c>
      <c r="E23" s="308">
        <v>0.1</v>
      </c>
      <c r="F23" s="315"/>
      <c r="G23" s="309">
        <v>0.1</v>
      </c>
    </row>
    <row r="24" spans="1:7">
      <c r="A24" s="306" t="s">
        <v>251</v>
      </c>
      <c r="B24" s="307" t="s">
        <v>2274</v>
      </c>
      <c r="C24" s="308">
        <v>9.5000000000000001E-2</v>
      </c>
      <c r="D24" s="308">
        <v>0.1</v>
      </c>
      <c r="E24" s="308">
        <v>9.8000000000000004E-2</v>
      </c>
      <c r="F24" s="315"/>
      <c r="G24" s="309">
        <v>0.1</v>
      </c>
    </row>
    <row r="25" spans="1:7">
      <c r="A25" s="306" t="s">
        <v>251</v>
      </c>
      <c r="B25" s="307" t="s">
        <v>2275</v>
      </c>
      <c r="C25" s="308">
        <v>0.05</v>
      </c>
      <c r="D25" s="308">
        <v>9.6000000000000002E-2</v>
      </c>
      <c r="E25" s="308">
        <v>9.6000000000000002E-2</v>
      </c>
      <c r="F25" s="315"/>
      <c r="G25" s="309">
        <v>9.6000000000000002E-2</v>
      </c>
    </row>
    <row r="26" spans="1:7">
      <c r="A26" s="306" t="s">
        <v>251</v>
      </c>
      <c r="B26" s="307" t="s">
        <v>2276</v>
      </c>
      <c r="C26" s="308">
        <v>6.3E-2</v>
      </c>
      <c r="D26" s="308">
        <v>9.9000000000000005E-2</v>
      </c>
      <c r="E26" s="308">
        <v>9.8000000000000004E-2</v>
      </c>
      <c r="F26" s="315"/>
      <c r="G26" s="309">
        <v>0.1</v>
      </c>
    </row>
    <row r="27" spans="1:7">
      <c r="A27" s="306" t="s">
        <v>251</v>
      </c>
      <c r="B27" s="307" t="s">
        <v>2277</v>
      </c>
      <c r="C27" s="308">
        <v>5.1999999999999998E-2</v>
      </c>
      <c r="D27" s="308">
        <v>9.5000000000000001E-2</v>
      </c>
      <c r="E27" s="308">
        <v>6.4000000000000001E-2</v>
      </c>
      <c r="F27" s="315"/>
      <c r="G27" s="309">
        <v>9.7000000000000003E-2</v>
      </c>
    </row>
    <row r="28" spans="1:7">
      <c r="A28" s="306" t="s">
        <v>251</v>
      </c>
      <c r="B28" s="307" t="s">
        <v>2278</v>
      </c>
      <c r="C28" s="315"/>
      <c r="D28" s="308">
        <v>6.3E-2</v>
      </c>
      <c r="E28" s="308">
        <v>5.1999999999999998E-2</v>
      </c>
      <c r="F28" s="315"/>
      <c r="G28" s="309">
        <v>6.3E-2</v>
      </c>
    </row>
    <row r="29" spans="1:7">
      <c r="A29" s="310" t="s">
        <v>251</v>
      </c>
      <c r="B29" s="311" t="s">
        <v>2279</v>
      </c>
      <c r="C29" s="316"/>
      <c r="D29" s="312">
        <v>5.1999999999999998E-2</v>
      </c>
      <c r="E29" s="312">
        <v>7.0000000000000007E-2</v>
      </c>
      <c r="F29" s="316"/>
      <c r="G29" s="314">
        <v>7.0999999999999994E-2</v>
      </c>
    </row>
    <row r="30" spans="1:7">
      <c r="A30" s="317" t="s">
        <v>264</v>
      </c>
      <c r="B30" s="303" t="s">
        <v>2280</v>
      </c>
      <c r="C30" s="304">
        <v>6.6000000000000003E-2</v>
      </c>
      <c r="D30" s="304">
        <v>6.6000000000000003E-2</v>
      </c>
      <c r="E30" s="304">
        <v>5.7000000000000002E-2</v>
      </c>
      <c r="F30" s="304">
        <v>0.1</v>
      </c>
      <c r="G30" s="305">
        <v>6.8000000000000005E-2</v>
      </c>
    </row>
    <row r="31" spans="1:7">
      <c r="A31" s="318" t="s">
        <v>264</v>
      </c>
      <c r="B31" s="307" t="s">
        <v>2281</v>
      </c>
      <c r="C31" s="308">
        <v>5.5E-2</v>
      </c>
      <c r="D31" s="308">
        <v>8.2000000000000003E-2</v>
      </c>
      <c r="E31" s="308">
        <v>6.4000000000000001E-2</v>
      </c>
      <c r="F31" s="308">
        <v>0.1</v>
      </c>
      <c r="G31" s="309">
        <v>9.5000000000000001E-2</v>
      </c>
    </row>
    <row r="32" spans="1:7">
      <c r="A32" s="318" t="s">
        <v>264</v>
      </c>
      <c r="B32" s="307" t="s">
        <v>2282</v>
      </c>
      <c r="C32" s="308">
        <v>8.2000000000000003E-2</v>
      </c>
      <c r="D32" s="308">
        <v>8.6999999999999994E-2</v>
      </c>
      <c r="E32" s="308">
        <v>9.5000000000000001E-2</v>
      </c>
      <c r="F32" s="308">
        <v>0.1</v>
      </c>
      <c r="G32" s="309">
        <v>9.6000000000000002E-2</v>
      </c>
    </row>
    <row r="33" spans="1:7">
      <c r="A33" s="318" t="s">
        <v>264</v>
      </c>
      <c r="B33" s="307" t="s">
        <v>2283</v>
      </c>
      <c r="C33" s="308">
        <v>9.9000000000000005E-2</v>
      </c>
      <c r="D33" s="308">
        <v>9.1999999999999998E-2</v>
      </c>
      <c r="E33" s="308">
        <v>8.6999999999999994E-2</v>
      </c>
      <c r="F33" s="308">
        <v>0.1</v>
      </c>
      <c r="G33" s="309">
        <v>9.7000000000000003E-2</v>
      </c>
    </row>
    <row r="34" spans="1:7">
      <c r="A34" s="318" t="s">
        <v>264</v>
      </c>
      <c r="B34" s="307" t="s">
        <v>2284</v>
      </c>
      <c r="C34" s="308">
        <v>8.4000000000000005E-2</v>
      </c>
      <c r="D34" s="308">
        <v>9.7000000000000003E-2</v>
      </c>
      <c r="E34" s="308">
        <v>7.0999999999999994E-2</v>
      </c>
      <c r="F34" s="308">
        <v>0.1</v>
      </c>
      <c r="G34" s="309">
        <v>9.8000000000000004E-2</v>
      </c>
    </row>
    <row r="35" spans="1:7">
      <c r="A35" s="318" t="s">
        <v>264</v>
      </c>
      <c r="B35" s="307" t="s">
        <v>2285</v>
      </c>
      <c r="C35" s="308">
        <v>8.3000000000000004E-2</v>
      </c>
      <c r="D35" s="308">
        <v>9.7000000000000003E-2</v>
      </c>
      <c r="E35" s="308">
        <v>6.0999999999999999E-2</v>
      </c>
      <c r="F35" s="308">
        <v>0.1</v>
      </c>
      <c r="G35" s="309">
        <v>9.9000000000000005E-2</v>
      </c>
    </row>
    <row r="36" spans="1:7">
      <c r="A36" s="318" t="s">
        <v>264</v>
      </c>
      <c r="B36" s="307" t="s">
        <v>2286</v>
      </c>
      <c r="C36" s="308">
        <v>9.7000000000000003E-2</v>
      </c>
      <c r="D36" s="308">
        <v>9.7000000000000003E-2</v>
      </c>
      <c r="E36" s="308">
        <v>7.8E-2</v>
      </c>
      <c r="F36" s="308">
        <v>0.1</v>
      </c>
      <c r="G36" s="309">
        <v>9.9000000000000005E-2</v>
      </c>
    </row>
    <row r="37" spans="1:7">
      <c r="A37" s="318" t="s">
        <v>264</v>
      </c>
      <c r="B37" s="307" t="s">
        <v>2287</v>
      </c>
      <c r="C37" s="308">
        <v>9.7000000000000003E-2</v>
      </c>
      <c r="D37" s="308">
        <v>9.5000000000000001E-2</v>
      </c>
      <c r="E37" s="308">
        <v>7.8E-2</v>
      </c>
      <c r="F37" s="308">
        <v>0.1</v>
      </c>
      <c r="G37" s="309">
        <v>9.7000000000000003E-2</v>
      </c>
    </row>
    <row r="38" spans="1:7">
      <c r="A38" s="318" t="s">
        <v>264</v>
      </c>
      <c r="B38" s="307" t="s">
        <v>2288</v>
      </c>
      <c r="C38" s="308">
        <v>9.7000000000000003E-2</v>
      </c>
      <c r="D38" s="308">
        <v>7.6999999999999999E-2</v>
      </c>
      <c r="E38" s="308">
        <v>7.0000000000000007E-2</v>
      </c>
      <c r="F38" s="308">
        <v>0.1</v>
      </c>
      <c r="G38" s="309">
        <v>7.6999999999999999E-2</v>
      </c>
    </row>
    <row r="39" spans="1:7">
      <c r="A39" s="318" t="s">
        <v>264</v>
      </c>
      <c r="B39" s="307" t="s">
        <v>2289</v>
      </c>
      <c r="C39" s="308">
        <v>9.5000000000000001E-2</v>
      </c>
      <c r="D39" s="308">
        <v>7.6999999999999999E-2</v>
      </c>
      <c r="E39" s="308">
        <v>6.6000000000000003E-2</v>
      </c>
      <c r="F39" s="308">
        <v>0.1</v>
      </c>
      <c r="G39" s="309">
        <v>8.5999999999999993E-2</v>
      </c>
    </row>
    <row r="40" spans="1:7">
      <c r="A40" s="318" t="s">
        <v>264</v>
      </c>
      <c r="B40" s="307" t="s">
        <v>2290</v>
      </c>
      <c r="C40" s="308">
        <v>7.6999999999999999E-2</v>
      </c>
      <c r="D40" s="308">
        <v>7.8E-2</v>
      </c>
      <c r="E40" s="308">
        <v>8.2000000000000003E-2</v>
      </c>
      <c r="F40" s="319"/>
      <c r="G40" s="309">
        <v>7.8E-2</v>
      </c>
    </row>
    <row r="41" spans="1:7">
      <c r="A41" s="318" t="s">
        <v>264</v>
      </c>
      <c r="B41" s="307" t="s">
        <v>2291</v>
      </c>
      <c r="C41" s="308">
        <v>7.8E-2</v>
      </c>
      <c r="D41" s="308">
        <v>7.8E-2</v>
      </c>
      <c r="E41" s="308">
        <v>8.2000000000000003E-2</v>
      </c>
      <c r="F41" s="319"/>
      <c r="G41" s="309">
        <v>8.5999999999999993E-2</v>
      </c>
    </row>
    <row r="42" spans="1:7">
      <c r="A42" s="318" t="s">
        <v>264</v>
      </c>
      <c r="B42" s="307" t="s">
        <v>2292</v>
      </c>
      <c r="C42" s="308">
        <v>7.8E-2</v>
      </c>
      <c r="D42" s="308">
        <v>9.6000000000000002E-2</v>
      </c>
      <c r="E42" s="308">
        <v>7.1999999999999995E-2</v>
      </c>
      <c r="F42" s="319"/>
      <c r="G42" s="309">
        <v>9.8000000000000004E-2</v>
      </c>
    </row>
    <row r="43" spans="1:7">
      <c r="A43" s="318" t="s">
        <v>264</v>
      </c>
      <c r="B43" s="307" t="s">
        <v>2293</v>
      </c>
      <c r="C43" s="308">
        <v>7.8E-2</v>
      </c>
      <c r="D43" s="308">
        <v>9.9000000000000005E-2</v>
      </c>
      <c r="E43" s="308">
        <v>9.6000000000000002E-2</v>
      </c>
      <c r="F43" s="319"/>
      <c r="G43" s="309">
        <v>0.1</v>
      </c>
    </row>
    <row r="44" spans="1:7">
      <c r="A44" s="318" t="s">
        <v>264</v>
      </c>
      <c r="B44" s="307" t="s">
        <v>2294</v>
      </c>
      <c r="C44" s="308">
        <v>9.6000000000000002E-2</v>
      </c>
      <c r="D44" s="308">
        <v>0.1</v>
      </c>
      <c r="E44" s="308">
        <v>9.8000000000000004E-2</v>
      </c>
      <c r="F44" s="319"/>
      <c r="G44" s="309">
        <v>0.1</v>
      </c>
    </row>
    <row r="45" spans="1:7">
      <c r="A45" s="318" t="s">
        <v>264</v>
      </c>
      <c r="B45" s="307" t="s">
        <v>2295</v>
      </c>
      <c r="C45" s="308">
        <v>9.9000000000000005E-2</v>
      </c>
      <c r="D45" s="308">
        <v>9.8000000000000004E-2</v>
      </c>
      <c r="E45" s="308">
        <v>9.5000000000000001E-2</v>
      </c>
      <c r="F45" s="319"/>
      <c r="G45" s="309">
        <v>9.8000000000000004E-2</v>
      </c>
    </row>
    <row r="46" spans="1:7">
      <c r="A46" s="318" t="s">
        <v>264</v>
      </c>
      <c r="B46" s="307" t="s">
        <v>2296</v>
      </c>
      <c r="C46" s="308">
        <v>0.1</v>
      </c>
      <c r="D46" s="308">
        <v>9.9000000000000005E-2</v>
      </c>
      <c r="E46" s="308">
        <v>9.6000000000000002E-2</v>
      </c>
      <c r="F46" s="319"/>
      <c r="G46" s="309">
        <v>0.1</v>
      </c>
    </row>
    <row r="47" spans="1:7">
      <c r="A47" s="318" t="s">
        <v>264</v>
      </c>
      <c r="B47" s="307" t="s">
        <v>2297</v>
      </c>
      <c r="C47" s="308">
        <v>9.8000000000000004E-2</v>
      </c>
      <c r="D47" s="308">
        <v>8.6999999999999994E-2</v>
      </c>
      <c r="E47" s="308">
        <v>5.8999999999999997E-2</v>
      </c>
      <c r="F47" s="319"/>
      <c r="G47" s="309">
        <v>9.6000000000000002E-2</v>
      </c>
    </row>
    <row r="48" spans="1:7">
      <c r="A48" s="318" t="s">
        <v>264</v>
      </c>
      <c r="B48" s="307" t="s">
        <v>2298</v>
      </c>
      <c r="C48" s="308">
        <v>9.9000000000000005E-2</v>
      </c>
      <c r="D48" s="308">
        <v>9.8000000000000004E-2</v>
      </c>
      <c r="E48" s="308">
        <v>9.5000000000000001E-2</v>
      </c>
      <c r="F48" s="319"/>
      <c r="G48" s="309">
        <v>9.8000000000000004E-2</v>
      </c>
    </row>
    <row r="49" spans="1:7">
      <c r="A49" s="318" t="s">
        <v>264</v>
      </c>
      <c r="B49" s="307" t="s">
        <v>2299</v>
      </c>
      <c r="C49" s="308">
        <v>8.7999999999999995E-2</v>
      </c>
      <c r="D49" s="308">
        <v>9.9000000000000005E-2</v>
      </c>
      <c r="E49" s="308">
        <v>7.0000000000000007E-2</v>
      </c>
      <c r="F49" s="319"/>
      <c r="G49" s="309">
        <v>0.1</v>
      </c>
    </row>
    <row r="50" spans="1:7">
      <c r="A50" s="318" t="s">
        <v>264</v>
      </c>
      <c r="B50" s="307" t="s">
        <v>2300</v>
      </c>
      <c r="C50" s="308">
        <v>9.8000000000000004E-2</v>
      </c>
      <c r="D50" s="308">
        <v>7.2999999999999995E-2</v>
      </c>
      <c r="E50" s="308">
        <v>7.0999999999999994E-2</v>
      </c>
      <c r="F50" s="319"/>
      <c r="G50" s="309">
        <v>7.2999999999999995E-2</v>
      </c>
    </row>
    <row r="51" spans="1:7">
      <c r="A51" s="318" t="s">
        <v>264</v>
      </c>
      <c r="B51" s="307" t="s">
        <v>2301</v>
      </c>
      <c r="C51" s="308">
        <v>9.9000000000000005E-2</v>
      </c>
      <c r="D51" s="308">
        <v>8.5000000000000006E-2</v>
      </c>
      <c r="E51" s="308">
        <v>6.3E-2</v>
      </c>
      <c r="F51" s="319"/>
      <c r="G51" s="309">
        <v>9.6000000000000002E-2</v>
      </c>
    </row>
    <row r="52" spans="1:7">
      <c r="A52" s="318" t="s">
        <v>264</v>
      </c>
      <c r="B52" s="307" t="s">
        <v>2302</v>
      </c>
      <c r="C52" s="308">
        <v>7.3999999999999996E-2</v>
      </c>
      <c r="D52" s="308">
        <v>9.6000000000000002E-2</v>
      </c>
      <c r="E52" s="308">
        <v>0.05</v>
      </c>
      <c r="F52" s="319"/>
      <c r="G52" s="309">
        <v>9.8000000000000004E-2</v>
      </c>
    </row>
    <row r="53" spans="1:7">
      <c r="A53" s="318" t="s">
        <v>264</v>
      </c>
      <c r="B53" s="307" t="s">
        <v>2303</v>
      </c>
      <c r="C53" s="308">
        <v>8.5999999999999993E-2</v>
      </c>
      <c r="D53" s="319"/>
      <c r="E53" s="308">
        <v>9.1999999999999998E-2</v>
      </c>
      <c r="F53" s="319"/>
      <c r="G53" s="320"/>
    </row>
    <row r="54" spans="1:7">
      <c r="A54" s="321" t="s">
        <v>264</v>
      </c>
      <c r="B54" s="311" t="s">
        <v>2304</v>
      </c>
      <c r="C54" s="312">
        <v>9.6000000000000002E-2</v>
      </c>
      <c r="D54" s="313"/>
      <c r="E54" s="322"/>
      <c r="F54" s="313"/>
      <c r="G54" s="323"/>
    </row>
    <row r="55" spans="1:7">
      <c r="A55" s="317" t="s">
        <v>275</v>
      </c>
      <c r="B55" s="303" t="s">
        <v>2305</v>
      </c>
      <c r="C55" s="304">
        <v>9.6000000000000002E-2</v>
      </c>
      <c r="D55" s="304">
        <v>8.4000000000000005E-2</v>
      </c>
      <c r="E55" s="304">
        <v>9.1999999999999998E-2</v>
      </c>
      <c r="F55" s="304">
        <v>0.1</v>
      </c>
      <c r="G55" s="305">
        <v>9.5000000000000001E-2</v>
      </c>
    </row>
    <row r="56" spans="1:7">
      <c r="A56" s="318" t="s">
        <v>275</v>
      </c>
      <c r="B56" s="307" t="s">
        <v>2306</v>
      </c>
      <c r="C56" s="308">
        <v>8.4000000000000005E-2</v>
      </c>
      <c r="D56" s="308">
        <v>9.1999999999999998E-2</v>
      </c>
      <c r="E56" s="308">
        <v>9.5000000000000001E-2</v>
      </c>
      <c r="F56" s="308">
        <v>9.1999999999999998E-2</v>
      </c>
      <c r="G56" s="309">
        <v>9.6000000000000002E-2</v>
      </c>
    </row>
    <row r="57" spans="1:7">
      <c r="A57" s="318" t="s">
        <v>275</v>
      </c>
      <c r="B57" s="307" t="s">
        <v>2307</v>
      </c>
      <c r="C57" s="308">
        <v>9.9000000000000005E-2</v>
      </c>
      <c r="D57" s="308">
        <v>9.6000000000000002E-2</v>
      </c>
      <c r="E57" s="308">
        <v>9.1999999999999998E-2</v>
      </c>
      <c r="F57" s="308">
        <v>0.1</v>
      </c>
      <c r="G57" s="309">
        <v>9.8000000000000004E-2</v>
      </c>
    </row>
    <row r="58" spans="1:7">
      <c r="A58" s="318" t="s">
        <v>275</v>
      </c>
      <c r="B58" s="307" t="s">
        <v>2308</v>
      </c>
      <c r="C58" s="308">
        <v>9.8000000000000004E-2</v>
      </c>
      <c r="D58" s="308">
        <v>9.5000000000000001E-2</v>
      </c>
      <c r="E58" s="308">
        <v>5.7000000000000002E-2</v>
      </c>
      <c r="F58" s="308">
        <v>0.1</v>
      </c>
      <c r="G58" s="309">
        <v>9.6000000000000002E-2</v>
      </c>
    </row>
    <row r="59" spans="1:7">
      <c r="A59" s="318" t="s">
        <v>275</v>
      </c>
      <c r="B59" s="307" t="s">
        <v>2309</v>
      </c>
      <c r="C59" s="308">
        <v>9.5000000000000001E-2</v>
      </c>
      <c r="D59" s="308">
        <v>0.1</v>
      </c>
      <c r="E59" s="308">
        <v>7.4999999999999997E-2</v>
      </c>
      <c r="F59" s="308">
        <v>0.1</v>
      </c>
      <c r="G59" s="309">
        <v>0.1</v>
      </c>
    </row>
    <row r="60" spans="1:7">
      <c r="A60" s="318" t="s">
        <v>275</v>
      </c>
      <c r="B60" s="307" t="s">
        <v>2310</v>
      </c>
      <c r="C60" s="308">
        <v>0.1</v>
      </c>
      <c r="D60" s="308">
        <v>9.7000000000000003E-2</v>
      </c>
      <c r="E60" s="308">
        <v>0.1</v>
      </c>
      <c r="F60" s="308">
        <v>0.1</v>
      </c>
      <c r="G60" s="309">
        <v>9.7000000000000003E-2</v>
      </c>
    </row>
    <row r="61" spans="1:7">
      <c r="A61" s="318" t="s">
        <v>275</v>
      </c>
      <c r="B61" s="307" t="s">
        <v>2311</v>
      </c>
      <c r="C61" s="308">
        <v>9.7000000000000003E-2</v>
      </c>
      <c r="D61" s="308">
        <v>0.1</v>
      </c>
      <c r="E61" s="308">
        <v>9.2999999999999999E-2</v>
      </c>
      <c r="F61" s="308">
        <v>0.1</v>
      </c>
      <c r="G61" s="309">
        <v>0.1</v>
      </c>
    </row>
    <row r="62" spans="1:7">
      <c r="A62" s="318" t="s">
        <v>275</v>
      </c>
      <c r="B62" s="307" t="s">
        <v>2312</v>
      </c>
      <c r="C62" s="308">
        <v>0.1</v>
      </c>
      <c r="D62" s="308">
        <v>9.7000000000000003E-2</v>
      </c>
      <c r="E62" s="308">
        <v>8.8999999999999996E-2</v>
      </c>
      <c r="F62" s="308">
        <v>0.1</v>
      </c>
      <c r="G62" s="309">
        <v>9.8000000000000004E-2</v>
      </c>
    </row>
    <row r="63" spans="1:7">
      <c r="A63" s="318" t="s">
        <v>275</v>
      </c>
      <c r="B63" s="307" t="s">
        <v>2313</v>
      </c>
      <c r="C63" s="308">
        <v>9.7000000000000003E-2</v>
      </c>
      <c r="D63" s="308">
        <v>9.7000000000000003E-2</v>
      </c>
      <c r="E63" s="308">
        <v>9.9000000000000005E-2</v>
      </c>
      <c r="F63" s="308">
        <v>0.1</v>
      </c>
      <c r="G63" s="309">
        <v>9.7000000000000003E-2</v>
      </c>
    </row>
    <row r="64" spans="1:7">
      <c r="A64" s="318" t="s">
        <v>275</v>
      </c>
      <c r="B64" s="307" t="s">
        <v>2314</v>
      </c>
      <c r="C64" s="308">
        <v>9.7000000000000003E-2</v>
      </c>
      <c r="D64" s="308">
        <v>7.3999999999999996E-2</v>
      </c>
      <c r="E64" s="308">
        <v>7.8E-2</v>
      </c>
      <c r="F64" s="308">
        <v>0.1</v>
      </c>
      <c r="G64" s="309">
        <v>8.8999999999999996E-2</v>
      </c>
    </row>
    <row r="65" spans="1:7">
      <c r="A65" s="318" t="s">
        <v>275</v>
      </c>
      <c r="B65" s="307" t="s">
        <v>2315</v>
      </c>
      <c r="C65" s="308">
        <v>7.2999999999999995E-2</v>
      </c>
      <c r="D65" s="308">
        <v>9.8000000000000004E-2</v>
      </c>
      <c r="E65" s="308">
        <v>9.5000000000000001E-2</v>
      </c>
      <c r="F65" s="308">
        <v>0.1</v>
      </c>
      <c r="G65" s="309">
        <v>9.9000000000000005E-2</v>
      </c>
    </row>
    <row r="66" spans="1:7">
      <c r="A66" s="318" t="s">
        <v>275</v>
      </c>
      <c r="B66" s="307" t="s">
        <v>2316</v>
      </c>
      <c r="C66" s="308">
        <v>9.8000000000000004E-2</v>
      </c>
      <c r="D66" s="308">
        <v>9.5000000000000001E-2</v>
      </c>
      <c r="E66" s="308">
        <v>0.05</v>
      </c>
      <c r="F66" s="308">
        <v>0.1</v>
      </c>
      <c r="G66" s="309">
        <v>9.7000000000000003E-2</v>
      </c>
    </row>
    <row r="67" spans="1:7">
      <c r="A67" s="318" t="s">
        <v>275</v>
      </c>
      <c r="B67" s="307" t="s">
        <v>2317</v>
      </c>
      <c r="C67" s="308">
        <v>9.5000000000000001E-2</v>
      </c>
      <c r="D67" s="308">
        <v>9.7000000000000003E-2</v>
      </c>
      <c r="E67" s="308">
        <v>9.7000000000000003E-2</v>
      </c>
      <c r="F67" s="308">
        <v>0.1</v>
      </c>
      <c r="G67" s="309">
        <v>9.9000000000000005E-2</v>
      </c>
    </row>
    <row r="68" spans="1:7">
      <c r="A68" s="318" t="s">
        <v>275</v>
      </c>
      <c r="B68" s="307" t="s">
        <v>2318</v>
      </c>
      <c r="C68" s="308">
        <v>9.7000000000000003E-2</v>
      </c>
      <c r="D68" s="308">
        <v>6.8000000000000005E-2</v>
      </c>
      <c r="E68" s="308">
        <v>6.6000000000000003E-2</v>
      </c>
      <c r="F68" s="308">
        <v>0.1</v>
      </c>
      <c r="G68" s="309">
        <v>8.4000000000000005E-2</v>
      </c>
    </row>
    <row r="69" spans="1:7">
      <c r="A69" s="318" t="s">
        <v>275</v>
      </c>
      <c r="B69" s="307" t="s">
        <v>2319</v>
      </c>
      <c r="C69" s="308">
        <v>6.8000000000000005E-2</v>
      </c>
      <c r="D69" s="308">
        <v>9.8000000000000004E-2</v>
      </c>
      <c r="E69" s="308">
        <v>9.5000000000000001E-2</v>
      </c>
      <c r="F69" s="308">
        <v>0.1</v>
      </c>
      <c r="G69" s="309">
        <v>0.1</v>
      </c>
    </row>
    <row r="70" spans="1:7">
      <c r="A70" s="318" t="s">
        <v>275</v>
      </c>
      <c r="B70" s="307" t="s">
        <v>2320</v>
      </c>
      <c r="C70" s="308">
        <v>9.8000000000000004E-2</v>
      </c>
      <c r="D70" s="308">
        <v>8.8999999999999996E-2</v>
      </c>
      <c r="E70" s="308">
        <v>5.8999999999999997E-2</v>
      </c>
      <c r="F70" s="308">
        <v>0.1</v>
      </c>
      <c r="G70" s="309">
        <v>9.6000000000000002E-2</v>
      </c>
    </row>
    <row r="71" spans="1:7">
      <c r="A71" s="318" t="s">
        <v>275</v>
      </c>
      <c r="B71" s="307" t="s">
        <v>2321</v>
      </c>
      <c r="C71" s="308">
        <v>8.8999999999999996E-2</v>
      </c>
      <c r="D71" s="308">
        <v>9.9000000000000005E-2</v>
      </c>
      <c r="E71" s="308">
        <v>9.6000000000000002E-2</v>
      </c>
      <c r="F71" s="308">
        <v>0.1</v>
      </c>
      <c r="G71" s="309">
        <v>0.1</v>
      </c>
    </row>
    <row r="72" spans="1:7">
      <c r="A72" s="318" t="s">
        <v>275</v>
      </c>
      <c r="B72" s="307" t="s">
        <v>2322</v>
      </c>
      <c r="C72" s="308">
        <v>9.9000000000000005E-2</v>
      </c>
      <c r="D72" s="308">
        <v>0.1</v>
      </c>
      <c r="E72" s="308">
        <v>7.0000000000000007E-2</v>
      </c>
      <c r="F72" s="319"/>
      <c r="G72" s="309">
        <v>0.1</v>
      </c>
    </row>
    <row r="73" spans="1:7">
      <c r="A73" s="318" t="s">
        <v>275</v>
      </c>
      <c r="B73" s="307" t="s">
        <v>2323</v>
      </c>
      <c r="C73" s="308">
        <v>0.1</v>
      </c>
      <c r="D73" s="308">
        <v>0.1</v>
      </c>
      <c r="E73" s="308">
        <v>9.6000000000000002E-2</v>
      </c>
      <c r="F73" s="319"/>
      <c r="G73" s="309">
        <v>0.1</v>
      </c>
    </row>
    <row r="74" spans="1:7">
      <c r="A74" s="318" t="s">
        <v>275</v>
      </c>
      <c r="B74" s="307" t="s">
        <v>2324</v>
      </c>
      <c r="C74" s="308">
        <v>0.1</v>
      </c>
      <c r="D74" s="308">
        <v>0.1</v>
      </c>
      <c r="E74" s="308">
        <v>9.8000000000000004E-2</v>
      </c>
      <c r="F74" s="319"/>
      <c r="G74" s="309">
        <v>0.1</v>
      </c>
    </row>
    <row r="75" spans="1:7">
      <c r="A75" s="318" t="s">
        <v>275</v>
      </c>
      <c r="B75" s="307" t="s">
        <v>2325</v>
      </c>
      <c r="C75" s="308">
        <v>0.1</v>
      </c>
      <c r="D75" s="308">
        <v>9.9000000000000005E-2</v>
      </c>
      <c r="E75" s="308">
        <v>9.8000000000000004E-2</v>
      </c>
      <c r="F75" s="319"/>
      <c r="G75" s="309">
        <v>0.1</v>
      </c>
    </row>
    <row r="76" spans="1:7">
      <c r="A76" s="318" t="s">
        <v>275</v>
      </c>
      <c r="B76" s="307" t="s">
        <v>2326</v>
      </c>
      <c r="C76" s="308">
        <v>9.9000000000000005E-2</v>
      </c>
      <c r="D76" s="308">
        <v>0.1</v>
      </c>
      <c r="E76" s="308">
        <v>9.7000000000000003E-2</v>
      </c>
      <c r="F76" s="319"/>
      <c r="G76" s="309">
        <v>0.1</v>
      </c>
    </row>
    <row r="77" spans="1:7">
      <c r="A77" s="318" t="s">
        <v>275</v>
      </c>
      <c r="B77" s="307" t="s">
        <v>2327</v>
      </c>
      <c r="C77" s="308">
        <v>0.1</v>
      </c>
      <c r="D77" s="308">
        <v>0.1</v>
      </c>
      <c r="E77" s="308">
        <v>9.6000000000000002E-2</v>
      </c>
      <c r="F77" s="319"/>
      <c r="G77" s="309">
        <v>0.1</v>
      </c>
    </row>
    <row r="78" spans="1:7">
      <c r="A78" s="318" t="s">
        <v>275</v>
      </c>
      <c r="B78" s="307" t="s">
        <v>2328</v>
      </c>
      <c r="C78" s="308">
        <v>0.1</v>
      </c>
      <c r="D78" s="308">
        <v>8.5000000000000006E-2</v>
      </c>
      <c r="E78" s="308">
        <v>9.6000000000000002E-2</v>
      </c>
      <c r="F78" s="319"/>
      <c r="G78" s="309">
        <v>9.6000000000000002E-2</v>
      </c>
    </row>
    <row r="79" spans="1:7">
      <c r="A79" s="318" t="s">
        <v>275</v>
      </c>
      <c r="B79" s="307" t="s">
        <v>2329</v>
      </c>
      <c r="C79" s="308">
        <v>0.05</v>
      </c>
      <c r="D79" s="308">
        <v>9.6000000000000002E-2</v>
      </c>
      <c r="E79" s="308">
        <v>9.5000000000000001E-2</v>
      </c>
      <c r="F79" s="319"/>
      <c r="G79" s="309">
        <v>9.8000000000000004E-2</v>
      </c>
    </row>
    <row r="80" spans="1:7">
      <c r="A80" s="318" t="s">
        <v>275</v>
      </c>
      <c r="B80" s="307" t="s">
        <v>2330</v>
      </c>
      <c r="C80" s="308">
        <v>8.5999999999999993E-2</v>
      </c>
      <c r="D80" s="324"/>
      <c r="E80" s="308">
        <v>0.1</v>
      </c>
      <c r="F80" s="319"/>
      <c r="G80" s="320"/>
    </row>
    <row r="81" spans="1:7">
      <c r="A81" s="318" t="s">
        <v>275</v>
      </c>
      <c r="B81" s="307" t="s">
        <v>2331</v>
      </c>
      <c r="C81" s="308">
        <v>9.6000000000000002E-2</v>
      </c>
      <c r="D81" s="319"/>
      <c r="E81" s="308">
        <v>9.8000000000000004E-2</v>
      </c>
      <c r="F81" s="319"/>
      <c r="G81" s="320"/>
    </row>
    <row r="82" spans="1:7">
      <c r="A82" s="318" t="s">
        <v>275</v>
      </c>
      <c r="B82" s="307" t="s">
        <v>2332</v>
      </c>
      <c r="C82" s="324"/>
      <c r="D82" s="319"/>
      <c r="E82" s="308">
        <v>7.6999999999999999E-2</v>
      </c>
      <c r="F82" s="319"/>
      <c r="G82" s="320"/>
    </row>
    <row r="83" spans="1:7">
      <c r="A83" s="318" t="s">
        <v>275</v>
      </c>
      <c r="B83" s="307" t="s">
        <v>2333</v>
      </c>
      <c r="C83" s="319"/>
      <c r="D83" s="319"/>
      <c r="E83" s="319"/>
      <c r="F83" s="308">
        <v>0.1</v>
      </c>
      <c r="G83" s="325"/>
    </row>
    <row r="84" spans="1:7">
      <c r="A84" s="318" t="s">
        <v>275</v>
      </c>
      <c r="B84" s="307" t="s">
        <v>2334</v>
      </c>
      <c r="C84" s="319"/>
      <c r="D84" s="319"/>
      <c r="E84" s="319"/>
      <c r="F84" s="308">
        <v>0.1</v>
      </c>
      <c r="G84" s="325"/>
    </row>
    <row r="85" spans="1:7">
      <c r="A85" s="318" t="s">
        <v>275</v>
      </c>
      <c r="B85" s="307" t="s">
        <v>2335</v>
      </c>
      <c r="C85" s="319"/>
      <c r="D85" s="319"/>
      <c r="E85" s="319"/>
      <c r="F85" s="308">
        <v>0.1</v>
      </c>
      <c r="G85" s="325"/>
    </row>
    <row r="86" spans="1:7">
      <c r="A86" s="321" t="s">
        <v>275</v>
      </c>
      <c r="B86" s="311" t="s">
        <v>2336</v>
      </c>
      <c r="C86" s="312">
        <v>9.8000000000000004E-2</v>
      </c>
      <c r="D86" s="312">
        <v>9.8000000000000004E-2</v>
      </c>
      <c r="E86" s="312">
        <v>9.6000000000000002E-2</v>
      </c>
      <c r="F86" s="322"/>
      <c r="G86" s="314">
        <v>0.1</v>
      </c>
    </row>
    <row r="87" spans="1:7">
      <c r="A87" s="317" t="s">
        <v>286</v>
      </c>
      <c r="B87" s="303" t="s">
        <v>2337</v>
      </c>
      <c r="C87" s="304">
        <v>0.1</v>
      </c>
      <c r="D87" s="304">
        <v>0.1</v>
      </c>
      <c r="E87" s="304">
        <v>9.8000000000000004E-2</v>
      </c>
      <c r="F87" s="304">
        <v>0.1</v>
      </c>
      <c r="G87" s="305">
        <v>0.1</v>
      </c>
    </row>
    <row r="88" spans="1:7">
      <c r="A88" s="318" t="s">
        <v>286</v>
      </c>
      <c r="B88" s="307" t="s">
        <v>2338</v>
      </c>
      <c r="C88" s="308">
        <v>9.0999999999999998E-2</v>
      </c>
      <c r="D88" s="308">
        <v>9.1999999999999998E-2</v>
      </c>
      <c r="E88" s="308">
        <v>0.1</v>
      </c>
      <c r="F88" s="308">
        <v>0.1</v>
      </c>
      <c r="G88" s="309">
        <v>9.6000000000000002E-2</v>
      </c>
    </row>
    <row r="89" spans="1:7">
      <c r="A89" s="318" t="s">
        <v>286</v>
      </c>
      <c r="B89" s="307" t="s">
        <v>2339</v>
      </c>
      <c r="C89" s="308">
        <v>0.1</v>
      </c>
      <c r="D89" s="308">
        <v>0.1</v>
      </c>
      <c r="E89" s="308">
        <v>6.7000000000000004E-2</v>
      </c>
      <c r="F89" s="308">
        <v>9.2999999999999999E-2</v>
      </c>
      <c r="G89" s="309">
        <v>0.1</v>
      </c>
    </row>
    <row r="90" spans="1:7">
      <c r="A90" s="318" t="s">
        <v>286</v>
      </c>
      <c r="B90" s="307" t="s">
        <v>2340</v>
      </c>
      <c r="C90" s="308">
        <v>9.6000000000000002E-2</v>
      </c>
      <c r="D90" s="308">
        <v>9.6000000000000002E-2</v>
      </c>
      <c r="E90" s="308">
        <v>0.1</v>
      </c>
      <c r="F90" s="308">
        <v>0.1</v>
      </c>
      <c r="G90" s="309">
        <v>9.8000000000000004E-2</v>
      </c>
    </row>
    <row r="91" spans="1:7">
      <c r="A91" s="318" t="s">
        <v>286</v>
      </c>
      <c r="B91" s="307" t="s">
        <v>2341</v>
      </c>
      <c r="C91" s="308">
        <v>7.6999999999999999E-2</v>
      </c>
      <c r="D91" s="308">
        <v>7.6999999999999999E-2</v>
      </c>
      <c r="E91" s="308">
        <v>9.6000000000000002E-2</v>
      </c>
      <c r="F91" s="308">
        <v>0.1</v>
      </c>
      <c r="G91" s="309">
        <v>7.6999999999999999E-2</v>
      </c>
    </row>
    <row r="92" spans="1:7">
      <c r="A92" s="318" t="s">
        <v>286</v>
      </c>
      <c r="B92" s="307" t="s">
        <v>2342</v>
      </c>
      <c r="C92" s="308">
        <v>0.1</v>
      </c>
      <c r="D92" s="308">
        <v>0.1</v>
      </c>
      <c r="E92" s="308">
        <v>9.1999999999999998E-2</v>
      </c>
      <c r="F92" s="308">
        <v>0.1</v>
      </c>
      <c r="G92" s="309">
        <v>0.1</v>
      </c>
    </row>
    <row r="93" spans="1:7">
      <c r="A93" s="318" t="s">
        <v>286</v>
      </c>
      <c r="B93" s="307" t="s">
        <v>2343</v>
      </c>
      <c r="C93" s="308">
        <v>9.8000000000000004E-2</v>
      </c>
      <c r="D93" s="308">
        <v>9.8000000000000004E-2</v>
      </c>
      <c r="E93" s="308">
        <v>9.6000000000000002E-2</v>
      </c>
      <c r="F93" s="308">
        <v>0.1</v>
      </c>
      <c r="G93" s="309">
        <v>9.9000000000000005E-2</v>
      </c>
    </row>
    <row r="94" spans="1:7">
      <c r="A94" s="318" t="s">
        <v>286</v>
      </c>
      <c r="B94" s="307" t="s">
        <v>2344</v>
      </c>
      <c r="C94" s="308">
        <v>8.7999999999999995E-2</v>
      </c>
      <c r="D94" s="308">
        <v>8.7999999999999995E-2</v>
      </c>
      <c r="E94" s="308">
        <v>9.6000000000000002E-2</v>
      </c>
      <c r="F94" s="308">
        <v>0.1</v>
      </c>
      <c r="G94" s="309">
        <v>8.7999999999999995E-2</v>
      </c>
    </row>
    <row r="95" spans="1:7">
      <c r="A95" s="318" t="s">
        <v>286</v>
      </c>
      <c r="B95" s="307" t="s">
        <v>2345</v>
      </c>
      <c r="C95" s="308">
        <v>9.6000000000000002E-2</v>
      </c>
      <c r="D95" s="308">
        <v>9.6000000000000002E-2</v>
      </c>
      <c r="E95" s="308">
        <v>0.1</v>
      </c>
      <c r="F95" s="308">
        <v>0.1</v>
      </c>
      <c r="G95" s="309">
        <v>9.8000000000000004E-2</v>
      </c>
    </row>
    <row r="96" spans="1:7">
      <c r="A96" s="318" t="s">
        <v>286</v>
      </c>
      <c r="B96" s="307" t="s">
        <v>2346</v>
      </c>
      <c r="C96" s="308">
        <v>9.7000000000000003E-2</v>
      </c>
      <c r="D96" s="308">
        <v>9.7000000000000003E-2</v>
      </c>
      <c r="E96" s="308">
        <v>0.1</v>
      </c>
      <c r="F96" s="308">
        <v>0.1</v>
      </c>
      <c r="G96" s="309">
        <v>9.8000000000000004E-2</v>
      </c>
    </row>
    <row r="97" spans="1:7">
      <c r="A97" s="318" t="s">
        <v>286</v>
      </c>
      <c r="B97" s="307" t="s">
        <v>2347</v>
      </c>
      <c r="C97" s="308">
        <v>9.6000000000000002E-2</v>
      </c>
      <c r="D97" s="308">
        <v>9.6000000000000002E-2</v>
      </c>
      <c r="E97" s="308">
        <v>9.9000000000000005E-2</v>
      </c>
      <c r="F97" s="308">
        <v>0.1</v>
      </c>
      <c r="G97" s="309">
        <v>9.8000000000000004E-2</v>
      </c>
    </row>
    <row r="98" spans="1:7">
      <c r="A98" s="318" t="s">
        <v>286</v>
      </c>
      <c r="B98" s="307" t="s">
        <v>2348</v>
      </c>
      <c r="C98" s="308">
        <v>9.8000000000000004E-2</v>
      </c>
      <c r="D98" s="308">
        <v>9.8000000000000004E-2</v>
      </c>
      <c r="E98" s="308">
        <v>0.1</v>
      </c>
      <c r="F98" s="308">
        <v>0.1</v>
      </c>
      <c r="G98" s="309">
        <v>9.9000000000000005E-2</v>
      </c>
    </row>
    <row r="99" spans="1:7">
      <c r="A99" s="318" t="s">
        <v>286</v>
      </c>
      <c r="B99" s="307" t="s">
        <v>2349</v>
      </c>
      <c r="C99" s="308">
        <v>9.6000000000000002E-2</v>
      </c>
      <c r="D99" s="308">
        <v>9.6000000000000002E-2</v>
      </c>
      <c r="E99" s="308">
        <v>0.1</v>
      </c>
      <c r="F99" s="308">
        <v>0.1</v>
      </c>
      <c r="G99" s="309">
        <v>9.7000000000000003E-2</v>
      </c>
    </row>
    <row r="100" spans="1:7">
      <c r="A100" s="318" t="s">
        <v>286</v>
      </c>
      <c r="B100" s="307" t="s">
        <v>2350</v>
      </c>
      <c r="C100" s="308">
        <v>0.1</v>
      </c>
      <c r="D100" s="308">
        <v>0.1</v>
      </c>
      <c r="E100" s="308">
        <v>9.7000000000000003E-2</v>
      </c>
      <c r="F100" s="308">
        <v>9.8000000000000004E-2</v>
      </c>
      <c r="G100" s="309">
        <v>0.1</v>
      </c>
    </row>
    <row r="101" spans="1:7">
      <c r="A101" s="318" t="s">
        <v>286</v>
      </c>
      <c r="B101" s="307" t="s">
        <v>2351</v>
      </c>
      <c r="C101" s="308">
        <v>0.1</v>
      </c>
      <c r="D101" s="308">
        <v>0.1</v>
      </c>
      <c r="E101" s="308">
        <v>9.5000000000000001E-2</v>
      </c>
      <c r="F101" s="308">
        <v>0.1</v>
      </c>
      <c r="G101" s="309">
        <v>0.1</v>
      </c>
    </row>
    <row r="102" spans="1:7">
      <c r="A102" s="318" t="s">
        <v>286</v>
      </c>
      <c r="B102" s="307" t="s">
        <v>2352</v>
      </c>
      <c r="C102" s="308">
        <v>0.1</v>
      </c>
      <c r="D102" s="308">
        <v>0.1</v>
      </c>
      <c r="E102" s="308">
        <v>9.9000000000000005E-2</v>
      </c>
      <c r="F102" s="308">
        <v>9.7000000000000003E-2</v>
      </c>
      <c r="G102" s="309">
        <v>0.1</v>
      </c>
    </row>
    <row r="103" spans="1:7">
      <c r="A103" s="318" t="s">
        <v>286</v>
      </c>
      <c r="B103" s="307" t="s">
        <v>2353</v>
      </c>
      <c r="C103" s="308">
        <v>0.1</v>
      </c>
      <c r="D103" s="308">
        <v>0.1</v>
      </c>
      <c r="E103" s="308">
        <v>9.8000000000000004E-2</v>
      </c>
      <c r="F103" s="308">
        <v>0.1</v>
      </c>
      <c r="G103" s="309">
        <v>0.1</v>
      </c>
    </row>
    <row r="104" spans="1:7">
      <c r="A104" s="318" t="s">
        <v>286</v>
      </c>
      <c r="B104" s="307" t="s">
        <v>2354</v>
      </c>
      <c r="C104" s="308">
        <v>0.1</v>
      </c>
      <c r="D104" s="308">
        <v>0.1</v>
      </c>
      <c r="E104" s="308">
        <v>9.8000000000000004E-2</v>
      </c>
      <c r="F104" s="308">
        <v>0.1</v>
      </c>
      <c r="G104" s="309">
        <v>0.1</v>
      </c>
    </row>
    <row r="105" spans="1:7">
      <c r="A105" s="318" t="s">
        <v>286</v>
      </c>
      <c r="B105" s="307" t="s">
        <v>2355</v>
      </c>
      <c r="C105" s="308">
        <v>9.8000000000000004E-2</v>
      </c>
      <c r="D105" s="308">
        <v>9.8000000000000004E-2</v>
      </c>
      <c r="E105" s="308">
        <v>9.8000000000000004E-2</v>
      </c>
      <c r="F105" s="308">
        <v>0.1</v>
      </c>
      <c r="G105" s="309">
        <v>9.9000000000000005E-2</v>
      </c>
    </row>
    <row r="106" spans="1:7">
      <c r="A106" s="318" t="s">
        <v>286</v>
      </c>
      <c r="B106" s="307" t="s">
        <v>2356</v>
      </c>
      <c r="C106" s="308">
        <v>9.7000000000000003E-2</v>
      </c>
      <c r="D106" s="308">
        <v>9.7000000000000003E-2</v>
      </c>
      <c r="E106" s="308">
        <v>9.7000000000000003E-2</v>
      </c>
      <c r="F106" s="308">
        <v>0.1</v>
      </c>
      <c r="G106" s="309">
        <v>9.9000000000000005E-2</v>
      </c>
    </row>
    <row r="107" spans="1:7">
      <c r="A107" s="318" t="s">
        <v>286</v>
      </c>
      <c r="B107" s="307" t="s">
        <v>2357</v>
      </c>
      <c r="C107" s="308">
        <v>0.1</v>
      </c>
      <c r="D107" s="308">
        <v>0.1</v>
      </c>
      <c r="E107" s="308">
        <v>8.5999999999999993E-2</v>
      </c>
      <c r="F107" s="308">
        <v>0.09</v>
      </c>
      <c r="G107" s="309">
        <v>0.1</v>
      </c>
    </row>
    <row r="108" spans="1:7">
      <c r="A108" s="318" t="s">
        <v>286</v>
      </c>
      <c r="B108" s="307" t="s">
        <v>2358</v>
      </c>
      <c r="C108" s="308">
        <v>0.1</v>
      </c>
      <c r="D108" s="308">
        <v>0.1</v>
      </c>
      <c r="E108" s="308">
        <v>9.6000000000000002E-2</v>
      </c>
      <c r="F108" s="319"/>
      <c r="G108" s="309">
        <v>0.1</v>
      </c>
    </row>
    <row r="109" spans="1:7">
      <c r="A109" s="318" t="s">
        <v>286</v>
      </c>
      <c r="B109" s="307" t="s">
        <v>2359</v>
      </c>
      <c r="C109" s="308">
        <v>0.1</v>
      </c>
      <c r="D109" s="308">
        <v>0.1</v>
      </c>
      <c r="E109" s="308">
        <v>0.1</v>
      </c>
      <c r="F109" s="319"/>
      <c r="G109" s="309">
        <v>0.1</v>
      </c>
    </row>
    <row r="110" spans="1:7">
      <c r="A110" s="318" t="s">
        <v>286</v>
      </c>
      <c r="B110" s="307" t="s">
        <v>2360</v>
      </c>
      <c r="C110" s="308">
        <v>0.1</v>
      </c>
      <c r="D110" s="308">
        <v>0.1</v>
      </c>
      <c r="E110" s="308">
        <v>0.1</v>
      </c>
      <c r="F110" s="319"/>
      <c r="G110" s="309">
        <v>0.1</v>
      </c>
    </row>
    <row r="111" spans="1:7">
      <c r="A111" s="318" t="s">
        <v>286</v>
      </c>
      <c r="B111" s="307" t="s">
        <v>2361</v>
      </c>
      <c r="C111" s="308">
        <v>0.1</v>
      </c>
      <c r="D111" s="308">
        <v>0.1</v>
      </c>
      <c r="E111" s="308">
        <v>9.5000000000000001E-2</v>
      </c>
      <c r="F111" s="319"/>
      <c r="G111" s="309">
        <v>0.1</v>
      </c>
    </row>
    <row r="112" spans="1:7">
      <c r="A112" s="318" t="s">
        <v>286</v>
      </c>
      <c r="B112" s="307" t="s">
        <v>2362</v>
      </c>
      <c r="C112" s="308">
        <v>9.7000000000000003E-2</v>
      </c>
      <c r="D112" s="308">
        <v>9.7000000000000003E-2</v>
      </c>
      <c r="E112" s="308">
        <v>0.05</v>
      </c>
      <c r="F112" s="319"/>
      <c r="G112" s="309">
        <v>9.8000000000000004E-2</v>
      </c>
    </row>
    <row r="113" spans="1:7">
      <c r="A113" s="318" t="s">
        <v>286</v>
      </c>
      <c r="B113" s="307" t="s">
        <v>2363</v>
      </c>
      <c r="C113" s="308">
        <v>0.1</v>
      </c>
      <c r="D113" s="308">
        <v>0.1</v>
      </c>
      <c r="E113" s="319"/>
      <c r="F113" s="319"/>
      <c r="G113" s="309">
        <v>0.1</v>
      </c>
    </row>
    <row r="114" spans="1:7">
      <c r="A114" s="318" t="s">
        <v>286</v>
      </c>
      <c r="B114" s="307" t="s">
        <v>2364</v>
      </c>
      <c r="C114" s="308">
        <v>9.7000000000000003E-2</v>
      </c>
      <c r="D114" s="308">
        <v>9.7000000000000003E-2</v>
      </c>
      <c r="E114" s="319"/>
      <c r="F114" s="319"/>
      <c r="G114" s="309">
        <v>9.9000000000000005E-2</v>
      </c>
    </row>
    <row r="115" spans="1:7">
      <c r="A115" s="318" t="s">
        <v>286</v>
      </c>
      <c r="B115" s="307" t="s">
        <v>2365</v>
      </c>
      <c r="C115" s="308">
        <v>0.1</v>
      </c>
      <c r="D115" s="308">
        <v>0.1</v>
      </c>
      <c r="E115" s="319"/>
      <c r="F115" s="319"/>
      <c r="G115" s="309">
        <v>0.1</v>
      </c>
    </row>
    <row r="116" spans="1:7">
      <c r="A116" s="318" t="s">
        <v>286</v>
      </c>
      <c r="B116" s="307" t="s">
        <v>2366</v>
      </c>
      <c r="C116" s="308">
        <v>0.1</v>
      </c>
      <c r="D116" s="308">
        <v>0.1</v>
      </c>
      <c r="E116" s="319"/>
      <c r="F116" s="319"/>
      <c r="G116" s="309">
        <v>0.1</v>
      </c>
    </row>
    <row r="117" spans="1:7">
      <c r="A117" s="318" t="s">
        <v>286</v>
      </c>
      <c r="B117" s="307" t="s">
        <v>2367</v>
      </c>
      <c r="C117" s="308">
        <v>9.7000000000000003E-2</v>
      </c>
      <c r="D117" s="308">
        <v>9.7000000000000003E-2</v>
      </c>
      <c r="E117" s="319"/>
      <c r="F117" s="319"/>
      <c r="G117" s="309">
        <v>9.7000000000000003E-2</v>
      </c>
    </row>
    <row r="118" spans="1:7">
      <c r="A118" s="318" t="s">
        <v>286</v>
      </c>
      <c r="B118" s="307" t="s">
        <v>2368</v>
      </c>
      <c r="C118" s="308">
        <v>0.1</v>
      </c>
      <c r="D118" s="308">
        <v>0.1</v>
      </c>
      <c r="E118" s="319"/>
      <c r="F118" s="319"/>
      <c r="G118" s="309">
        <v>0.1</v>
      </c>
    </row>
    <row r="119" spans="1:7">
      <c r="A119" s="318" t="s">
        <v>286</v>
      </c>
      <c r="B119" s="307" t="s">
        <v>2369</v>
      </c>
      <c r="C119" s="308">
        <v>5.0999999999999997E-2</v>
      </c>
      <c r="D119" s="308">
        <v>5.1999999999999998E-2</v>
      </c>
      <c r="E119" s="319"/>
      <c r="F119" s="324"/>
      <c r="G119" s="309">
        <v>0.06</v>
      </c>
    </row>
    <row r="120" spans="1:7">
      <c r="A120" s="318" t="s">
        <v>286</v>
      </c>
      <c r="B120" s="307" t="s">
        <v>2370</v>
      </c>
      <c r="C120" s="319"/>
      <c r="D120" s="319"/>
      <c r="E120" s="319"/>
      <c r="F120" s="308">
        <v>0.1</v>
      </c>
      <c r="G120" s="325"/>
    </row>
    <row r="121" spans="1:7">
      <c r="A121" s="318" t="s">
        <v>286</v>
      </c>
      <c r="B121" s="307" t="s">
        <v>2371</v>
      </c>
      <c r="C121" s="319"/>
      <c r="D121" s="319"/>
      <c r="E121" s="319"/>
      <c r="F121" s="308">
        <v>0.1</v>
      </c>
      <c r="G121" s="325"/>
    </row>
    <row r="122" spans="1:7">
      <c r="A122" s="318" t="s">
        <v>286</v>
      </c>
      <c r="B122" s="307" t="s">
        <v>2372</v>
      </c>
      <c r="C122" s="308">
        <v>0.1</v>
      </c>
      <c r="D122" s="308">
        <v>0.1</v>
      </c>
      <c r="E122" s="308">
        <v>9.8000000000000004E-2</v>
      </c>
      <c r="F122" s="308">
        <v>0.1</v>
      </c>
      <c r="G122" s="309">
        <v>0.1</v>
      </c>
    </row>
    <row r="123" spans="1:7">
      <c r="A123" s="318" t="s">
        <v>286</v>
      </c>
      <c r="B123" s="307" t="s">
        <v>2373</v>
      </c>
      <c r="C123" s="308">
        <v>0.1</v>
      </c>
      <c r="D123" s="308">
        <v>0.1</v>
      </c>
      <c r="E123" s="308">
        <v>9.8000000000000004E-2</v>
      </c>
      <c r="F123" s="308">
        <v>0.1</v>
      </c>
      <c r="G123" s="309">
        <v>0.1</v>
      </c>
    </row>
    <row r="124" spans="1:7">
      <c r="A124" s="318" t="s">
        <v>286</v>
      </c>
      <c r="B124" s="307" t="s">
        <v>2374</v>
      </c>
      <c r="C124" s="308">
        <v>0.1</v>
      </c>
      <c r="D124" s="308">
        <v>0.1</v>
      </c>
      <c r="E124" s="308">
        <v>9.8000000000000004E-2</v>
      </c>
      <c r="F124" s="324"/>
      <c r="G124" s="309">
        <v>0.1</v>
      </c>
    </row>
    <row r="125" spans="1:7">
      <c r="A125" s="318" t="s">
        <v>286</v>
      </c>
      <c r="B125" s="307" t="s">
        <v>2375</v>
      </c>
      <c r="C125" s="308">
        <v>9.8000000000000004E-2</v>
      </c>
      <c r="D125" s="308">
        <v>9.8000000000000004E-2</v>
      </c>
      <c r="E125" s="308">
        <v>9.6000000000000002E-2</v>
      </c>
      <c r="F125" s="324"/>
      <c r="G125" s="309">
        <v>0.1</v>
      </c>
    </row>
    <row r="126" spans="1:7">
      <c r="A126" s="321" t="s">
        <v>286</v>
      </c>
      <c r="B126" s="311" t="s">
        <v>2376</v>
      </c>
      <c r="C126" s="312">
        <v>0.1</v>
      </c>
      <c r="D126" s="312">
        <v>0.1</v>
      </c>
      <c r="E126" s="312">
        <v>9.8000000000000004E-2</v>
      </c>
      <c r="F126" s="312">
        <v>0.1</v>
      </c>
      <c r="G126" s="314">
        <v>0.1</v>
      </c>
    </row>
    <row r="127" spans="1:7">
      <c r="A127" s="317" t="s">
        <v>295</v>
      </c>
      <c r="B127" s="303" t="s">
        <v>2377</v>
      </c>
      <c r="C127" s="304">
        <v>0.121</v>
      </c>
      <c r="D127" s="304">
        <v>0.121</v>
      </c>
      <c r="E127" s="304">
        <v>0.107</v>
      </c>
      <c r="F127" s="304">
        <v>0.13</v>
      </c>
      <c r="G127" s="305">
        <v>0.122</v>
      </c>
    </row>
    <row r="128" spans="1:7">
      <c r="A128" s="318" t="s">
        <v>295</v>
      </c>
      <c r="B128" s="307" t="s">
        <v>2378</v>
      </c>
      <c r="C128" s="308">
        <v>0.11600000000000001</v>
      </c>
      <c r="D128" s="308">
        <v>0.11700000000000001</v>
      </c>
      <c r="E128" s="308">
        <v>0.104</v>
      </c>
      <c r="F128" s="308">
        <v>0.13</v>
      </c>
      <c r="G128" s="309">
        <v>0.11700000000000001</v>
      </c>
    </row>
    <row r="129" spans="1:7">
      <c r="A129" s="318" t="s">
        <v>295</v>
      </c>
      <c r="B129" s="307" t="s">
        <v>2379</v>
      </c>
      <c r="C129" s="308">
        <v>0.107</v>
      </c>
      <c r="D129" s="308">
        <v>0.108</v>
      </c>
      <c r="E129" s="308">
        <v>0.1</v>
      </c>
      <c r="F129" s="308">
        <v>0.13</v>
      </c>
      <c r="G129" s="309">
        <v>0.11700000000000001</v>
      </c>
    </row>
    <row r="130" spans="1:7">
      <c r="A130" s="318" t="s">
        <v>295</v>
      </c>
      <c r="B130" s="307" t="s">
        <v>2380</v>
      </c>
      <c r="C130" s="308">
        <v>0.13</v>
      </c>
      <c r="D130" s="308">
        <v>0.13</v>
      </c>
      <c r="E130" s="308">
        <v>0.126</v>
      </c>
      <c r="F130" s="308">
        <v>0.13</v>
      </c>
      <c r="G130" s="309">
        <v>0.13</v>
      </c>
    </row>
    <row r="131" spans="1:7">
      <c r="A131" s="318" t="s">
        <v>295</v>
      </c>
      <c r="B131" s="307" t="s">
        <v>2381</v>
      </c>
      <c r="C131" s="308">
        <v>0.13</v>
      </c>
      <c r="D131" s="308">
        <v>0.13</v>
      </c>
      <c r="E131" s="308">
        <v>0.13</v>
      </c>
      <c r="F131" s="308">
        <v>0.13</v>
      </c>
      <c r="G131" s="309">
        <v>0.13</v>
      </c>
    </row>
    <row r="132" spans="1:7">
      <c r="A132" s="318" t="s">
        <v>295</v>
      </c>
      <c r="B132" s="307" t="s">
        <v>2382</v>
      </c>
      <c r="C132" s="308">
        <v>0.13</v>
      </c>
      <c r="D132" s="308">
        <v>0.13</v>
      </c>
      <c r="E132" s="308">
        <v>0.126</v>
      </c>
      <c r="F132" s="308">
        <v>0.13</v>
      </c>
      <c r="G132" s="309">
        <v>0.13</v>
      </c>
    </row>
    <row r="133" spans="1:7">
      <c r="A133" s="318" t="s">
        <v>295</v>
      </c>
      <c r="B133" s="307" t="s">
        <v>2383</v>
      </c>
      <c r="C133" s="308">
        <v>0.111</v>
      </c>
      <c r="D133" s="308">
        <v>0.111</v>
      </c>
      <c r="E133" s="308">
        <v>0.10199999999999999</v>
      </c>
      <c r="F133" s="308">
        <v>0.13</v>
      </c>
      <c r="G133" s="309">
        <v>0.121</v>
      </c>
    </row>
    <row r="134" spans="1:7">
      <c r="A134" s="318" t="s">
        <v>295</v>
      </c>
      <c r="B134" s="307" t="s">
        <v>2384</v>
      </c>
      <c r="C134" s="308">
        <v>0.121</v>
      </c>
      <c r="D134" s="308">
        <v>0.121</v>
      </c>
      <c r="E134" s="308">
        <v>0.1</v>
      </c>
      <c r="F134" s="308">
        <v>0.13</v>
      </c>
      <c r="G134" s="309">
        <v>0.123</v>
      </c>
    </row>
    <row r="135" spans="1:7">
      <c r="A135" s="318" t="s">
        <v>295</v>
      </c>
      <c r="B135" s="307" t="s">
        <v>553</v>
      </c>
      <c r="C135" s="308">
        <v>0.105</v>
      </c>
      <c r="D135" s="308">
        <v>0.106</v>
      </c>
      <c r="E135" s="308">
        <v>0.1</v>
      </c>
      <c r="F135" s="308">
        <v>0.13</v>
      </c>
      <c r="G135" s="309">
        <v>0.115</v>
      </c>
    </row>
    <row r="136" spans="1:7">
      <c r="A136" s="318" t="s">
        <v>295</v>
      </c>
      <c r="B136" s="307" t="s">
        <v>2385</v>
      </c>
      <c r="C136" s="308">
        <v>0.127</v>
      </c>
      <c r="D136" s="308">
        <v>0.127</v>
      </c>
      <c r="E136" s="308">
        <v>0.121</v>
      </c>
      <c r="F136" s="308">
        <v>0.123</v>
      </c>
      <c r="G136" s="309">
        <v>0.129</v>
      </c>
    </row>
    <row r="137" spans="1:7">
      <c r="A137" s="318" t="s">
        <v>295</v>
      </c>
      <c r="B137" s="307" t="s">
        <v>2386</v>
      </c>
      <c r="C137" s="308">
        <v>0.13</v>
      </c>
      <c r="D137" s="308">
        <v>0.13</v>
      </c>
      <c r="E137" s="308">
        <v>0.129</v>
      </c>
      <c r="F137" s="308">
        <v>0.13</v>
      </c>
      <c r="G137" s="309">
        <v>0.13</v>
      </c>
    </row>
    <row r="138" spans="1:7">
      <c r="A138" s="318" t="s">
        <v>295</v>
      </c>
      <c r="B138" s="307" t="s">
        <v>2387</v>
      </c>
      <c r="C138" s="308">
        <v>0.13</v>
      </c>
      <c r="D138" s="308">
        <v>0.13</v>
      </c>
      <c r="E138" s="308">
        <v>0.125</v>
      </c>
      <c r="F138" s="308">
        <v>0.13</v>
      </c>
      <c r="G138" s="309">
        <v>0.13</v>
      </c>
    </row>
    <row r="139" spans="1:7">
      <c r="A139" s="318" t="s">
        <v>295</v>
      </c>
      <c r="B139" s="307" t="s">
        <v>2388</v>
      </c>
      <c r="C139" s="308">
        <v>0.13</v>
      </c>
      <c r="D139" s="308">
        <v>0.13</v>
      </c>
      <c r="E139" s="308">
        <v>0.126</v>
      </c>
      <c r="F139" s="308">
        <v>0.13</v>
      </c>
      <c r="G139" s="309">
        <v>0.13</v>
      </c>
    </row>
    <row r="140" spans="1:7">
      <c r="A140" s="318" t="s">
        <v>295</v>
      </c>
      <c r="B140" s="307" t="s">
        <v>2389</v>
      </c>
      <c r="C140" s="308">
        <v>0.1</v>
      </c>
      <c r="D140" s="308">
        <v>0.1</v>
      </c>
      <c r="E140" s="308">
        <v>0.1</v>
      </c>
      <c r="F140" s="308">
        <v>0.123</v>
      </c>
      <c r="G140" s="309">
        <v>0.107</v>
      </c>
    </row>
    <row r="141" spans="1:7">
      <c r="A141" s="318" t="s">
        <v>295</v>
      </c>
      <c r="B141" s="307" t="s">
        <v>2390</v>
      </c>
      <c r="C141" s="308">
        <v>0.127</v>
      </c>
      <c r="D141" s="308">
        <v>0.127</v>
      </c>
      <c r="E141" s="308">
        <v>0.122</v>
      </c>
      <c r="F141" s="308">
        <v>0.1</v>
      </c>
      <c r="G141" s="309">
        <v>0.129</v>
      </c>
    </row>
    <row r="142" spans="1:7">
      <c r="A142" s="318" t="s">
        <v>295</v>
      </c>
      <c r="B142" s="307" t="s">
        <v>2391</v>
      </c>
      <c r="C142" s="308">
        <v>0.121</v>
      </c>
      <c r="D142" s="308">
        <v>0.122</v>
      </c>
      <c r="E142" s="308">
        <v>0.1</v>
      </c>
      <c r="F142" s="308">
        <v>0.123</v>
      </c>
      <c r="G142" s="309">
        <v>0.123</v>
      </c>
    </row>
    <row r="143" spans="1:7">
      <c r="A143" s="318" t="s">
        <v>295</v>
      </c>
      <c r="B143" s="307" t="s">
        <v>2392</v>
      </c>
      <c r="C143" s="308">
        <v>0.1</v>
      </c>
      <c r="D143" s="308">
        <v>0.1</v>
      </c>
      <c r="E143" s="308">
        <v>0.1</v>
      </c>
      <c r="F143" s="308">
        <v>0.13</v>
      </c>
      <c r="G143" s="309">
        <v>0.1</v>
      </c>
    </row>
    <row r="144" spans="1:7">
      <c r="A144" s="318" t="s">
        <v>295</v>
      </c>
      <c r="B144" s="307" t="s">
        <v>2393</v>
      </c>
      <c r="C144" s="308">
        <v>0.106</v>
      </c>
      <c r="D144" s="308">
        <v>0.105</v>
      </c>
      <c r="E144" s="308">
        <v>0.1</v>
      </c>
      <c r="F144" s="308">
        <v>0.13</v>
      </c>
      <c r="G144" s="309">
        <v>0.11799999999999999</v>
      </c>
    </row>
    <row r="145" spans="1:7">
      <c r="A145" s="318" t="s">
        <v>295</v>
      </c>
      <c r="B145" s="307" t="s">
        <v>2394</v>
      </c>
      <c r="C145" s="308">
        <v>0.123</v>
      </c>
      <c r="D145" s="308">
        <v>0.123</v>
      </c>
      <c r="E145" s="308">
        <v>0.11700000000000001</v>
      </c>
      <c r="F145" s="308">
        <v>0.13</v>
      </c>
      <c r="G145" s="309">
        <v>0.126</v>
      </c>
    </row>
    <row r="146" spans="1:7">
      <c r="A146" s="318" t="s">
        <v>295</v>
      </c>
      <c r="B146" s="307" t="s">
        <v>2395</v>
      </c>
      <c r="C146" s="308">
        <v>0.127</v>
      </c>
      <c r="D146" s="308">
        <v>0.127</v>
      </c>
      <c r="E146" s="308">
        <v>0.12</v>
      </c>
      <c r="F146" s="319"/>
      <c r="G146" s="309">
        <v>0.129</v>
      </c>
    </row>
    <row r="147" spans="1:7">
      <c r="A147" s="318" t="s">
        <v>295</v>
      </c>
      <c r="B147" s="307" t="s">
        <v>2396</v>
      </c>
      <c r="C147" s="308">
        <v>0.13</v>
      </c>
      <c r="D147" s="308">
        <v>0.13</v>
      </c>
      <c r="E147" s="308">
        <v>0.126</v>
      </c>
      <c r="F147" s="319"/>
      <c r="G147" s="309">
        <v>0.13</v>
      </c>
    </row>
    <row r="148" spans="1:7">
      <c r="A148" s="318" t="s">
        <v>295</v>
      </c>
      <c r="B148" s="307" t="s">
        <v>2397</v>
      </c>
      <c r="C148" s="308">
        <v>0.13</v>
      </c>
      <c r="D148" s="308">
        <v>0.13</v>
      </c>
      <c r="E148" s="308">
        <v>0.13</v>
      </c>
      <c r="F148" s="319"/>
      <c r="G148" s="309">
        <v>0.13</v>
      </c>
    </row>
    <row r="149" spans="1:7">
      <c r="A149" s="318" t="s">
        <v>295</v>
      </c>
      <c r="B149" s="307" t="s">
        <v>2398</v>
      </c>
      <c r="C149" s="308">
        <v>0.13</v>
      </c>
      <c r="D149" s="308">
        <v>0.13</v>
      </c>
      <c r="E149" s="308">
        <v>0.13</v>
      </c>
      <c r="F149" s="308">
        <v>0.13</v>
      </c>
      <c r="G149" s="309">
        <v>0.13</v>
      </c>
    </row>
    <row r="150" spans="1:7">
      <c r="A150" s="318" t="s">
        <v>295</v>
      </c>
      <c r="B150" s="307" t="s">
        <v>2399</v>
      </c>
      <c r="C150" s="308">
        <v>0.13</v>
      </c>
      <c r="D150" s="308">
        <v>0.13</v>
      </c>
      <c r="E150" s="308">
        <v>0.127</v>
      </c>
      <c r="F150" s="308">
        <v>0.13</v>
      </c>
      <c r="G150" s="309">
        <v>0.13</v>
      </c>
    </row>
    <row r="151" spans="1:7">
      <c r="A151" s="318" t="s">
        <v>295</v>
      </c>
      <c r="B151" s="307" t="s">
        <v>2400</v>
      </c>
      <c r="C151" s="308">
        <v>0.13</v>
      </c>
      <c r="D151" s="308">
        <v>0.13</v>
      </c>
      <c r="E151" s="308">
        <v>0.13</v>
      </c>
      <c r="F151" s="308">
        <v>0.13</v>
      </c>
      <c r="G151" s="309">
        <v>0.13</v>
      </c>
    </row>
    <row r="152" spans="1:7">
      <c r="A152" s="318" t="s">
        <v>295</v>
      </c>
      <c r="B152" s="307" t="s">
        <v>2401</v>
      </c>
      <c r="C152" s="308">
        <v>0.13</v>
      </c>
      <c r="D152" s="308">
        <v>0.13</v>
      </c>
      <c r="E152" s="308">
        <v>0.13</v>
      </c>
      <c r="F152" s="308">
        <v>0.13</v>
      </c>
      <c r="G152" s="309">
        <v>0.13</v>
      </c>
    </row>
    <row r="153" spans="1:7">
      <c r="A153" s="318" t="s">
        <v>295</v>
      </c>
      <c r="B153" s="307" t="s">
        <v>2402</v>
      </c>
      <c r="C153" s="308">
        <v>0.13</v>
      </c>
      <c r="D153" s="308">
        <v>0.13</v>
      </c>
      <c r="E153" s="308">
        <v>0.13</v>
      </c>
      <c r="F153" s="308">
        <v>0.13</v>
      </c>
      <c r="G153" s="309">
        <v>0.13</v>
      </c>
    </row>
    <row r="154" spans="1:7">
      <c r="A154" s="318" t="s">
        <v>295</v>
      </c>
      <c r="B154" s="307" t="s">
        <v>2403</v>
      </c>
      <c r="C154" s="308">
        <v>0.121</v>
      </c>
      <c r="D154" s="308">
        <v>0.121</v>
      </c>
      <c r="E154" s="308">
        <v>0.105</v>
      </c>
      <c r="F154" s="308">
        <v>0.121</v>
      </c>
      <c r="G154" s="309">
        <v>0.123</v>
      </c>
    </row>
    <row r="155" spans="1:7">
      <c r="A155" s="318" t="s">
        <v>295</v>
      </c>
      <c r="B155" s="307" t="s">
        <v>2404</v>
      </c>
      <c r="C155" s="308">
        <v>0.1</v>
      </c>
      <c r="D155" s="308">
        <v>0.1</v>
      </c>
      <c r="E155" s="308">
        <v>0.1</v>
      </c>
      <c r="F155" s="308">
        <v>0.1</v>
      </c>
      <c r="G155" s="309">
        <v>0.1</v>
      </c>
    </row>
    <row r="156" spans="1:7">
      <c r="A156" s="318" t="s">
        <v>295</v>
      </c>
      <c r="B156" s="307" t="s">
        <v>2405</v>
      </c>
      <c r="C156" s="308">
        <v>0.13</v>
      </c>
      <c r="D156" s="308">
        <v>0.13</v>
      </c>
      <c r="E156" s="308">
        <v>0.13</v>
      </c>
      <c r="F156" s="308">
        <v>0.13</v>
      </c>
      <c r="G156" s="309">
        <v>0.13</v>
      </c>
    </row>
    <row r="157" spans="1:7">
      <c r="A157" s="318" t="s">
        <v>295</v>
      </c>
      <c r="B157" s="307" t="s">
        <v>2406</v>
      </c>
      <c r="C157" s="308">
        <v>0.13</v>
      </c>
      <c r="D157" s="308">
        <v>0.13</v>
      </c>
      <c r="E157" s="308">
        <v>0.125</v>
      </c>
      <c r="F157" s="308">
        <v>0.13</v>
      </c>
      <c r="G157" s="309">
        <v>0.13</v>
      </c>
    </row>
    <row r="158" spans="1:7">
      <c r="A158" s="318" t="s">
        <v>295</v>
      </c>
      <c r="B158" s="307" t="s">
        <v>2407</v>
      </c>
      <c r="C158" s="308">
        <v>0.124</v>
      </c>
      <c r="D158" s="308">
        <v>0.124</v>
      </c>
      <c r="E158" s="308">
        <v>0.11700000000000001</v>
      </c>
      <c r="F158" s="308">
        <v>0.121</v>
      </c>
      <c r="G158" s="309">
        <v>0.124</v>
      </c>
    </row>
    <row r="159" spans="1:7">
      <c r="A159" s="318" t="s">
        <v>295</v>
      </c>
      <c r="B159" s="307" t="s">
        <v>2408</v>
      </c>
      <c r="C159" s="308">
        <v>0.127</v>
      </c>
      <c r="D159" s="308">
        <v>0.127</v>
      </c>
      <c r="E159" s="308">
        <v>0.122</v>
      </c>
      <c r="F159" s="308">
        <v>0.13</v>
      </c>
      <c r="G159" s="309">
        <v>0.129</v>
      </c>
    </row>
    <row r="160" spans="1:7">
      <c r="A160" s="318" t="s">
        <v>295</v>
      </c>
      <c r="B160" s="307" t="s">
        <v>2409</v>
      </c>
      <c r="C160" s="308">
        <v>0.13</v>
      </c>
      <c r="D160" s="308">
        <v>0.13</v>
      </c>
      <c r="E160" s="308">
        <v>0.124</v>
      </c>
      <c r="F160" s="308">
        <v>0.126</v>
      </c>
      <c r="G160" s="309">
        <v>0.13</v>
      </c>
    </row>
    <row r="161" spans="1:7">
      <c r="A161" s="318" t="s">
        <v>295</v>
      </c>
      <c r="B161" s="307" t="s">
        <v>2410</v>
      </c>
      <c r="C161" s="308">
        <v>0.13</v>
      </c>
      <c r="D161" s="308">
        <v>0.13</v>
      </c>
      <c r="E161" s="308">
        <v>0.124</v>
      </c>
      <c r="F161" s="308">
        <v>0.127</v>
      </c>
      <c r="G161" s="309">
        <v>0.13</v>
      </c>
    </row>
    <row r="162" spans="1:7">
      <c r="A162" s="318" t="s">
        <v>295</v>
      </c>
      <c r="B162" s="307" t="s">
        <v>2411</v>
      </c>
      <c r="C162" s="308">
        <v>0.1</v>
      </c>
      <c r="D162" s="308">
        <v>0.1</v>
      </c>
      <c r="E162" s="308">
        <v>0.1</v>
      </c>
      <c r="F162" s="308">
        <v>0.121</v>
      </c>
      <c r="G162" s="309">
        <v>0.105</v>
      </c>
    </row>
    <row r="163" spans="1:7">
      <c r="A163" s="318" t="s">
        <v>295</v>
      </c>
      <c r="B163" s="307" t="s">
        <v>2412</v>
      </c>
      <c r="C163" s="308">
        <v>0.1</v>
      </c>
      <c r="D163" s="308">
        <v>0.1</v>
      </c>
      <c r="E163" s="308">
        <v>0.1</v>
      </c>
      <c r="F163" s="308">
        <v>0.1</v>
      </c>
      <c r="G163" s="309">
        <v>0.1</v>
      </c>
    </row>
    <row r="164" spans="1:7">
      <c r="A164" s="318" t="s">
        <v>295</v>
      </c>
      <c r="B164" s="307" t="s">
        <v>2413</v>
      </c>
      <c r="C164" s="324"/>
      <c r="D164" s="324"/>
      <c r="E164" s="324"/>
      <c r="F164" s="308">
        <v>0.1</v>
      </c>
      <c r="G164" s="320"/>
    </row>
    <row r="165" spans="1:7">
      <c r="A165" s="318" t="s">
        <v>295</v>
      </c>
      <c r="B165" s="307" t="s">
        <v>2414</v>
      </c>
      <c r="C165" s="308">
        <v>0.126</v>
      </c>
      <c r="D165" s="308">
        <v>0.126</v>
      </c>
      <c r="E165" s="308">
        <v>0.11899999999999999</v>
      </c>
      <c r="F165" s="308">
        <v>0.13</v>
      </c>
      <c r="G165" s="309">
        <v>0.128</v>
      </c>
    </row>
    <row r="166" spans="1:7">
      <c r="A166" s="318" t="s">
        <v>295</v>
      </c>
      <c r="B166" s="307" t="s">
        <v>2415</v>
      </c>
      <c r="C166" s="308">
        <v>0.129</v>
      </c>
      <c r="D166" s="308">
        <v>0.129</v>
      </c>
      <c r="E166" s="308">
        <v>0.123</v>
      </c>
      <c r="F166" s="308">
        <v>0.128</v>
      </c>
      <c r="G166" s="309">
        <v>0.13</v>
      </c>
    </row>
    <row r="167" spans="1:7">
      <c r="A167" s="318" t="s">
        <v>295</v>
      </c>
      <c r="B167" s="307" t="s">
        <v>2416</v>
      </c>
      <c r="C167" s="308">
        <v>0.125</v>
      </c>
      <c r="D167" s="308">
        <v>0.125</v>
      </c>
      <c r="E167" s="308">
        <v>0.11700000000000001</v>
      </c>
      <c r="F167" s="308">
        <v>0.13</v>
      </c>
      <c r="G167" s="309">
        <v>0.126</v>
      </c>
    </row>
    <row r="168" spans="1:7">
      <c r="A168" s="318" t="s">
        <v>295</v>
      </c>
      <c r="B168" s="307" t="s">
        <v>2417</v>
      </c>
      <c r="C168" s="308">
        <v>0.128</v>
      </c>
      <c r="D168" s="308">
        <v>0.128</v>
      </c>
      <c r="E168" s="308">
        <v>0.123</v>
      </c>
      <c r="F168" s="319"/>
      <c r="G168" s="309">
        <v>0.13</v>
      </c>
    </row>
    <row r="169" spans="1:7">
      <c r="A169" s="318" t="s">
        <v>295</v>
      </c>
      <c r="B169" s="307" t="s">
        <v>2418</v>
      </c>
      <c r="C169" s="324"/>
      <c r="D169" s="324"/>
      <c r="E169" s="324"/>
      <c r="F169" s="308">
        <v>0.05</v>
      </c>
      <c r="G169" s="320"/>
    </row>
    <row r="170" spans="1:7">
      <c r="A170" s="318" t="s">
        <v>295</v>
      </c>
      <c r="B170" s="307" t="s">
        <v>2419</v>
      </c>
      <c r="C170" s="324"/>
      <c r="D170" s="324"/>
      <c r="E170" s="324"/>
      <c r="F170" s="308">
        <v>0.05</v>
      </c>
      <c r="G170" s="320"/>
    </row>
    <row r="171" spans="1:7">
      <c r="A171" s="318" t="s">
        <v>295</v>
      </c>
      <c r="B171" s="307" t="s">
        <v>2420</v>
      </c>
      <c r="C171" s="324"/>
      <c r="D171" s="324"/>
      <c r="E171" s="324"/>
      <c r="F171" s="308">
        <v>0.05</v>
      </c>
      <c r="G171" s="325"/>
    </row>
    <row r="172" spans="1:7">
      <c r="A172" s="318" t="s">
        <v>295</v>
      </c>
      <c r="B172" s="307" t="s">
        <v>2421</v>
      </c>
      <c r="C172" s="324"/>
      <c r="D172" s="324"/>
      <c r="E172" s="324"/>
      <c r="F172" s="308">
        <v>0.05</v>
      </c>
      <c r="G172" s="325"/>
    </row>
    <row r="173" spans="1:7">
      <c r="A173" s="318" t="s">
        <v>295</v>
      </c>
      <c r="B173" s="307" t="s">
        <v>2422</v>
      </c>
      <c r="C173" s="324"/>
      <c r="D173" s="324"/>
      <c r="E173" s="324"/>
      <c r="F173" s="308">
        <v>0.05</v>
      </c>
      <c r="G173" s="320"/>
    </row>
    <row r="174" spans="1:7">
      <c r="A174" s="318" t="s">
        <v>295</v>
      </c>
      <c r="B174" s="307" t="s">
        <v>2423</v>
      </c>
      <c r="C174" s="324"/>
      <c r="D174" s="324"/>
      <c r="E174" s="324"/>
      <c r="F174" s="308">
        <v>0.05</v>
      </c>
      <c r="G174" s="320"/>
    </row>
    <row r="175" spans="1:7">
      <c r="A175" s="318" t="s">
        <v>295</v>
      </c>
      <c r="B175" s="307" t="s">
        <v>2424</v>
      </c>
      <c r="C175" s="324"/>
      <c r="D175" s="324"/>
      <c r="E175" s="324"/>
      <c r="F175" s="308">
        <v>0.05</v>
      </c>
      <c r="G175" s="320"/>
    </row>
    <row r="176" spans="1:7">
      <c r="A176" s="318" t="s">
        <v>295</v>
      </c>
      <c r="B176" s="307" t="s">
        <v>2425</v>
      </c>
      <c r="C176" s="324"/>
      <c r="D176" s="324"/>
      <c r="E176" s="324"/>
      <c r="F176" s="308">
        <v>0.05</v>
      </c>
      <c r="G176" s="320"/>
    </row>
    <row r="177" spans="1:7">
      <c r="A177" s="318" t="s">
        <v>295</v>
      </c>
      <c r="B177" s="307" t="s">
        <v>2426</v>
      </c>
      <c r="C177" s="319"/>
      <c r="D177" s="319"/>
      <c r="E177" s="319"/>
      <c r="F177" s="308">
        <v>0.05</v>
      </c>
      <c r="G177" s="325"/>
    </row>
    <row r="178" spans="1:7">
      <c r="A178" s="318" t="s">
        <v>295</v>
      </c>
      <c r="B178" s="307" t="s">
        <v>2427</v>
      </c>
      <c r="C178" s="319"/>
      <c r="D178" s="319"/>
      <c r="E178" s="319"/>
      <c r="F178" s="308">
        <v>0.05</v>
      </c>
      <c r="G178" s="325"/>
    </row>
    <row r="179" spans="1:7">
      <c r="A179" s="318" t="s">
        <v>295</v>
      </c>
      <c r="B179" s="307" t="s">
        <v>2428</v>
      </c>
      <c r="C179" s="319"/>
      <c r="D179" s="319"/>
      <c r="E179" s="319"/>
      <c r="F179" s="308">
        <v>0.05</v>
      </c>
      <c r="G179" s="325"/>
    </row>
    <row r="180" spans="1:7">
      <c r="A180" s="318" t="s">
        <v>295</v>
      </c>
      <c r="B180" s="307" t="s">
        <v>2429</v>
      </c>
      <c r="C180" s="319"/>
      <c r="D180" s="319"/>
      <c r="E180" s="319"/>
      <c r="F180" s="308">
        <v>0.05</v>
      </c>
      <c r="G180" s="325"/>
    </row>
    <row r="181" spans="1:7">
      <c r="A181" s="318" t="s">
        <v>295</v>
      </c>
      <c r="B181" s="307" t="s">
        <v>2430</v>
      </c>
      <c r="C181" s="319"/>
      <c r="D181" s="319"/>
      <c r="E181" s="319"/>
      <c r="F181" s="308">
        <v>0.05</v>
      </c>
      <c r="G181" s="325"/>
    </row>
    <row r="182" spans="1:7">
      <c r="A182" s="318" t="s">
        <v>295</v>
      </c>
      <c r="B182" s="307" t="s">
        <v>2431</v>
      </c>
      <c r="C182" s="319"/>
      <c r="D182" s="319"/>
      <c r="E182" s="319"/>
      <c r="F182" s="308">
        <v>0.05</v>
      </c>
      <c r="G182" s="325"/>
    </row>
    <row r="183" spans="1:7">
      <c r="A183" s="318" t="s">
        <v>295</v>
      </c>
      <c r="B183" s="307" t="s">
        <v>2432</v>
      </c>
      <c r="C183" s="319"/>
      <c r="D183" s="319"/>
      <c r="E183" s="319"/>
      <c r="F183" s="308">
        <v>0.05</v>
      </c>
      <c r="G183" s="325"/>
    </row>
    <row r="184" spans="1:7">
      <c r="A184" s="318" t="s">
        <v>295</v>
      </c>
      <c r="B184" s="307" t="s">
        <v>2433</v>
      </c>
      <c r="C184" s="319"/>
      <c r="D184" s="319"/>
      <c r="E184" s="319"/>
      <c r="F184" s="308">
        <v>0.05</v>
      </c>
      <c r="G184" s="325"/>
    </row>
    <row r="185" spans="1:7">
      <c r="A185" s="318" t="s">
        <v>295</v>
      </c>
      <c r="B185" s="307" t="s">
        <v>2434</v>
      </c>
      <c r="C185" s="319"/>
      <c r="D185" s="319"/>
      <c r="E185" s="319"/>
      <c r="F185" s="308">
        <v>0.05</v>
      </c>
      <c r="G185" s="325"/>
    </row>
    <row r="186" spans="1:7">
      <c r="A186" s="318" t="s">
        <v>295</v>
      </c>
      <c r="B186" s="307" t="s">
        <v>2435</v>
      </c>
      <c r="C186" s="319"/>
      <c r="D186" s="319"/>
      <c r="E186" s="319"/>
      <c r="F186" s="308">
        <v>0.05</v>
      </c>
      <c r="G186" s="325"/>
    </row>
    <row r="187" spans="1:7">
      <c r="A187" s="318" t="s">
        <v>295</v>
      </c>
      <c r="B187" s="307" t="s">
        <v>2436</v>
      </c>
      <c r="C187" s="319"/>
      <c r="D187" s="319"/>
      <c r="E187" s="319"/>
      <c r="F187" s="308">
        <v>0.05</v>
      </c>
      <c r="G187" s="325"/>
    </row>
    <row r="188" spans="1:7">
      <c r="A188" s="318" t="s">
        <v>295</v>
      </c>
      <c r="B188" s="307" t="s">
        <v>2437</v>
      </c>
      <c r="C188" s="319"/>
      <c r="D188" s="319"/>
      <c r="E188" s="319"/>
      <c r="F188" s="308">
        <v>0.05</v>
      </c>
      <c r="G188" s="325"/>
    </row>
    <row r="189" spans="1:7">
      <c r="A189" s="321" t="s">
        <v>295</v>
      </c>
      <c r="B189" s="311" t="s">
        <v>2438</v>
      </c>
      <c r="C189" s="313"/>
      <c r="D189" s="313"/>
      <c r="E189" s="313"/>
      <c r="F189" s="312">
        <v>0.05</v>
      </c>
      <c r="G189" s="326"/>
    </row>
    <row r="190" spans="1:7">
      <c r="A190" s="317" t="s">
        <v>303</v>
      </c>
      <c r="B190" s="303" t="s">
        <v>2439</v>
      </c>
      <c r="C190" s="304">
        <v>0.124</v>
      </c>
      <c r="D190" s="304">
        <v>0.124</v>
      </c>
      <c r="E190" s="304">
        <v>0.129</v>
      </c>
      <c r="F190" s="304">
        <v>0.13</v>
      </c>
      <c r="G190" s="305">
        <v>0.127</v>
      </c>
    </row>
    <row r="191" spans="1:7">
      <c r="A191" s="318" t="s">
        <v>303</v>
      </c>
      <c r="B191" s="307" t="s">
        <v>2440</v>
      </c>
      <c r="C191" s="308">
        <v>0.13</v>
      </c>
      <c r="D191" s="308">
        <v>0.13</v>
      </c>
      <c r="E191" s="308">
        <v>0.13</v>
      </c>
      <c r="F191" s="308">
        <v>0.13</v>
      </c>
      <c r="G191" s="309">
        <v>0.13</v>
      </c>
    </row>
    <row r="192" spans="1:7">
      <c r="A192" s="318" t="s">
        <v>303</v>
      </c>
      <c r="B192" s="307" t="s">
        <v>2441</v>
      </c>
      <c r="C192" s="308">
        <v>0.13</v>
      </c>
      <c r="D192" s="308">
        <v>0.13</v>
      </c>
      <c r="E192" s="308">
        <v>0.13</v>
      </c>
      <c r="F192" s="308">
        <v>0.13</v>
      </c>
      <c r="G192" s="309">
        <v>0.13</v>
      </c>
    </row>
    <row r="193" spans="1:7">
      <c r="A193" s="318" t="s">
        <v>303</v>
      </c>
      <c r="B193" s="307" t="s">
        <v>2442</v>
      </c>
      <c r="C193" s="308">
        <v>0.13</v>
      </c>
      <c r="D193" s="308">
        <v>0.13</v>
      </c>
      <c r="E193" s="308">
        <v>0.13</v>
      </c>
      <c r="F193" s="308">
        <v>0.13</v>
      </c>
      <c r="G193" s="309">
        <v>0.13</v>
      </c>
    </row>
    <row r="194" spans="1:7">
      <c r="A194" s="318" t="s">
        <v>303</v>
      </c>
      <c r="B194" s="307" t="s">
        <v>2443</v>
      </c>
      <c r="C194" s="308">
        <v>0.123</v>
      </c>
      <c r="D194" s="308">
        <v>0.123</v>
      </c>
      <c r="E194" s="308">
        <v>0.128</v>
      </c>
      <c r="F194" s="308">
        <v>0.13</v>
      </c>
      <c r="G194" s="309">
        <v>0.126</v>
      </c>
    </row>
    <row r="195" spans="1:7">
      <c r="A195" s="318" t="s">
        <v>303</v>
      </c>
      <c r="B195" s="307" t="s">
        <v>2444</v>
      </c>
      <c r="C195" s="308">
        <v>0.127</v>
      </c>
      <c r="D195" s="308">
        <v>0.127</v>
      </c>
      <c r="E195" s="308">
        <v>0.121</v>
      </c>
      <c r="F195" s="308">
        <v>0.129</v>
      </c>
      <c r="G195" s="309">
        <v>0.129</v>
      </c>
    </row>
    <row r="196" spans="1:7">
      <c r="A196" s="318" t="s">
        <v>303</v>
      </c>
      <c r="B196" s="307" t="s">
        <v>2445</v>
      </c>
      <c r="C196" s="308">
        <v>0.127</v>
      </c>
      <c r="D196" s="308">
        <v>0.128</v>
      </c>
      <c r="E196" s="308">
        <v>0.122</v>
      </c>
      <c r="F196" s="308">
        <v>0.13</v>
      </c>
      <c r="G196" s="309">
        <v>0.129</v>
      </c>
    </row>
    <row r="197" spans="1:7">
      <c r="A197" s="318" t="s">
        <v>303</v>
      </c>
      <c r="B197" s="307" t="s">
        <v>2446</v>
      </c>
      <c r="C197" s="308">
        <v>0.126</v>
      </c>
      <c r="D197" s="308">
        <v>0.126</v>
      </c>
      <c r="E197" s="308">
        <v>0.11899999999999999</v>
      </c>
      <c r="F197" s="308">
        <v>0.13</v>
      </c>
      <c r="G197" s="309">
        <v>0.128</v>
      </c>
    </row>
    <row r="198" spans="1:7">
      <c r="A198" s="318" t="s">
        <v>303</v>
      </c>
      <c r="B198" s="307" t="s">
        <v>2447</v>
      </c>
      <c r="C198" s="308">
        <v>0.13</v>
      </c>
      <c r="D198" s="308">
        <v>0.13</v>
      </c>
      <c r="E198" s="308">
        <v>0.126</v>
      </c>
      <c r="F198" s="324"/>
      <c r="G198" s="309">
        <v>0.13</v>
      </c>
    </row>
    <row r="199" spans="1:7">
      <c r="A199" s="318" t="s">
        <v>303</v>
      </c>
      <c r="B199" s="307" t="s">
        <v>2448</v>
      </c>
      <c r="C199" s="308">
        <v>0.13</v>
      </c>
      <c r="D199" s="308">
        <v>0.13</v>
      </c>
      <c r="E199" s="308">
        <v>0.13</v>
      </c>
      <c r="F199" s="308">
        <v>0.13</v>
      </c>
      <c r="G199" s="309">
        <v>0.13</v>
      </c>
    </row>
    <row r="200" spans="1:7">
      <c r="A200" s="318" t="s">
        <v>303</v>
      </c>
      <c r="B200" s="307" t="s">
        <v>2449</v>
      </c>
      <c r="C200" s="324"/>
      <c r="D200" s="324"/>
      <c r="E200" s="324"/>
      <c r="F200" s="308">
        <v>0.13</v>
      </c>
      <c r="G200" s="320"/>
    </row>
    <row r="201" spans="1:7">
      <c r="A201" s="318" t="s">
        <v>303</v>
      </c>
      <c r="B201" s="307" t="s">
        <v>2450</v>
      </c>
      <c r="C201" s="308">
        <v>0.13</v>
      </c>
      <c r="D201" s="308">
        <v>0.13</v>
      </c>
      <c r="E201" s="308">
        <v>0.13</v>
      </c>
      <c r="F201" s="308">
        <v>0.129</v>
      </c>
      <c r="G201" s="309">
        <v>0.13</v>
      </c>
    </row>
    <row r="202" spans="1:7">
      <c r="A202" s="318" t="s">
        <v>303</v>
      </c>
      <c r="B202" s="307" t="s">
        <v>2451</v>
      </c>
      <c r="C202" s="308">
        <v>0.13</v>
      </c>
      <c r="D202" s="308">
        <v>0.13</v>
      </c>
      <c r="E202" s="308">
        <v>0.13</v>
      </c>
      <c r="F202" s="308">
        <v>0.13</v>
      </c>
      <c r="G202" s="309">
        <v>0.13</v>
      </c>
    </row>
    <row r="203" spans="1:7">
      <c r="A203" s="318" t="s">
        <v>303</v>
      </c>
      <c r="B203" s="307" t="s">
        <v>2452</v>
      </c>
      <c r="C203" s="308">
        <v>0.129</v>
      </c>
      <c r="D203" s="308">
        <v>0.129</v>
      </c>
      <c r="E203" s="308">
        <v>0.13</v>
      </c>
      <c r="F203" s="308">
        <v>0.13</v>
      </c>
      <c r="G203" s="309">
        <v>0.13</v>
      </c>
    </row>
    <row r="204" spans="1:7">
      <c r="A204" s="318" t="s">
        <v>303</v>
      </c>
      <c r="B204" s="307" t="s">
        <v>2453</v>
      </c>
      <c r="C204" s="308">
        <v>0.129</v>
      </c>
      <c r="D204" s="308">
        <v>0.129</v>
      </c>
      <c r="E204" s="308">
        <v>0.123</v>
      </c>
      <c r="F204" s="308">
        <v>0.13</v>
      </c>
      <c r="G204" s="309">
        <v>0.13</v>
      </c>
    </row>
    <row r="205" spans="1:7">
      <c r="A205" s="318" t="s">
        <v>303</v>
      </c>
      <c r="B205" s="307" t="s">
        <v>2454</v>
      </c>
      <c r="C205" s="308">
        <v>0.13</v>
      </c>
      <c r="D205" s="308">
        <v>0.13</v>
      </c>
      <c r="E205" s="308">
        <v>0.13</v>
      </c>
      <c r="F205" s="308">
        <v>0.13</v>
      </c>
      <c r="G205" s="309">
        <v>0.13</v>
      </c>
    </row>
    <row r="206" spans="1:7">
      <c r="A206" s="318" t="s">
        <v>303</v>
      </c>
      <c r="B206" s="307" t="s">
        <v>2455</v>
      </c>
      <c r="C206" s="308">
        <v>0.13</v>
      </c>
      <c r="D206" s="308">
        <v>0.13</v>
      </c>
      <c r="E206" s="308">
        <v>0.13</v>
      </c>
      <c r="F206" s="308">
        <v>0.128</v>
      </c>
      <c r="G206" s="309">
        <v>0.13</v>
      </c>
    </row>
    <row r="207" spans="1:7">
      <c r="A207" s="318" t="s">
        <v>303</v>
      </c>
      <c r="B207" s="307" t="s">
        <v>2456</v>
      </c>
      <c r="C207" s="308">
        <v>0.13</v>
      </c>
      <c r="D207" s="308">
        <v>0.13</v>
      </c>
      <c r="E207" s="308">
        <v>0.13</v>
      </c>
      <c r="F207" s="308">
        <v>0.13</v>
      </c>
      <c r="G207" s="309">
        <v>0.13</v>
      </c>
    </row>
    <row r="208" spans="1:7">
      <c r="A208" s="318" t="s">
        <v>303</v>
      </c>
      <c r="B208" s="307" t="s">
        <v>2457</v>
      </c>
      <c r="C208" s="308">
        <v>0.13</v>
      </c>
      <c r="D208" s="308">
        <v>0.13</v>
      </c>
      <c r="E208" s="308">
        <v>0.13</v>
      </c>
      <c r="F208" s="308">
        <v>0.13</v>
      </c>
      <c r="G208" s="309">
        <v>0.13</v>
      </c>
    </row>
    <row r="209" spans="1:7">
      <c r="A209" s="318" t="s">
        <v>303</v>
      </c>
      <c r="B209" s="307" t="s">
        <v>2458</v>
      </c>
      <c r="C209" s="308">
        <v>0.13</v>
      </c>
      <c r="D209" s="308">
        <v>0.13</v>
      </c>
      <c r="E209" s="308">
        <v>0.13</v>
      </c>
      <c r="F209" s="308">
        <v>0.13</v>
      </c>
      <c r="G209" s="309">
        <v>0.13</v>
      </c>
    </row>
    <row r="210" spans="1:7">
      <c r="A210" s="318" t="s">
        <v>303</v>
      </c>
      <c r="B210" s="307" t="s">
        <v>2459</v>
      </c>
      <c r="C210" s="308">
        <v>0.121</v>
      </c>
      <c r="D210" s="308">
        <v>0.121</v>
      </c>
      <c r="E210" s="308">
        <v>0.125</v>
      </c>
      <c r="F210" s="308">
        <v>0.13</v>
      </c>
      <c r="G210" s="309">
        <v>0.123</v>
      </c>
    </row>
    <row r="211" spans="1:7">
      <c r="A211" s="318" t="s">
        <v>303</v>
      </c>
      <c r="B211" s="307" t="s">
        <v>2460</v>
      </c>
      <c r="C211" s="308">
        <v>0.123</v>
      </c>
      <c r="D211" s="308">
        <v>0.123</v>
      </c>
      <c r="E211" s="308">
        <v>0.127</v>
      </c>
      <c r="F211" s="308">
        <v>0.115</v>
      </c>
      <c r="G211" s="309">
        <v>0.126</v>
      </c>
    </row>
    <row r="212" spans="1:7">
      <c r="A212" s="318" t="s">
        <v>303</v>
      </c>
      <c r="B212" s="307" t="s">
        <v>2461</v>
      </c>
      <c r="C212" s="308">
        <v>0.126</v>
      </c>
      <c r="D212" s="308">
        <v>0.126</v>
      </c>
      <c r="E212" s="308">
        <v>0.13</v>
      </c>
      <c r="F212" s="308">
        <v>0.13</v>
      </c>
      <c r="G212" s="309">
        <v>0.129</v>
      </c>
    </row>
    <row r="213" spans="1:7">
      <c r="A213" s="318" t="s">
        <v>303</v>
      </c>
      <c r="B213" s="307" t="s">
        <v>2462</v>
      </c>
      <c r="C213" s="308">
        <v>0.129</v>
      </c>
      <c r="D213" s="308">
        <v>0.13</v>
      </c>
      <c r="E213" s="308">
        <v>0.127</v>
      </c>
      <c r="F213" s="308">
        <v>0.13</v>
      </c>
      <c r="G213" s="309">
        <v>0.13</v>
      </c>
    </row>
    <row r="214" spans="1:7">
      <c r="A214" s="318" t="s">
        <v>303</v>
      </c>
      <c r="B214" s="307" t="s">
        <v>2463</v>
      </c>
      <c r="C214" s="308">
        <v>0.128</v>
      </c>
      <c r="D214" s="308">
        <v>0.128</v>
      </c>
      <c r="E214" s="308">
        <v>0.13</v>
      </c>
      <c r="F214" s="308">
        <v>0.13</v>
      </c>
      <c r="G214" s="309">
        <v>0.13</v>
      </c>
    </row>
    <row r="215" spans="1:7">
      <c r="A215" s="318" t="s">
        <v>303</v>
      </c>
      <c r="B215" s="307" t="s">
        <v>2464</v>
      </c>
      <c r="C215" s="308">
        <v>0.13</v>
      </c>
      <c r="D215" s="308">
        <v>0.13</v>
      </c>
      <c r="E215" s="308">
        <v>0.13</v>
      </c>
      <c r="F215" s="308">
        <v>0.129</v>
      </c>
      <c r="G215" s="309">
        <v>0.13</v>
      </c>
    </row>
    <row r="216" spans="1:7">
      <c r="A216" s="318" t="s">
        <v>303</v>
      </c>
      <c r="B216" s="307" t="s">
        <v>2465</v>
      </c>
      <c r="C216" s="308">
        <v>0.13</v>
      </c>
      <c r="D216" s="308">
        <v>0.13</v>
      </c>
      <c r="E216" s="308">
        <v>0.13</v>
      </c>
      <c r="F216" s="308">
        <v>0.13</v>
      </c>
      <c r="G216" s="309">
        <v>0.13</v>
      </c>
    </row>
    <row r="217" spans="1:7">
      <c r="A217" s="318" t="s">
        <v>303</v>
      </c>
      <c r="B217" s="307" t="s">
        <v>2466</v>
      </c>
      <c r="C217" s="308">
        <v>0.129</v>
      </c>
      <c r="D217" s="308">
        <v>0.129</v>
      </c>
      <c r="E217" s="308">
        <v>0.13</v>
      </c>
      <c r="F217" s="308">
        <v>0.13</v>
      </c>
      <c r="G217" s="309">
        <v>0.13</v>
      </c>
    </row>
    <row r="218" spans="1:7">
      <c r="A218" s="318" t="s">
        <v>303</v>
      </c>
      <c r="B218" s="307" t="s">
        <v>2467</v>
      </c>
      <c r="C218" s="319"/>
      <c r="D218" s="319"/>
      <c r="E218" s="319"/>
      <c r="F218" s="308">
        <v>0.05</v>
      </c>
      <c r="G218" s="325"/>
    </row>
    <row r="219" spans="1:7">
      <c r="A219" s="318" t="s">
        <v>303</v>
      </c>
      <c r="B219" s="307" t="s">
        <v>2468</v>
      </c>
      <c r="C219" s="319"/>
      <c r="D219" s="319"/>
      <c r="E219" s="319"/>
      <c r="F219" s="308">
        <v>0.05</v>
      </c>
      <c r="G219" s="325"/>
    </row>
    <row r="220" spans="1:7">
      <c r="A220" s="318" t="s">
        <v>303</v>
      </c>
      <c r="B220" s="307" t="s">
        <v>2469</v>
      </c>
      <c r="C220" s="319"/>
      <c r="D220" s="319"/>
      <c r="E220" s="319"/>
      <c r="F220" s="308">
        <v>0.05</v>
      </c>
      <c r="G220" s="325"/>
    </row>
    <row r="221" spans="1:7">
      <c r="A221" s="318" t="s">
        <v>303</v>
      </c>
      <c r="B221" s="307" t="s">
        <v>2470</v>
      </c>
      <c r="C221" s="319"/>
      <c r="D221" s="319"/>
      <c r="E221" s="319"/>
      <c r="F221" s="308">
        <v>0.05</v>
      </c>
      <c r="G221" s="325"/>
    </row>
    <row r="222" spans="1:7">
      <c r="A222" s="318" t="s">
        <v>303</v>
      </c>
      <c r="B222" s="307" t="s">
        <v>2471</v>
      </c>
      <c r="C222" s="319"/>
      <c r="D222" s="319"/>
      <c r="E222" s="319"/>
      <c r="F222" s="308">
        <v>0.05</v>
      </c>
      <c r="G222" s="325"/>
    </row>
    <row r="223" spans="1:7">
      <c r="A223" s="318" t="s">
        <v>303</v>
      </c>
      <c r="B223" s="307" t="s">
        <v>2472</v>
      </c>
      <c r="C223" s="319"/>
      <c r="D223" s="319"/>
      <c r="E223" s="319"/>
      <c r="F223" s="308">
        <v>0.05</v>
      </c>
      <c r="G223" s="325"/>
    </row>
    <row r="224" spans="1:7">
      <c r="A224" s="318" t="s">
        <v>303</v>
      </c>
      <c r="B224" s="307" t="s">
        <v>2473</v>
      </c>
      <c r="C224" s="319"/>
      <c r="D224" s="319"/>
      <c r="E224" s="319"/>
      <c r="F224" s="308">
        <v>0.05</v>
      </c>
      <c r="G224" s="325"/>
    </row>
    <row r="225" spans="1:7">
      <c r="A225" s="318" t="s">
        <v>303</v>
      </c>
      <c r="B225" s="307" t="s">
        <v>2474</v>
      </c>
      <c r="C225" s="319"/>
      <c r="D225" s="319"/>
      <c r="E225" s="319"/>
      <c r="F225" s="308">
        <v>0.05</v>
      </c>
      <c r="G225" s="325"/>
    </row>
    <row r="226" spans="1:7">
      <c r="A226" s="318" t="s">
        <v>303</v>
      </c>
      <c r="B226" s="307" t="s">
        <v>2475</v>
      </c>
      <c r="C226" s="319"/>
      <c r="D226" s="319"/>
      <c r="E226" s="319"/>
      <c r="F226" s="308">
        <v>0.05</v>
      </c>
      <c r="G226" s="325"/>
    </row>
    <row r="227" spans="1:7">
      <c r="A227" s="318" t="s">
        <v>303</v>
      </c>
      <c r="B227" s="307" t="s">
        <v>2476</v>
      </c>
      <c r="C227" s="319"/>
      <c r="D227" s="319"/>
      <c r="E227" s="319"/>
      <c r="F227" s="308">
        <v>0.05</v>
      </c>
      <c r="G227" s="325"/>
    </row>
    <row r="228" spans="1:7">
      <c r="A228" s="318" t="s">
        <v>303</v>
      </c>
      <c r="B228" s="307" t="s">
        <v>2477</v>
      </c>
      <c r="C228" s="319"/>
      <c r="D228" s="319"/>
      <c r="E228" s="319"/>
      <c r="F228" s="308">
        <v>0.05</v>
      </c>
      <c r="G228" s="325"/>
    </row>
    <row r="229" spans="1:7">
      <c r="A229" s="318" t="s">
        <v>303</v>
      </c>
      <c r="B229" s="307" t="s">
        <v>2478</v>
      </c>
      <c r="C229" s="319"/>
      <c r="D229" s="319"/>
      <c r="E229" s="319"/>
      <c r="F229" s="308">
        <v>0.05</v>
      </c>
      <c r="G229" s="325"/>
    </row>
    <row r="230" spans="1:7">
      <c r="A230" s="318" t="s">
        <v>303</v>
      </c>
      <c r="B230" s="307" t="s">
        <v>2479</v>
      </c>
      <c r="C230" s="319"/>
      <c r="D230" s="319"/>
      <c r="E230" s="319"/>
      <c r="F230" s="308">
        <v>0.05</v>
      </c>
      <c r="G230" s="325"/>
    </row>
    <row r="231" spans="1:7">
      <c r="A231" s="318" t="s">
        <v>303</v>
      </c>
      <c r="B231" s="307" t="s">
        <v>2480</v>
      </c>
      <c r="C231" s="319"/>
      <c r="D231" s="319"/>
      <c r="E231" s="319"/>
      <c r="F231" s="308">
        <v>0.05</v>
      </c>
      <c r="G231" s="325"/>
    </row>
    <row r="232" spans="1:7">
      <c r="A232" s="318" t="s">
        <v>303</v>
      </c>
      <c r="B232" s="307" t="s">
        <v>2481</v>
      </c>
      <c r="C232" s="319"/>
      <c r="D232" s="319"/>
      <c r="E232" s="319"/>
      <c r="F232" s="308">
        <v>0.05</v>
      </c>
      <c r="G232" s="325"/>
    </row>
    <row r="233" spans="1:7">
      <c r="A233" s="321" t="s">
        <v>303</v>
      </c>
      <c r="B233" s="311" t="s">
        <v>2482</v>
      </c>
      <c r="C233" s="313"/>
      <c r="D233" s="313"/>
      <c r="E233" s="313"/>
      <c r="F233" s="312">
        <v>0.05</v>
      </c>
      <c r="G233" s="326"/>
    </row>
    <row r="234" spans="1:7">
      <c r="A234" s="317" t="s">
        <v>311</v>
      </c>
      <c r="B234" s="303" t="s">
        <v>2483</v>
      </c>
      <c r="C234" s="304">
        <v>0.13</v>
      </c>
      <c r="D234" s="304">
        <v>0.128</v>
      </c>
      <c r="E234" s="304">
        <v>0.14199999999999999</v>
      </c>
      <c r="F234" s="304">
        <v>0.14699999999999999</v>
      </c>
      <c r="G234" s="305">
        <v>0.14000000000000001</v>
      </c>
    </row>
    <row r="235" spans="1:7">
      <c r="A235" s="318" t="s">
        <v>311</v>
      </c>
      <c r="B235" s="307" t="s">
        <v>2484</v>
      </c>
      <c r="C235" s="308">
        <v>0.13600000000000001</v>
      </c>
      <c r="D235" s="308">
        <v>0.13800000000000001</v>
      </c>
      <c r="E235" s="308">
        <v>0.14499999999999999</v>
      </c>
      <c r="F235" s="308">
        <v>0.14299999999999999</v>
      </c>
      <c r="G235" s="309">
        <v>0.14099999999999999</v>
      </c>
    </row>
    <row r="236" spans="1:7">
      <c r="A236" s="318" t="s">
        <v>311</v>
      </c>
      <c r="B236" s="307" t="s">
        <v>2485</v>
      </c>
      <c r="C236" s="308">
        <v>0.15</v>
      </c>
      <c r="D236" s="308">
        <v>0.15</v>
      </c>
      <c r="E236" s="308">
        <v>0.15</v>
      </c>
      <c r="F236" s="308">
        <v>0.15</v>
      </c>
      <c r="G236" s="309">
        <v>0.15</v>
      </c>
    </row>
    <row r="237" spans="1:7">
      <c r="A237" s="318" t="s">
        <v>311</v>
      </c>
      <c r="B237" s="307" t="s">
        <v>2486</v>
      </c>
      <c r="C237" s="308">
        <v>0.15</v>
      </c>
      <c r="D237" s="308">
        <v>0.15</v>
      </c>
      <c r="E237" s="308">
        <v>0.15</v>
      </c>
      <c r="F237" s="308">
        <v>0.15</v>
      </c>
      <c r="G237" s="309">
        <v>0.15</v>
      </c>
    </row>
    <row r="238" spans="1:7">
      <c r="A238" s="318" t="s">
        <v>311</v>
      </c>
      <c r="B238" s="307" t="s">
        <v>2487</v>
      </c>
      <c r="C238" s="308">
        <v>0.14899999999999999</v>
      </c>
      <c r="D238" s="308">
        <v>0.14899999999999999</v>
      </c>
      <c r="E238" s="308">
        <v>0.15</v>
      </c>
      <c r="F238" s="308">
        <v>0.15</v>
      </c>
      <c r="G238" s="309">
        <v>0.15</v>
      </c>
    </row>
    <row r="239" spans="1:7">
      <c r="A239" s="318" t="s">
        <v>311</v>
      </c>
      <c r="B239" s="307" t="s">
        <v>2488</v>
      </c>
      <c r="C239" s="308">
        <v>0.15</v>
      </c>
      <c r="D239" s="308">
        <v>0.15</v>
      </c>
      <c r="E239" s="308">
        <v>0.15</v>
      </c>
      <c r="F239" s="308">
        <v>0.15</v>
      </c>
      <c r="G239" s="309">
        <v>0.15</v>
      </c>
    </row>
    <row r="240" spans="1:7">
      <c r="A240" s="318" t="s">
        <v>311</v>
      </c>
      <c r="B240" s="307" t="s">
        <v>2489</v>
      </c>
      <c r="C240" s="308">
        <v>0.15</v>
      </c>
      <c r="D240" s="308">
        <v>0.15</v>
      </c>
      <c r="E240" s="308">
        <v>0.15</v>
      </c>
      <c r="F240" s="308">
        <v>0.15</v>
      </c>
      <c r="G240" s="309">
        <v>0.15</v>
      </c>
    </row>
    <row r="241" spans="1:7">
      <c r="A241" s="318" t="s">
        <v>311</v>
      </c>
      <c r="B241" s="307" t="s">
        <v>2490</v>
      </c>
      <c r="C241" s="308">
        <v>0.14099999999999999</v>
      </c>
      <c r="D241" s="308">
        <v>0.14199999999999999</v>
      </c>
      <c r="E241" s="308">
        <v>0.14899999999999999</v>
      </c>
      <c r="F241" s="308">
        <v>0.15</v>
      </c>
      <c r="G241" s="309">
        <v>0.14399999999999999</v>
      </c>
    </row>
    <row r="242" spans="1:7">
      <c r="A242" s="318" t="s">
        <v>311</v>
      </c>
      <c r="B242" s="307" t="s">
        <v>2491</v>
      </c>
      <c r="C242" s="308">
        <v>0.14099999999999999</v>
      </c>
      <c r="D242" s="308">
        <v>0.14199999999999999</v>
      </c>
      <c r="E242" s="308">
        <v>0.14799999999999999</v>
      </c>
      <c r="F242" s="308">
        <v>0.127</v>
      </c>
      <c r="G242" s="309">
        <v>0.14399999999999999</v>
      </c>
    </row>
    <row r="243" spans="1:7">
      <c r="A243" s="318" t="s">
        <v>311</v>
      </c>
      <c r="B243" s="307" t="s">
        <v>2492</v>
      </c>
      <c r="C243" s="308">
        <v>0.14699999999999999</v>
      </c>
      <c r="D243" s="308">
        <v>0.14699999999999999</v>
      </c>
      <c r="E243" s="308">
        <v>0.15</v>
      </c>
      <c r="F243" s="308">
        <v>0.15</v>
      </c>
      <c r="G243" s="309">
        <v>0.14899999999999999</v>
      </c>
    </row>
    <row r="244" spans="1:7">
      <c r="A244" s="318" t="s">
        <v>311</v>
      </c>
      <c r="B244" s="307" t="s">
        <v>2493</v>
      </c>
      <c r="C244" s="308">
        <v>0.15</v>
      </c>
      <c r="D244" s="308">
        <v>0.15</v>
      </c>
      <c r="E244" s="308">
        <v>0.15</v>
      </c>
      <c r="F244" s="308">
        <v>0.15</v>
      </c>
      <c r="G244" s="309">
        <v>0.15</v>
      </c>
    </row>
    <row r="245" spans="1:7">
      <c r="A245" s="318" t="s">
        <v>311</v>
      </c>
      <c r="B245" s="307" t="s">
        <v>2494</v>
      </c>
      <c r="C245" s="308">
        <v>0.14199999999999999</v>
      </c>
      <c r="D245" s="308">
        <v>0.14199999999999999</v>
      </c>
      <c r="E245" s="308">
        <v>0.15</v>
      </c>
      <c r="F245" s="308">
        <v>0.15</v>
      </c>
      <c r="G245" s="309">
        <v>0.14499999999999999</v>
      </c>
    </row>
    <row r="246" spans="1:7">
      <c r="A246" s="318" t="s">
        <v>311</v>
      </c>
      <c r="B246" s="307" t="s">
        <v>2495</v>
      </c>
      <c r="C246" s="308">
        <v>0.14199999999999999</v>
      </c>
      <c r="D246" s="308">
        <v>0.14299999999999999</v>
      </c>
      <c r="E246" s="308">
        <v>0.15</v>
      </c>
      <c r="F246" s="308">
        <v>0.14199999999999999</v>
      </c>
      <c r="G246" s="309">
        <v>0.14399999999999999</v>
      </c>
    </row>
    <row r="247" spans="1:7">
      <c r="A247" s="318" t="s">
        <v>311</v>
      </c>
      <c r="B247" s="307" t="s">
        <v>2496</v>
      </c>
      <c r="C247" s="308">
        <v>0.14899999999999999</v>
      </c>
      <c r="D247" s="308">
        <v>0.14899999999999999</v>
      </c>
      <c r="E247" s="308">
        <v>0.15</v>
      </c>
      <c r="F247" s="308">
        <v>0.15</v>
      </c>
      <c r="G247" s="309">
        <v>0.15</v>
      </c>
    </row>
    <row r="248" spans="1:7">
      <c r="A248" s="318" t="s">
        <v>311</v>
      </c>
      <c r="B248" s="307" t="s">
        <v>2497</v>
      </c>
      <c r="C248" s="308">
        <v>0.14399999999999999</v>
      </c>
      <c r="D248" s="308">
        <v>0.14399999999999999</v>
      </c>
      <c r="E248" s="308">
        <v>0.14899999999999999</v>
      </c>
      <c r="F248" s="308">
        <v>0.14799999999999999</v>
      </c>
      <c r="G248" s="309">
        <v>0.14599999999999999</v>
      </c>
    </row>
    <row r="249" spans="1:7">
      <c r="A249" s="318" t="s">
        <v>311</v>
      </c>
      <c r="B249" s="307" t="s">
        <v>2498</v>
      </c>
      <c r="C249" s="308">
        <v>0.14000000000000001</v>
      </c>
      <c r="D249" s="308">
        <v>0.14000000000000001</v>
      </c>
      <c r="E249" s="308">
        <v>0.14699999999999999</v>
      </c>
      <c r="F249" s="308">
        <v>0.14899999999999999</v>
      </c>
      <c r="G249" s="309">
        <v>0.14199999999999999</v>
      </c>
    </row>
    <row r="250" spans="1:7">
      <c r="A250" s="318" t="s">
        <v>311</v>
      </c>
      <c r="B250" s="307" t="s">
        <v>2499</v>
      </c>
      <c r="C250" s="308">
        <v>0.14399999999999999</v>
      </c>
      <c r="D250" s="308">
        <v>0.14299999999999999</v>
      </c>
      <c r="E250" s="308">
        <v>0.14899999999999999</v>
      </c>
      <c r="F250" s="308">
        <v>0.15</v>
      </c>
      <c r="G250" s="309">
        <v>0.14599999999999999</v>
      </c>
    </row>
    <row r="251" spans="1:7">
      <c r="A251" s="318" t="s">
        <v>311</v>
      </c>
      <c r="B251" s="307" t="s">
        <v>2500</v>
      </c>
      <c r="C251" s="324"/>
      <c r="D251" s="319"/>
      <c r="E251" s="319"/>
      <c r="F251" s="308">
        <v>0.1</v>
      </c>
      <c r="G251" s="325"/>
    </row>
    <row r="252" spans="1:7">
      <c r="A252" s="318" t="s">
        <v>311</v>
      </c>
      <c r="B252" s="307" t="s">
        <v>2501</v>
      </c>
      <c r="C252" s="308">
        <v>0.14399999999999999</v>
      </c>
      <c r="D252" s="308">
        <v>0.14399999999999999</v>
      </c>
      <c r="E252" s="308">
        <v>0.15</v>
      </c>
      <c r="F252" s="308">
        <v>0.14899999999999999</v>
      </c>
      <c r="G252" s="309">
        <v>0.14599999999999999</v>
      </c>
    </row>
    <row r="253" spans="1:7">
      <c r="A253" s="318" t="s">
        <v>311</v>
      </c>
      <c r="B253" s="307" t="s">
        <v>2502</v>
      </c>
      <c r="C253" s="308">
        <v>0.14199999999999999</v>
      </c>
      <c r="D253" s="308">
        <v>0.14199999999999999</v>
      </c>
      <c r="E253" s="308">
        <v>0.14599999999999999</v>
      </c>
      <c r="F253" s="308">
        <v>0.14799999999999999</v>
      </c>
      <c r="G253" s="309">
        <v>0.14499999999999999</v>
      </c>
    </row>
    <row r="254" spans="1:7">
      <c r="A254" s="318" t="s">
        <v>311</v>
      </c>
      <c r="B254" s="307" t="s">
        <v>2503</v>
      </c>
      <c r="C254" s="308">
        <v>0.15</v>
      </c>
      <c r="D254" s="308">
        <v>0.15</v>
      </c>
      <c r="E254" s="308">
        <v>0.15</v>
      </c>
      <c r="F254" s="308">
        <v>0.15</v>
      </c>
      <c r="G254" s="309">
        <v>0.15</v>
      </c>
    </row>
    <row r="255" spans="1:7">
      <c r="A255" s="318" t="s">
        <v>311</v>
      </c>
      <c r="B255" s="307" t="s">
        <v>2504</v>
      </c>
      <c r="C255" s="308">
        <v>0.14299999999999999</v>
      </c>
      <c r="D255" s="308">
        <v>0.14299999999999999</v>
      </c>
      <c r="E255" s="308">
        <v>0.15</v>
      </c>
      <c r="F255" s="308">
        <v>0.15</v>
      </c>
      <c r="G255" s="309">
        <v>0.14499999999999999</v>
      </c>
    </row>
    <row r="256" spans="1:7">
      <c r="A256" s="318" t="s">
        <v>311</v>
      </c>
      <c r="B256" s="307" t="s">
        <v>2505</v>
      </c>
      <c r="C256" s="308">
        <v>0.15</v>
      </c>
      <c r="D256" s="308">
        <v>0.15</v>
      </c>
      <c r="E256" s="308">
        <v>0.15</v>
      </c>
      <c r="F256" s="308">
        <v>0.14599999999999999</v>
      </c>
      <c r="G256" s="309">
        <v>0.15</v>
      </c>
    </row>
    <row r="257" spans="1:7">
      <c r="A257" s="318" t="s">
        <v>311</v>
      </c>
      <c r="B257" s="307" t="s">
        <v>2506</v>
      </c>
      <c r="C257" s="308">
        <v>0.14199999999999999</v>
      </c>
      <c r="D257" s="308">
        <v>0.14299999999999999</v>
      </c>
      <c r="E257" s="308">
        <v>0.14799999999999999</v>
      </c>
      <c r="F257" s="308">
        <v>0.15</v>
      </c>
      <c r="G257" s="309">
        <v>0.14499999999999999</v>
      </c>
    </row>
    <row r="258" spans="1:7">
      <c r="A258" s="318" t="s">
        <v>311</v>
      </c>
      <c r="B258" s="307" t="s">
        <v>2507</v>
      </c>
      <c r="C258" s="308">
        <v>0.14299999999999999</v>
      </c>
      <c r="D258" s="308">
        <v>0.14299999999999999</v>
      </c>
      <c r="E258" s="308">
        <v>0.15</v>
      </c>
      <c r="F258" s="308">
        <v>0.14799999999999999</v>
      </c>
      <c r="G258" s="309">
        <v>0.14599999999999999</v>
      </c>
    </row>
    <row r="259" spans="1:7">
      <c r="A259" s="318" t="s">
        <v>311</v>
      </c>
      <c r="B259" s="307" t="s">
        <v>2508</v>
      </c>
      <c r="C259" s="308">
        <v>0.14399999999999999</v>
      </c>
      <c r="D259" s="308">
        <v>0.14399999999999999</v>
      </c>
      <c r="E259" s="308">
        <v>0.14899999999999999</v>
      </c>
      <c r="F259" s="308">
        <v>0.14699999999999999</v>
      </c>
      <c r="G259" s="309">
        <v>0.14599999999999999</v>
      </c>
    </row>
    <row r="260" spans="1:7">
      <c r="A260" s="318" t="s">
        <v>311</v>
      </c>
      <c r="B260" s="307" t="s">
        <v>2509</v>
      </c>
      <c r="C260" s="308">
        <v>0.109</v>
      </c>
      <c r="D260" s="308">
        <v>0.111</v>
      </c>
      <c r="E260" s="308">
        <v>0.13100000000000001</v>
      </c>
      <c r="F260" s="308">
        <v>0.126</v>
      </c>
      <c r="G260" s="309">
        <v>0.11899999999999999</v>
      </c>
    </row>
    <row r="261" spans="1:7">
      <c r="A261" s="318" t="s">
        <v>311</v>
      </c>
      <c r="B261" s="307" t="s">
        <v>2510</v>
      </c>
      <c r="C261" s="308">
        <v>0.1</v>
      </c>
      <c r="D261" s="308">
        <v>0.1</v>
      </c>
      <c r="E261" s="308">
        <v>0.11799999999999999</v>
      </c>
      <c r="F261" s="308">
        <v>0.108</v>
      </c>
      <c r="G261" s="309">
        <v>0.107</v>
      </c>
    </row>
    <row r="262" spans="1:7">
      <c r="A262" s="318" t="s">
        <v>311</v>
      </c>
      <c r="B262" s="307" t="s">
        <v>2511</v>
      </c>
      <c r="C262" s="308">
        <v>0.1</v>
      </c>
      <c r="D262" s="308">
        <v>0.1</v>
      </c>
      <c r="E262" s="308">
        <v>0.1</v>
      </c>
      <c r="F262" s="308">
        <v>0.14099999999999999</v>
      </c>
      <c r="G262" s="309">
        <v>0.1</v>
      </c>
    </row>
    <row r="263" spans="1:7">
      <c r="A263" s="318" t="s">
        <v>311</v>
      </c>
      <c r="B263" s="307" t="s">
        <v>2512</v>
      </c>
      <c r="C263" s="308">
        <v>0.14799999999999999</v>
      </c>
      <c r="D263" s="308">
        <v>0.14799999999999999</v>
      </c>
      <c r="E263" s="308">
        <v>0.15</v>
      </c>
      <c r="F263" s="308">
        <v>0.14699999999999999</v>
      </c>
      <c r="G263" s="309">
        <v>0.15</v>
      </c>
    </row>
    <row r="264" spans="1:7">
      <c r="A264" s="318" t="s">
        <v>311</v>
      </c>
      <c r="B264" s="307" t="s">
        <v>2513</v>
      </c>
      <c r="C264" s="308">
        <v>0.14299999999999999</v>
      </c>
      <c r="D264" s="308">
        <v>0.14299999999999999</v>
      </c>
      <c r="E264" s="308">
        <v>0.15</v>
      </c>
      <c r="F264" s="308">
        <v>0.14899999999999999</v>
      </c>
      <c r="G264" s="309">
        <v>0.14599999999999999</v>
      </c>
    </row>
    <row r="265" spans="1:7">
      <c r="A265" s="318" t="s">
        <v>311</v>
      </c>
      <c r="B265" s="307" t="s">
        <v>2514</v>
      </c>
      <c r="C265" s="319"/>
      <c r="D265" s="319"/>
      <c r="E265" s="319"/>
      <c r="F265" s="308">
        <v>0.05</v>
      </c>
      <c r="G265" s="325"/>
    </row>
    <row r="266" spans="1:7">
      <c r="A266" s="318" t="s">
        <v>311</v>
      </c>
      <c r="B266" s="307" t="s">
        <v>2515</v>
      </c>
      <c r="C266" s="319"/>
      <c r="D266" s="319"/>
      <c r="E266" s="319"/>
      <c r="F266" s="308">
        <v>0.05</v>
      </c>
      <c r="G266" s="325"/>
    </row>
    <row r="267" spans="1:7">
      <c r="A267" s="318" t="s">
        <v>311</v>
      </c>
      <c r="B267" s="307" t="s">
        <v>2516</v>
      </c>
      <c r="C267" s="319"/>
      <c r="D267" s="319"/>
      <c r="E267" s="319"/>
      <c r="F267" s="308">
        <v>0.05</v>
      </c>
      <c r="G267" s="325"/>
    </row>
    <row r="268" spans="1:7">
      <c r="A268" s="318" t="s">
        <v>311</v>
      </c>
      <c r="B268" s="307" t="s">
        <v>2517</v>
      </c>
      <c r="C268" s="319"/>
      <c r="D268" s="319"/>
      <c r="E268" s="319"/>
      <c r="F268" s="308">
        <v>0.05</v>
      </c>
      <c r="G268" s="325"/>
    </row>
    <row r="269" spans="1:7">
      <c r="A269" s="318" t="s">
        <v>311</v>
      </c>
      <c r="B269" s="307" t="s">
        <v>2518</v>
      </c>
      <c r="C269" s="319"/>
      <c r="D269" s="319"/>
      <c r="E269" s="319"/>
      <c r="F269" s="308">
        <v>0.05</v>
      </c>
      <c r="G269" s="325"/>
    </row>
    <row r="270" spans="1:7">
      <c r="A270" s="318" t="s">
        <v>311</v>
      </c>
      <c r="B270" s="307" t="s">
        <v>2519</v>
      </c>
      <c r="C270" s="319"/>
      <c r="D270" s="319"/>
      <c r="E270" s="319"/>
      <c r="F270" s="308">
        <v>0.05</v>
      </c>
      <c r="G270" s="325"/>
    </row>
    <row r="271" spans="1:7">
      <c r="A271" s="318" t="s">
        <v>311</v>
      </c>
      <c r="B271" s="307" t="s">
        <v>2520</v>
      </c>
      <c r="C271" s="319"/>
      <c r="D271" s="319"/>
      <c r="E271" s="319"/>
      <c r="F271" s="308">
        <v>0.05</v>
      </c>
      <c r="G271" s="325"/>
    </row>
    <row r="272" spans="1:7">
      <c r="A272" s="318" t="s">
        <v>311</v>
      </c>
      <c r="B272" s="307" t="s">
        <v>2521</v>
      </c>
      <c r="C272" s="319"/>
      <c r="D272" s="319"/>
      <c r="E272" s="319"/>
      <c r="F272" s="308">
        <v>0.05</v>
      </c>
      <c r="G272" s="325"/>
    </row>
    <row r="273" spans="1:7">
      <c r="A273" s="318" t="s">
        <v>311</v>
      </c>
      <c r="B273" s="307" t="s">
        <v>2522</v>
      </c>
      <c r="C273" s="319"/>
      <c r="D273" s="319"/>
      <c r="E273" s="319"/>
      <c r="F273" s="308">
        <v>0.05</v>
      </c>
      <c r="G273" s="325"/>
    </row>
    <row r="274" spans="1:7">
      <c r="A274" s="318" t="s">
        <v>311</v>
      </c>
      <c r="B274" s="307" t="s">
        <v>2523</v>
      </c>
      <c r="C274" s="319"/>
      <c r="D274" s="319"/>
      <c r="E274" s="319"/>
      <c r="F274" s="308">
        <v>0.05</v>
      </c>
      <c r="G274" s="325"/>
    </row>
    <row r="275" spans="1:7">
      <c r="A275" s="318" t="s">
        <v>311</v>
      </c>
      <c r="B275" s="307" t="s">
        <v>2524</v>
      </c>
      <c r="C275" s="319"/>
      <c r="D275" s="319"/>
      <c r="E275" s="319"/>
      <c r="F275" s="308">
        <v>0.05</v>
      </c>
      <c r="G275" s="325"/>
    </row>
    <row r="276" spans="1:7">
      <c r="A276" s="321" t="s">
        <v>311</v>
      </c>
      <c r="B276" s="311" t="s">
        <v>2525</v>
      </c>
      <c r="C276" s="313"/>
      <c r="D276" s="313"/>
      <c r="E276" s="313"/>
      <c r="F276" s="312">
        <v>0.05</v>
      </c>
      <c r="G276" s="326"/>
    </row>
    <row r="277" spans="1:7">
      <c r="A277" s="317" t="s">
        <v>318</v>
      </c>
      <c r="B277" s="303" t="s">
        <v>2526</v>
      </c>
      <c r="C277" s="304">
        <v>0.15</v>
      </c>
      <c r="D277" s="304">
        <v>0.15</v>
      </c>
      <c r="E277" s="304">
        <v>0.15</v>
      </c>
      <c r="F277" s="304">
        <v>0.15</v>
      </c>
      <c r="G277" s="305">
        <v>0.15</v>
      </c>
    </row>
    <row r="278" spans="1:7">
      <c r="A278" s="318" t="s">
        <v>318</v>
      </c>
      <c r="B278" s="307" t="s">
        <v>2527</v>
      </c>
      <c r="C278" s="308">
        <v>0.15</v>
      </c>
      <c r="D278" s="308">
        <v>0.15</v>
      </c>
      <c r="E278" s="308">
        <v>0.15</v>
      </c>
      <c r="F278" s="308">
        <v>0.15</v>
      </c>
      <c r="G278" s="309">
        <v>0.15</v>
      </c>
    </row>
    <row r="279" spans="1:7">
      <c r="A279" s="318" t="s">
        <v>318</v>
      </c>
      <c r="B279" s="307" t="s">
        <v>2528</v>
      </c>
      <c r="C279" s="308">
        <v>0.15</v>
      </c>
      <c r="D279" s="308">
        <v>0.15</v>
      </c>
      <c r="E279" s="308">
        <v>0.15</v>
      </c>
      <c r="F279" s="308">
        <v>0.15</v>
      </c>
      <c r="G279" s="309">
        <v>0.15</v>
      </c>
    </row>
    <row r="280" spans="1:7">
      <c r="A280" s="318" t="s">
        <v>318</v>
      </c>
      <c r="B280" s="307" t="s">
        <v>2529</v>
      </c>
      <c r="C280" s="308">
        <v>0.15</v>
      </c>
      <c r="D280" s="308">
        <v>0.15</v>
      </c>
      <c r="E280" s="308">
        <v>0.15</v>
      </c>
      <c r="F280" s="308">
        <v>0.15</v>
      </c>
      <c r="G280" s="309">
        <v>0.15</v>
      </c>
    </row>
    <row r="281" spans="1:7">
      <c r="A281" s="318" t="s">
        <v>318</v>
      </c>
      <c r="B281" s="307" t="s">
        <v>2530</v>
      </c>
      <c r="C281" s="308">
        <v>0.15</v>
      </c>
      <c r="D281" s="308">
        <v>0.15</v>
      </c>
      <c r="E281" s="308">
        <v>0.15</v>
      </c>
      <c r="F281" s="308">
        <v>0.15</v>
      </c>
      <c r="G281" s="309">
        <v>0.15</v>
      </c>
    </row>
    <row r="282" spans="1:7">
      <c r="A282" s="318" t="s">
        <v>318</v>
      </c>
      <c r="B282" s="307" t="s">
        <v>2531</v>
      </c>
      <c r="C282" s="308">
        <v>0.15</v>
      </c>
      <c r="D282" s="308">
        <v>0.15</v>
      </c>
      <c r="E282" s="308">
        <v>0.15</v>
      </c>
      <c r="F282" s="308">
        <v>0.14499999999999999</v>
      </c>
      <c r="G282" s="309">
        <v>0.15</v>
      </c>
    </row>
    <row r="283" spans="1:7">
      <c r="A283" s="318" t="s">
        <v>318</v>
      </c>
      <c r="B283" s="307" t="s">
        <v>2532</v>
      </c>
      <c r="C283" s="308">
        <v>0.15</v>
      </c>
      <c r="D283" s="308">
        <v>0.15</v>
      </c>
      <c r="E283" s="308">
        <v>0.15</v>
      </c>
      <c r="F283" s="308">
        <v>0.14199999999999999</v>
      </c>
      <c r="G283" s="309">
        <v>0.15</v>
      </c>
    </row>
    <row r="284" spans="1:7">
      <c r="A284" s="318" t="s">
        <v>318</v>
      </c>
      <c r="B284" s="307" t="s">
        <v>2533</v>
      </c>
      <c r="C284" s="308">
        <v>0.15</v>
      </c>
      <c r="D284" s="308">
        <v>0.15</v>
      </c>
      <c r="E284" s="308">
        <v>0.15</v>
      </c>
      <c r="F284" s="308">
        <v>0.15</v>
      </c>
      <c r="G284" s="309">
        <v>0.15</v>
      </c>
    </row>
    <row r="285" spans="1:7">
      <c r="A285" s="318" t="s">
        <v>318</v>
      </c>
      <c r="B285" s="307" t="s">
        <v>2534</v>
      </c>
      <c r="C285" s="308">
        <v>0.15</v>
      </c>
      <c r="D285" s="308">
        <v>0.15</v>
      </c>
      <c r="E285" s="308">
        <v>0.15</v>
      </c>
      <c r="F285" s="308">
        <v>0.15</v>
      </c>
      <c r="G285" s="309">
        <v>0.15</v>
      </c>
    </row>
    <row r="286" spans="1:7">
      <c r="A286" s="318" t="s">
        <v>318</v>
      </c>
      <c r="B286" s="307" t="s">
        <v>2535</v>
      </c>
      <c r="C286" s="308">
        <v>0.14499999999999999</v>
      </c>
      <c r="D286" s="308">
        <v>0.14499999999999999</v>
      </c>
      <c r="E286" s="308">
        <v>0.15</v>
      </c>
      <c r="F286" s="308">
        <v>0.14099999999999999</v>
      </c>
      <c r="G286" s="309">
        <v>0.14499999999999999</v>
      </c>
    </row>
    <row r="287" spans="1:7">
      <c r="A287" s="318" t="s">
        <v>318</v>
      </c>
      <c r="B287" s="307" t="s">
        <v>2536</v>
      </c>
      <c r="C287" s="308">
        <v>0.11</v>
      </c>
      <c r="D287" s="308">
        <v>0.111</v>
      </c>
      <c r="E287" s="308">
        <v>0.14099999999999999</v>
      </c>
      <c r="F287" s="308">
        <v>0.11</v>
      </c>
      <c r="G287" s="309">
        <v>0.12</v>
      </c>
    </row>
    <row r="288" spans="1:7">
      <c r="A288" s="318" t="s">
        <v>318</v>
      </c>
      <c r="B288" s="307" t="s">
        <v>2537</v>
      </c>
      <c r="C288" s="308">
        <v>0.14199999999999999</v>
      </c>
      <c r="D288" s="308">
        <v>0.14299999999999999</v>
      </c>
      <c r="E288" s="308">
        <v>0.15</v>
      </c>
      <c r="F288" s="308">
        <v>0.14199999999999999</v>
      </c>
      <c r="G288" s="309">
        <v>0.14399999999999999</v>
      </c>
    </row>
    <row r="289" spans="1:7">
      <c r="A289" s="318" t="s">
        <v>318</v>
      </c>
      <c r="B289" s="307" t="s">
        <v>2538</v>
      </c>
      <c r="C289" s="308">
        <v>0.14299999999999999</v>
      </c>
      <c r="D289" s="308">
        <v>0.14299999999999999</v>
      </c>
      <c r="E289" s="308">
        <v>0.14799999999999999</v>
      </c>
      <c r="F289" s="308">
        <v>0.14399999999999999</v>
      </c>
      <c r="G289" s="309">
        <v>0.14399999999999999</v>
      </c>
    </row>
    <row r="290" spans="1:7">
      <c r="A290" s="318" t="s">
        <v>318</v>
      </c>
      <c r="B290" s="307" t="s">
        <v>2539</v>
      </c>
      <c r="C290" s="308">
        <v>0.14799999999999999</v>
      </c>
      <c r="D290" s="308">
        <v>0.14899999999999999</v>
      </c>
      <c r="E290" s="308">
        <v>0.15</v>
      </c>
      <c r="F290" s="308">
        <v>0.127</v>
      </c>
      <c r="G290" s="309">
        <v>0.15</v>
      </c>
    </row>
    <row r="291" spans="1:7">
      <c r="A291" s="318" t="s">
        <v>318</v>
      </c>
      <c r="B291" s="307" t="s">
        <v>2540</v>
      </c>
      <c r="C291" s="308">
        <v>0.15</v>
      </c>
      <c r="D291" s="308">
        <v>0.15</v>
      </c>
      <c r="E291" s="308">
        <v>0.15</v>
      </c>
      <c r="F291" s="308">
        <v>0.14899999999999999</v>
      </c>
      <c r="G291" s="309">
        <v>0.15</v>
      </c>
    </row>
    <row r="292" spans="1:7">
      <c r="A292" s="318" t="s">
        <v>318</v>
      </c>
      <c r="B292" s="307" t="s">
        <v>2541</v>
      </c>
      <c r="C292" s="308">
        <v>0.15</v>
      </c>
      <c r="D292" s="308">
        <v>0.15</v>
      </c>
      <c r="E292" s="308">
        <v>0.15</v>
      </c>
      <c r="F292" s="308">
        <v>0.14399999999999999</v>
      </c>
      <c r="G292" s="309">
        <v>0.15</v>
      </c>
    </row>
    <row r="293" spans="1:7">
      <c r="A293" s="318" t="s">
        <v>318</v>
      </c>
      <c r="B293" s="307" t="s">
        <v>2542</v>
      </c>
      <c r="C293" s="308">
        <v>0.15</v>
      </c>
      <c r="D293" s="308">
        <v>0.15</v>
      </c>
      <c r="E293" s="308">
        <v>0.15</v>
      </c>
      <c r="F293" s="308">
        <v>0.14499999999999999</v>
      </c>
      <c r="G293" s="309">
        <v>0.15</v>
      </c>
    </row>
    <row r="294" spans="1:7">
      <c r="A294" s="318" t="s">
        <v>318</v>
      </c>
      <c r="B294" s="307" t="s">
        <v>2543</v>
      </c>
      <c r="C294" s="308">
        <v>0.15</v>
      </c>
      <c r="D294" s="308">
        <v>0.15</v>
      </c>
      <c r="E294" s="308">
        <v>0.15</v>
      </c>
      <c r="F294" s="308">
        <v>0.14899999999999999</v>
      </c>
      <c r="G294" s="309">
        <v>0.15</v>
      </c>
    </row>
    <row r="295" spans="1:7">
      <c r="A295" s="318" t="s">
        <v>318</v>
      </c>
      <c r="B295" s="307" t="s">
        <v>2544</v>
      </c>
      <c r="C295" s="308">
        <v>0.15</v>
      </c>
      <c r="D295" s="308">
        <v>0.15</v>
      </c>
      <c r="E295" s="308">
        <v>0.15</v>
      </c>
      <c r="F295" s="308">
        <v>0.14799999999999999</v>
      </c>
      <c r="G295" s="309">
        <v>0.15</v>
      </c>
    </row>
    <row r="296" spans="1:7">
      <c r="A296" s="318" t="s">
        <v>318</v>
      </c>
      <c r="B296" s="307" t="s">
        <v>2545</v>
      </c>
      <c r="C296" s="308">
        <v>0.15</v>
      </c>
      <c r="D296" s="308">
        <v>0.15</v>
      </c>
      <c r="E296" s="308">
        <v>0.15</v>
      </c>
      <c r="F296" s="308">
        <v>0.14399999999999999</v>
      </c>
      <c r="G296" s="309">
        <v>0.15</v>
      </c>
    </row>
    <row r="297" spans="1:7">
      <c r="A297" s="318" t="s">
        <v>318</v>
      </c>
      <c r="B297" s="307" t="s">
        <v>2546</v>
      </c>
      <c r="C297" s="308">
        <v>0.15</v>
      </c>
      <c r="D297" s="308">
        <v>0.15</v>
      </c>
      <c r="E297" s="308">
        <v>0.15</v>
      </c>
      <c r="F297" s="308">
        <v>0.14499999999999999</v>
      </c>
      <c r="G297" s="309">
        <v>0.15</v>
      </c>
    </row>
    <row r="298" spans="1:7">
      <c r="A298" s="318" t="s">
        <v>318</v>
      </c>
      <c r="B298" s="307" t="s">
        <v>2547</v>
      </c>
      <c r="C298" s="308">
        <v>0.15</v>
      </c>
      <c r="D298" s="308">
        <v>0.15</v>
      </c>
      <c r="E298" s="308">
        <v>0.15</v>
      </c>
      <c r="F298" s="308">
        <v>0.15</v>
      </c>
      <c r="G298" s="309">
        <v>0.15</v>
      </c>
    </row>
    <row r="299" spans="1:7">
      <c r="A299" s="318" t="s">
        <v>318</v>
      </c>
      <c r="B299" s="327" t="s">
        <v>2548</v>
      </c>
      <c r="C299" s="308">
        <v>0.15</v>
      </c>
      <c r="D299" s="308">
        <v>0.15</v>
      </c>
      <c r="E299" s="308">
        <v>0.15</v>
      </c>
      <c r="F299" s="308">
        <v>0.14499999999999999</v>
      </c>
      <c r="G299" s="309">
        <v>0.15</v>
      </c>
    </row>
    <row r="300" spans="1:7">
      <c r="A300" s="318" t="s">
        <v>318</v>
      </c>
      <c r="B300" s="327" t="s">
        <v>2549</v>
      </c>
      <c r="C300" s="308">
        <v>0.15</v>
      </c>
      <c r="D300" s="308">
        <v>0.15</v>
      </c>
      <c r="E300" s="308">
        <v>0.15</v>
      </c>
      <c r="F300" s="308">
        <v>0.14599999999999999</v>
      </c>
      <c r="G300" s="309">
        <v>0.15</v>
      </c>
    </row>
    <row r="301" spans="1:7">
      <c r="A301" s="318" t="s">
        <v>318</v>
      </c>
      <c r="B301" s="327" t="s">
        <v>2550</v>
      </c>
      <c r="C301" s="308">
        <v>0.126</v>
      </c>
      <c r="D301" s="308">
        <v>0.124</v>
      </c>
      <c r="E301" s="308">
        <v>0.14099999999999999</v>
      </c>
      <c r="F301" s="308">
        <v>0.14399999999999999</v>
      </c>
      <c r="G301" s="309">
        <v>0.13</v>
      </c>
    </row>
    <row r="302" spans="1:7">
      <c r="A302" s="318" t="s">
        <v>318</v>
      </c>
      <c r="B302" s="307" t="s">
        <v>2551</v>
      </c>
      <c r="C302" s="308">
        <v>0.15</v>
      </c>
      <c r="D302" s="308">
        <v>0.15</v>
      </c>
      <c r="E302" s="308">
        <v>0.15</v>
      </c>
      <c r="F302" s="308">
        <v>0.14699999999999999</v>
      </c>
      <c r="G302" s="309">
        <v>0.15</v>
      </c>
    </row>
    <row r="303" spans="1:7">
      <c r="A303" s="318" t="s">
        <v>318</v>
      </c>
      <c r="B303" s="307" t="s">
        <v>2552</v>
      </c>
      <c r="C303" s="308">
        <v>0.15</v>
      </c>
      <c r="D303" s="308">
        <v>0.15</v>
      </c>
      <c r="E303" s="308">
        <v>0.15</v>
      </c>
      <c r="F303" s="308">
        <v>0.14199999999999999</v>
      </c>
      <c r="G303" s="309">
        <v>0.15</v>
      </c>
    </row>
    <row r="304" spans="1:7">
      <c r="A304" s="318" t="s">
        <v>318</v>
      </c>
      <c r="B304" s="307" t="s">
        <v>2553</v>
      </c>
      <c r="C304" s="308">
        <v>0.15</v>
      </c>
      <c r="D304" s="308">
        <v>0.15</v>
      </c>
      <c r="E304" s="308">
        <v>0.15</v>
      </c>
      <c r="F304" s="308">
        <v>0.14499999999999999</v>
      </c>
      <c r="G304" s="309">
        <v>0.15</v>
      </c>
    </row>
    <row r="305" spans="1:7">
      <c r="A305" s="318" t="s">
        <v>318</v>
      </c>
      <c r="B305" s="307" t="s">
        <v>2554</v>
      </c>
      <c r="C305" s="308">
        <v>0.15</v>
      </c>
      <c r="D305" s="308">
        <v>0.15</v>
      </c>
      <c r="E305" s="308">
        <v>0.15</v>
      </c>
      <c r="F305" s="308">
        <v>0.111</v>
      </c>
      <c r="G305" s="309">
        <v>0.15</v>
      </c>
    </row>
    <row r="306" spans="1:7">
      <c r="A306" s="318" t="s">
        <v>318</v>
      </c>
      <c r="B306" s="307" t="s">
        <v>2555</v>
      </c>
      <c r="C306" s="308">
        <v>0.15</v>
      </c>
      <c r="D306" s="308">
        <v>0.15</v>
      </c>
      <c r="E306" s="308">
        <v>0.15</v>
      </c>
      <c r="F306" s="308">
        <v>0.126</v>
      </c>
      <c r="G306" s="309">
        <v>0.15</v>
      </c>
    </row>
    <row r="307" spans="1:7">
      <c r="A307" s="318" t="s">
        <v>318</v>
      </c>
      <c r="B307" s="307" t="s">
        <v>2556</v>
      </c>
      <c r="C307" s="308">
        <v>0.15</v>
      </c>
      <c r="D307" s="308">
        <v>0.15</v>
      </c>
      <c r="E307" s="308">
        <v>0.15</v>
      </c>
      <c r="F307" s="308">
        <v>0.12</v>
      </c>
      <c r="G307" s="309">
        <v>0.15</v>
      </c>
    </row>
    <row r="308" spans="1:7">
      <c r="A308" s="318" t="s">
        <v>318</v>
      </c>
      <c r="B308" s="307" t="s">
        <v>2557</v>
      </c>
      <c r="C308" s="308">
        <v>0.15</v>
      </c>
      <c r="D308" s="308">
        <v>0.15</v>
      </c>
      <c r="E308" s="308">
        <v>0.15</v>
      </c>
      <c r="F308" s="308">
        <v>0.13</v>
      </c>
      <c r="G308" s="309">
        <v>0.15</v>
      </c>
    </row>
    <row r="309" spans="1:7">
      <c r="A309" s="318" t="s">
        <v>318</v>
      </c>
      <c r="B309" s="307" t="s">
        <v>2558</v>
      </c>
      <c r="C309" s="308">
        <v>0.15</v>
      </c>
      <c r="D309" s="308">
        <v>0.15</v>
      </c>
      <c r="E309" s="308">
        <v>0.15</v>
      </c>
      <c r="F309" s="308">
        <v>0.14099999999999999</v>
      </c>
      <c r="G309" s="309">
        <v>0.15</v>
      </c>
    </row>
    <row r="310" spans="1:7">
      <c r="A310" s="318" t="s">
        <v>318</v>
      </c>
      <c r="B310" s="307" t="s">
        <v>2559</v>
      </c>
      <c r="C310" s="308">
        <v>0.15</v>
      </c>
      <c r="D310" s="308">
        <v>0.15</v>
      </c>
      <c r="E310" s="308">
        <v>0.15</v>
      </c>
      <c r="F310" s="308">
        <v>0.15</v>
      </c>
      <c r="G310" s="309">
        <v>0.15</v>
      </c>
    </row>
    <row r="311" spans="1:7">
      <c r="A311" s="318" t="s">
        <v>318</v>
      </c>
      <c r="B311" s="307" t="s">
        <v>2560</v>
      </c>
      <c r="C311" s="308">
        <v>0.13200000000000001</v>
      </c>
      <c r="D311" s="308">
        <v>0.13300000000000001</v>
      </c>
      <c r="E311" s="308">
        <v>0.14499999999999999</v>
      </c>
      <c r="F311" s="308">
        <v>0.14199999999999999</v>
      </c>
      <c r="G311" s="309">
        <v>0.14000000000000001</v>
      </c>
    </row>
    <row r="312" spans="1:7">
      <c r="A312" s="318" t="s">
        <v>318</v>
      </c>
      <c r="B312" s="307" t="s">
        <v>2561</v>
      </c>
      <c r="C312" s="308">
        <v>0.13800000000000001</v>
      </c>
      <c r="D312" s="308">
        <v>0.14000000000000001</v>
      </c>
      <c r="E312" s="308">
        <v>0.14599999999999999</v>
      </c>
      <c r="F312" s="308">
        <v>0.14899999999999999</v>
      </c>
      <c r="G312" s="309">
        <v>0.14199999999999999</v>
      </c>
    </row>
    <row r="313" spans="1:7">
      <c r="A313" s="318" t="s">
        <v>318</v>
      </c>
      <c r="B313" s="307" t="s">
        <v>2562</v>
      </c>
      <c r="C313" s="308">
        <v>0.125</v>
      </c>
      <c r="D313" s="308">
        <v>0.127</v>
      </c>
      <c r="E313" s="308">
        <v>0.14399999999999999</v>
      </c>
      <c r="F313" s="308">
        <v>0.115</v>
      </c>
      <c r="G313" s="309">
        <v>0.13600000000000001</v>
      </c>
    </row>
    <row r="314" spans="1:7">
      <c r="A314" s="318" t="s">
        <v>318</v>
      </c>
      <c r="B314" s="307" t="s">
        <v>2563</v>
      </c>
      <c r="C314" s="324"/>
      <c r="D314" s="324"/>
      <c r="E314" s="324"/>
      <c r="F314" s="308">
        <v>0.05</v>
      </c>
      <c r="G314" s="325"/>
    </row>
    <row r="315" spans="1:7">
      <c r="A315" s="318" t="s">
        <v>318</v>
      </c>
      <c r="B315" s="307" t="s">
        <v>2564</v>
      </c>
      <c r="C315" s="324"/>
      <c r="D315" s="324"/>
      <c r="E315" s="324"/>
      <c r="F315" s="308">
        <v>0.05</v>
      </c>
      <c r="G315" s="325"/>
    </row>
    <row r="316" spans="1:7">
      <c r="A316" s="318" t="s">
        <v>318</v>
      </c>
      <c r="B316" s="307" t="s">
        <v>2565</v>
      </c>
      <c r="C316" s="319"/>
      <c r="D316" s="319"/>
      <c r="E316" s="319"/>
      <c r="F316" s="308">
        <v>0.05</v>
      </c>
      <c r="G316" s="325"/>
    </row>
    <row r="317" spans="1:7">
      <c r="A317" s="318" t="s">
        <v>318</v>
      </c>
      <c r="B317" s="307" t="s">
        <v>2566</v>
      </c>
      <c r="C317" s="319"/>
      <c r="D317" s="319"/>
      <c r="E317" s="319"/>
      <c r="F317" s="308">
        <v>0.05</v>
      </c>
      <c r="G317" s="325"/>
    </row>
    <row r="318" spans="1:7">
      <c r="A318" s="318" t="s">
        <v>318</v>
      </c>
      <c r="B318" s="307" t="s">
        <v>2567</v>
      </c>
      <c r="C318" s="319"/>
      <c r="D318" s="319"/>
      <c r="E318" s="319"/>
      <c r="F318" s="308">
        <v>0.05</v>
      </c>
      <c r="G318" s="325"/>
    </row>
    <row r="319" spans="1:7">
      <c r="A319" s="318" t="s">
        <v>318</v>
      </c>
      <c r="B319" s="307" t="s">
        <v>2568</v>
      </c>
      <c r="C319" s="319"/>
      <c r="D319" s="319"/>
      <c r="E319" s="319"/>
      <c r="F319" s="308">
        <v>0.05</v>
      </c>
      <c r="G319" s="325"/>
    </row>
    <row r="320" spans="1:7">
      <c r="A320" s="318" t="s">
        <v>318</v>
      </c>
      <c r="B320" s="307" t="s">
        <v>2569</v>
      </c>
      <c r="C320" s="319"/>
      <c r="D320" s="319"/>
      <c r="E320" s="319"/>
      <c r="F320" s="308">
        <v>0.05</v>
      </c>
      <c r="G320" s="325"/>
    </row>
    <row r="321" spans="1:7">
      <c r="A321" s="318" t="s">
        <v>318</v>
      </c>
      <c r="B321" s="307" t="s">
        <v>2570</v>
      </c>
      <c r="C321" s="319"/>
      <c r="D321" s="319"/>
      <c r="E321" s="319"/>
      <c r="F321" s="308">
        <v>0.05</v>
      </c>
      <c r="G321" s="325"/>
    </row>
    <row r="322" spans="1:7">
      <c r="A322" s="318" t="s">
        <v>318</v>
      </c>
      <c r="B322" s="307" t="s">
        <v>2571</v>
      </c>
      <c r="C322" s="319"/>
      <c r="D322" s="319"/>
      <c r="E322" s="319"/>
      <c r="F322" s="308">
        <v>0.05</v>
      </c>
      <c r="G322" s="325"/>
    </row>
    <row r="323" spans="1:7">
      <c r="A323" s="318" t="s">
        <v>318</v>
      </c>
      <c r="B323" s="307" t="s">
        <v>2572</v>
      </c>
      <c r="C323" s="319"/>
      <c r="D323" s="319"/>
      <c r="E323" s="319"/>
      <c r="F323" s="308">
        <v>0.05</v>
      </c>
      <c r="G323" s="325"/>
    </row>
    <row r="324" spans="1:7">
      <c r="A324" s="318" t="s">
        <v>318</v>
      </c>
      <c r="B324" s="307" t="s">
        <v>2573</v>
      </c>
      <c r="C324" s="319"/>
      <c r="D324" s="319"/>
      <c r="E324" s="319"/>
      <c r="F324" s="308">
        <v>0.05</v>
      </c>
      <c r="G324" s="325"/>
    </row>
    <row r="325" spans="1:7">
      <c r="A325" s="318" t="s">
        <v>318</v>
      </c>
      <c r="B325" s="307" t="s">
        <v>2574</v>
      </c>
      <c r="C325" s="319"/>
      <c r="D325" s="319"/>
      <c r="E325" s="319"/>
      <c r="F325" s="308">
        <v>0.05</v>
      </c>
      <c r="G325" s="325"/>
    </row>
    <row r="326" spans="1:7">
      <c r="A326" s="321" t="s">
        <v>318</v>
      </c>
      <c r="B326" s="311" t="s">
        <v>2575</v>
      </c>
      <c r="C326" s="313"/>
      <c r="D326" s="313"/>
      <c r="E326" s="313"/>
      <c r="F326" s="312">
        <v>0.05</v>
      </c>
      <c r="G326" s="326"/>
    </row>
    <row r="327" spans="1:7">
      <c r="A327" s="317" t="s">
        <v>324</v>
      </c>
      <c r="B327" s="303" t="s">
        <v>2576</v>
      </c>
      <c r="C327" s="304">
        <v>0.15</v>
      </c>
      <c r="D327" s="304">
        <v>0.15</v>
      </c>
      <c r="E327" s="304">
        <v>0.15</v>
      </c>
      <c r="F327" s="304">
        <v>0.15</v>
      </c>
      <c r="G327" s="305">
        <v>0.15</v>
      </c>
    </row>
    <row r="328" spans="1:7">
      <c r="A328" s="318" t="s">
        <v>324</v>
      </c>
      <c r="B328" s="307" t="s">
        <v>2577</v>
      </c>
      <c r="C328" s="308">
        <v>0.15</v>
      </c>
      <c r="D328" s="308">
        <v>0.15</v>
      </c>
      <c r="E328" s="308">
        <v>0.15</v>
      </c>
      <c r="F328" s="308">
        <v>0.126</v>
      </c>
      <c r="G328" s="309">
        <v>0.15</v>
      </c>
    </row>
    <row r="329" spans="1:7">
      <c r="A329" s="318" t="s">
        <v>324</v>
      </c>
      <c r="B329" s="307" t="s">
        <v>2578</v>
      </c>
      <c r="C329" s="308">
        <v>0.15</v>
      </c>
      <c r="D329" s="308">
        <v>0.15</v>
      </c>
      <c r="E329" s="308">
        <v>0.15</v>
      </c>
      <c r="F329" s="308">
        <v>0.15</v>
      </c>
      <c r="G329" s="309">
        <v>0.15</v>
      </c>
    </row>
    <row r="330" spans="1:7">
      <c r="A330" s="318" t="s">
        <v>324</v>
      </c>
      <c r="B330" s="307" t="s">
        <v>2579</v>
      </c>
      <c r="C330" s="308">
        <v>0.15</v>
      </c>
      <c r="D330" s="308">
        <v>0.15</v>
      </c>
      <c r="E330" s="308">
        <v>0.15</v>
      </c>
      <c r="F330" s="308">
        <v>0.15</v>
      </c>
      <c r="G330" s="309">
        <v>0.15</v>
      </c>
    </row>
    <row r="331" spans="1:7">
      <c r="A331" s="318" t="s">
        <v>324</v>
      </c>
      <c r="B331" s="307" t="s">
        <v>2580</v>
      </c>
      <c r="C331" s="308">
        <v>0.15</v>
      </c>
      <c r="D331" s="308">
        <v>0.15</v>
      </c>
      <c r="E331" s="308">
        <v>0.15</v>
      </c>
      <c r="F331" s="308">
        <v>0.15</v>
      </c>
      <c r="G331" s="309">
        <v>0.15</v>
      </c>
    </row>
    <row r="332" spans="1:7">
      <c r="A332" s="318" t="s">
        <v>324</v>
      </c>
      <c r="B332" s="307" t="s">
        <v>2581</v>
      </c>
      <c r="C332" s="308">
        <v>0.15</v>
      </c>
      <c r="D332" s="308">
        <v>0.15</v>
      </c>
      <c r="E332" s="308">
        <v>0.15</v>
      </c>
      <c r="F332" s="308">
        <v>0.15</v>
      </c>
      <c r="G332" s="309">
        <v>0.15</v>
      </c>
    </row>
    <row r="333" spans="1:7">
      <c r="A333" s="318" t="s">
        <v>324</v>
      </c>
      <c r="B333" s="307" t="s">
        <v>2582</v>
      </c>
      <c r="C333" s="308">
        <v>0.14899999999999999</v>
      </c>
      <c r="D333" s="308">
        <v>0.14899999999999999</v>
      </c>
      <c r="E333" s="308">
        <v>0.15</v>
      </c>
      <c r="F333" s="308">
        <v>0.11600000000000001</v>
      </c>
      <c r="G333" s="309">
        <v>0.15</v>
      </c>
    </row>
    <row r="334" spans="1:7">
      <c r="A334" s="318" t="s">
        <v>324</v>
      </c>
      <c r="B334" s="307" t="s">
        <v>2583</v>
      </c>
      <c r="C334" s="308">
        <v>0.15</v>
      </c>
      <c r="D334" s="308">
        <v>0.15</v>
      </c>
      <c r="E334" s="308">
        <v>0.15</v>
      </c>
      <c r="F334" s="308">
        <v>0.13</v>
      </c>
      <c r="G334" s="309">
        <v>0.15</v>
      </c>
    </row>
    <row r="335" spans="1:7">
      <c r="A335" s="318" t="s">
        <v>324</v>
      </c>
      <c r="B335" s="307" t="s">
        <v>2584</v>
      </c>
      <c r="C335" s="308">
        <v>0.15</v>
      </c>
      <c r="D335" s="308">
        <v>0.15</v>
      </c>
      <c r="E335" s="308">
        <v>0.15</v>
      </c>
      <c r="F335" s="308">
        <v>0.14399999999999999</v>
      </c>
      <c r="G335" s="309">
        <v>0.15</v>
      </c>
    </row>
    <row r="336" spans="1:7">
      <c r="A336" s="318" t="s">
        <v>324</v>
      </c>
      <c r="B336" s="307" t="s">
        <v>2585</v>
      </c>
      <c r="C336" s="308">
        <v>0.15</v>
      </c>
      <c r="D336" s="308">
        <v>0.15</v>
      </c>
      <c r="E336" s="308">
        <v>0.15</v>
      </c>
      <c r="F336" s="308">
        <v>0.14199999999999999</v>
      </c>
      <c r="G336" s="309">
        <v>0.15</v>
      </c>
    </row>
    <row r="337" spans="1:7">
      <c r="A337" s="318" t="s">
        <v>324</v>
      </c>
      <c r="B337" s="307" t="s">
        <v>2586</v>
      </c>
      <c r="C337" s="308">
        <v>0.15</v>
      </c>
      <c r="D337" s="308">
        <v>0.15</v>
      </c>
      <c r="E337" s="308">
        <v>0.15</v>
      </c>
      <c r="F337" s="308">
        <v>0.14499999999999999</v>
      </c>
      <c r="G337" s="309">
        <v>0.15</v>
      </c>
    </row>
    <row r="338" spans="1:7">
      <c r="A338" s="318" t="s">
        <v>324</v>
      </c>
      <c r="B338" s="307" t="s">
        <v>2587</v>
      </c>
      <c r="C338" s="308">
        <v>0.15</v>
      </c>
      <c r="D338" s="308">
        <v>0.15</v>
      </c>
      <c r="E338" s="308">
        <v>0.15</v>
      </c>
      <c r="F338" s="308">
        <v>0.15</v>
      </c>
      <c r="G338" s="309">
        <v>0.15</v>
      </c>
    </row>
    <row r="339" spans="1:7">
      <c r="A339" s="318" t="s">
        <v>324</v>
      </c>
      <c r="B339" s="307" t="s">
        <v>2588</v>
      </c>
      <c r="C339" s="308">
        <v>0.15</v>
      </c>
      <c r="D339" s="308">
        <v>0.15</v>
      </c>
      <c r="E339" s="308">
        <v>0.15</v>
      </c>
      <c r="F339" s="308">
        <v>0.14699999999999999</v>
      </c>
      <c r="G339" s="309">
        <v>0.15</v>
      </c>
    </row>
    <row r="340" spans="1:7">
      <c r="A340" s="318" t="s">
        <v>324</v>
      </c>
      <c r="B340" s="307" t="s">
        <v>2589</v>
      </c>
      <c r="C340" s="308">
        <v>0.14599999999999999</v>
      </c>
      <c r="D340" s="308">
        <v>0.14599999999999999</v>
      </c>
      <c r="E340" s="308">
        <v>0.15</v>
      </c>
      <c r="F340" s="308">
        <v>0.14099999999999999</v>
      </c>
      <c r="G340" s="309">
        <v>0.14699999999999999</v>
      </c>
    </row>
    <row r="341" spans="1:7">
      <c r="A341" s="318" t="s">
        <v>324</v>
      </c>
      <c r="B341" s="307" t="s">
        <v>2590</v>
      </c>
      <c r="C341" s="308">
        <v>0.126</v>
      </c>
      <c r="D341" s="308">
        <v>0.124</v>
      </c>
      <c r="E341" s="308">
        <v>0.14099999999999999</v>
      </c>
      <c r="F341" s="308">
        <v>0.14399999999999999</v>
      </c>
      <c r="G341" s="309">
        <v>0.13</v>
      </c>
    </row>
    <row r="342" spans="1:7">
      <c r="A342" s="318" t="s">
        <v>324</v>
      </c>
      <c r="B342" s="307" t="s">
        <v>2591</v>
      </c>
      <c r="C342" s="308">
        <v>0.15</v>
      </c>
      <c r="D342" s="308">
        <v>0.15</v>
      </c>
      <c r="E342" s="308">
        <v>0.15</v>
      </c>
      <c r="F342" s="308">
        <v>0.14399999999999999</v>
      </c>
      <c r="G342" s="309">
        <v>0.15</v>
      </c>
    </row>
    <row r="343" spans="1:7">
      <c r="A343" s="318" t="s">
        <v>324</v>
      </c>
      <c r="B343" s="307" t="s">
        <v>2592</v>
      </c>
      <c r="C343" s="308">
        <v>0.15</v>
      </c>
      <c r="D343" s="308">
        <v>0.15</v>
      </c>
      <c r="E343" s="308">
        <v>0.15</v>
      </c>
      <c r="F343" s="308">
        <v>0.128</v>
      </c>
      <c r="G343" s="309">
        <v>0.15</v>
      </c>
    </row>
    <row r="344" spans="1:7">
      <c r="A344" s="318" t="s">
        <v>324</v>
      </c>
      <c r="B344" s="307" t="s">
        <v>2593</v>
      </c>
      <c r="C344" s="308">
        <v>0.15</v>
      </c>
      <c r="D344" s="308">
        <v>0.15</v>
      </c>
      <c r="E344" s="308">
        <v>0.15</v>
      </c>
      <c r="F344" s="308">
        <v>0.14799999999999999</v>
      </c>
      <c r="G344" s="309">
        <v>0.15</v>
      </c>
    </row>
    <row r="345" spans="1:7">
      <c r="A345" s="318" t="s">
        <v>324</v>
      </c>
      <c r="B345" s="307" t="s">
        <v>2594</v>
      </c>
      <c r="C345" s="308">
        <v>0.15</v>
      </c>
      <c r="D345" s="308">
        <v>0.15</v>
      </c>
      <c r="E345" s="308">
        <v>0.15</v>
      </c>
      <c r="F345" s="308">
        <v>0.13800000000000001</v>
      </c>
      <c r="G345" s="309">
        <v>0.15</v>
      </c>
    </row>
    <row r="346" spans="1:7">
      <c r="A346" s="318" t="s">
        <v>324</v>
      </c>
      <c r="B346" s="307" t="s">
        <v>2595</v>
      </c>
      <c r="C346" s="308">
        <v>0.15</v>
      </c>
      <c r="D346" s="308">
        <v>0.15</v>
      </c>
      <c r="E346" s="308">
        <v>0.15</v>
      </c>
      <c r="F346" s="308">
        <v>0.14399999999999999</v>
      </c>
      <c r="G346" s="309">
        <v>0.15</v>
      </c>
    </row>
    <row r="347" spans="1:7">
      <c r="A347" s="318" t="s">
        <v>324</v>
      </c>
      <c r="B347" s="307" t="s">
        <v>2596</v>
      </c>
      <c r="C347" s="308">
        <v>0.15</v>
      </c>
      <c r="D347" s="308">
        <v>0.15</v>
      </c>
      <c r="E347" s="308">
        <v>0.15</v>
      </c>
      <c r="F347" s="308">
        <v>0.14599999999999999</v>
      </c>
      <c r="G347" s="309">
        <v>0.15</v>
      </c>
    </row>
    <row r="348" spans="1:7">
      <c r="A348" s="318" t="s">
        <v>324</v>
      </c>
      <c r="B348" s="307" t="s">
        <v>2597</v>
      </c>
      <c r="C348" s="308">
        <v>0.15</v>
      </c>
      <c r="D348" s="308">
        <v>0.15</v>
      </c>
      <c r="E348" s="308">
        <v>0.15</v>
      </c>
      <c r="F348" s="308">
        <v>0.14399999999999999</v>
      </c>
      <c r="G348" s="309">
        <v>0.15</v>
      </c>
    </row>
    <row r="349" spans="1:7">
      <c r="A349" s="318" t="s">
        <v>324</v>
      </c>
      <c r="B349" s="307" t="s">
        <v>2598</v>
      </c>
      <c r="C349" s="308">
        <v>0.15</v>
      </c>
      <c r="D349" s="308">
        <v>0.15</v>
      </c>
      <c r="E349" s="308">
        <v>0.15</v>
      </c>
      <c r="F349" s="308">
        <v>0.15</v>
      </c>
      <c r="G349" s="309">
        <v>0.15</v>
      </c>
    </row>
    <row r="350" spans="1:7">
      <c r="A350" s="318" t="s">
        <v>324</v>
      </c>
      <c r="B350" s="307" t="s">
        <v>2599</v>
      </c>
      <c r="C350" s="308">
        <v>0.15</v>
      </c>
      <c r="D350" s="308">
        <v>0.15</v>
      </c>
      <c r="E350" s="308">
        <v>0.15</v>
      </c>
      <c r="F350" s="308">
        <v>0.14699999999999999</v>
      </c>
      <c r="G350" s="309">
        <v>0.15</v>
      </c>
    </row>
    <row r="351" spans="1:7">
      <c r="A351" s="318" t="s">
        <v>324</v>
      </c>
      <c r="B351" s="307" t="s">
        <v>2600</v>
      </c>
      <c r="C351" s="308">
        <v>0.15</v>
      </c>
      <c r="D351" s="308">
        <v>0.15</v>
      </c>
      <c r="E351" s="308">
        <v>0.15</v>
      </c>
      <c r="F351" s="308">
        <v>0.13</v>
      </c>
      <c r="G351" s="309">
        <v>0.15</v>
      </c>
    </row>
    <row r="352" spans="1:7">
      <c r="A352" s="318" t="s">
        <v>324</v>
      </c>
      <c r="B352" s="307" t="s">
        <v>2601</v>
      </c>
      <c r="C352" s="308">
        <v>0.15</v>
      </c>
      <c r="D352" s="308">
        <v>0.15</v>
      </c>
      <c r="E352" s="308">
        <v>0.15</v>
      </c>
      <c r="F352" s="308">
        <v>0.14599999999999999</v>
      </c>
      <c r="G352" s="309">
        <v>0.15</v>
      </c>
    </row>
    <row r="353" spans="1:7">
      <c r="A353" s="318" t="s">
        <v>324</v>
      </c>
      <c r="B353" s="307" t="s">
        <v>2602</v>
      </c>
      <c r="C353" s="308">
        <v>0.15</v>
      </c>
      <c r="D353" s="308">
        <v>0.15</v>
      </c>
      <c r="E353" s="308">
        <v>0.15</v>
      </c>
      <c r="F353" s="308">
        <v>0.14499999999999999</v>
      </c>
      <c r="G353" s="309">
        <v>0.15</v>
      </c>
    </row>
    <row r="354" spans="1:7">
      <c r="A354" s="318" t="s">
        <v>324</v>
      </c>
      <c r="B354" s="307" t="s">
        <v>2603</v>
      </c>
      <c r="C354" s="308">
        <v>0.15</v>
      </c>
      <c r="D354" s="308">
        <v>0.15</v>
      </c>
      <c r="E354" s="308">
        <v>0.15</v>
      </c>
      <c r="F354" s="308">
        <v>0.14099999999999999</v>
      </c>
      <c r="G354" s="309">
        <v>0.15</v>
      </c>
    </row>
    <row r="355" spans="1:7">
      <c r="A355" s="318" t="s">
        <v>324</v>
      </c>
      <c r="B355" s="307" t="s">
        <v>2604</v>
      </c>
      <c r="C355" s="308">
        <v>0.15</v>
      </c>
      <c r="D355" s="308">
        <v>0.15</v>
      </c>
      <c r="E355" s="308">
        <v>0.15</v>
      </c>
      <c r="F355" s="308">
        <v>0.15</v>
      </c>
      <c r="G355" s="309">
        <v>0.15</v>
      </c>
    </row>
    <row r="356" spans="1:7">
      <c r="A356" s="318" t="s">
        <v>324</v>
      </c>
      <c r="B356" s="307" t="s">
        <v>2605</v>
      </c>
      <c r="C356" s="308">
        <v>0.15</v>
      </c>
      <c r="D356" s="308">
        <v>0.15</v>
      </c>
      <c r="E356" s="308">
        <v>0.15</v>
      </c>
      <c r="F356" s="308">
        <v>0.15</v>
      </c>
      <c r="G356" s="309">
        <v>0.15</v>
      </c>
    </row>
    <row r="357" spans="1:7">
      <c r="A357" s="321" t="s">
        <v>324</v>
      </c>
      <c r="B357" s="311" t="s">
        <v>2606</v>
      </c>
      <c r="C357" s="312">
        <v>0.126</v>
      </c>
      <c r="D357" s="312">
        <v>0.127</v>
      </c>
      <c r="E357" s="312">
        <v>0.14299999999999999</v>
      </c>
      <c r="F357" s="312">
        <v>0.125</v>
      </c>
      <c r="G357" s="314">
        <v>0.129</v>
      </c>
    </row>
    <row r="358" spans="1:7">
      <c r="A358" s="317" t="s">
        <v>330</v>
      </c>
      <c r="B358" s="303" t="s">
        <v>2607</v>
      </c>
      <c r="C358" s="304">
        <v>0.15</v>
      </c>
      <c r="D358" s="304">
        <v>0.15</v>
      </c>
      <c r="E358" s="304">
        <v>0.15</v>
      </c>
      <c r="F358" s="304">
        <v>0.15</v>
      </c>
      <c r="G358" s="305">
        <v>0.15</v>
      </c>
    </row>
    <row r="359" spans="1:7">
      <c r="A359" s="318" t="s">
        <v>330</v>
      </c>
      <c r="B359" s="307" t="s">
        <v>2608</v>
      </c>
      <c r="C359" s="308">
        <v>0.1</v>
      </c>
      <c r="D359" s="308">
        <v>0.1</v>
      </c>
      <c r="E359" s="308">
        <v>0.1</v>
      </c>
      <c r="F359" s="308">
        <v>0.1</v>
      </c>
      <c r="G359" s="309">
        <v>0.1</v>
      </c>
    </row>
    <row r="360" spans="1:7">
      <c r="A360" s="318" t="s">
        <v>330</v>
      </c>
      <c r="B360" s="307" t="s">
        <v>2609</v>
      </c>
      <c r="C360" s="308">
        <v>0.15</v>
      </c>
      <c r="D360" s="308">
        <v>0.15</v>
      </c>
      <c r="E360" s="308">
        <v>0.15</v>
      </c>
      <c r="F360" s="308">
        <v>0.14899999999999999</v>
      </c>
      <c r="G360" s="309">
        <v>0.15</v>
      </c>
    </row>
    <row r="361" spans="1:7">
      <c r="A361" s="318" t="s">
        <v>330</v>
      </c>
      <c r="B361" s="307" t="s">
        <v>2610</v>
      </c>
      <c r="C361" s="308">
        <v>0.15</v>
      </c>
      <c r="D361" s="308">
        <v>0.15</v>
      </c>
      <c r="E361" s="308">
        <v>0.15</v>
      </c>
      <c r="F361" s="308">
        <v>0.115</v>
      </c>
      <c r="G361" s="309">
        <v>0.15</v>
      </c>
    </row>
    <row r="362" spans="1:7">
      <c r="A362" s="318" t="s">
        <v>330</v>
      </c>
      <c r="B362" s="307" t="s">
        <v>2611</v>
      </c>
      <c r="C362" s="308">
        <v>0.15</v>
      </c>
      <c r="D362" s="308">
        <v>0.15</v>
      </c>
      <c r="E362" s="308">
        <v>0.15</v>
      </c>
      <c r="F362" s="308">
        <v>0.106</v>
      </c>
      <c r="G362" s="309">
        <v>0.15</v>
      </c>
    </row>
    <row r="363" spans="1:7">
      <c r="A363" s="318" t="s">
        <v>330</v>
      </c>
      <c r="B363" s="307" t="s">
        <v>2612</v>
      </c>
      <c r="C363" s="308">
        <v>0.15</v>
      </c>
      <c r="D363" s="308">
        <v>0.15</v>
      </c>
      <c r="E363" s="308">
        <v>0.15</v>
      </c>
      <c r="F363" s="308">
        <v>0.14699999999999999</v>
      </c>
      <c r="G363" s="309">
        <v>0.15</v>
      </c>
    </row>
    <row r="364" spans="1:7">
      <c r="A364" s="318" t="s">
        <v>330</v>
      </c>
      <c r="B364" s="307" t="s">
        <v>2613</v>
      </c>
      <c r="C364" s="308">
        <v>0.15</v>
      </c>
      <c r="D364" s="308">
        <v>0.15</v>
      </c>
      <c r="E364" s="308">
        <v>0.15</v>
      </c>
      <c r="F364" s="308">
        <v>0.14799999999999999</v>
      </c>
      <c r="G364" s="309">
        <v>0.15</v>
      </c>
    </row>
    <row r="365" spans="1:7">
      <c r="A365" s="318" t="s">
        <v>330</v>
      </c>
      <c r="B365" s="307" t="s">
        <v>2614</v>
      </c>
      <c r="C365" s="308">
        <v>0.15</v>
      </c>
      <c r="D365" s="308">
        <v>0.15</v>
      </c>
      <c r="E365" s="308">
        <v>0.15</v>
      </c>
      <c r="F365" s="308">
        <v>0.15</v>
      </c>
      <c r="G365" s="309">
        <v>0.15</v>
      </c>
    </row>
    <row r="366" spans="1:7">
      <c r="A366" s="318" t="s">
        <v>330</v>
      </c>
      <c r="B366" s="307" t="s">
        <v>2615</v>
      </c>
      <c r="C366" s="308">
        <v>0.15</v>
      </c>
      <c r="D366" s="308">
        <v>0.15</v>
      </c>
      <c r="E366" s="308">
        <v>0.15</v>
      </c>
      <c r="F366" s="308">
        <v>0.15</v>
      </c>
      <c r="G366" s="309">
        <v>0.15</v>
      </c>
    </row>
    <row r="367" spans="1:7">
      <c r="A367" s="318" t="s">
        <v>330</v>
      </c>
      <c r="B367" s="307" t="s">
        <v>2616</v>
      </c>
      <c r="C367" s="308">
        <v>0.15</v>
      </c>
      <c r="D367" s="308">
        <v>0.15</v>
      </c>
      <c r="E367" s="308">
        <v>0.15</v>
      </c>
      <c r="F367" s="308">
        <v>0.14699999999999999</v>
      </c>
      <c r="G367" s="309">
        <v>0.15</v>
      </c>
    </row>
    <row r="368" spans="1:7">
      <c r="A368" s="318" t="s">
        <v>330</v>
      </c>
      <c r="B368" s="307" t="s">
        <v>2617</v>
      </c>
      <c r="C368" s="308">
        <v>0.15</v>
      </c>
      <c r="D368" s="308">
        <v>0.15</v>
      </c>
      <c r="E368" s="308">
        <v>0.15</v>
      </c>
      <c r="F368" s="308">
        <v>0.13600000000000001</v>
      </c>
      <c r="G368" s="309">
        <v>0.15</v>
      </c>
    </row>
    <row r="369" spans="1:7">
      <c r="A369" s="318" t="s">
        <v>330</v>
      </c>
      <c r="B369" s="307" t="s">
        <v>2618</v>
      </c>
      <c r="C369" s="308">
        <v>0.15</v>
      </c>
      <c r="D369" s="308">
        <v>0.15</v>
      </c>
      <c r="E369" s="308">
        <v>0.15</v>
      </c>
      <c r="F369" s="308">
        <v>0.14399999999999999</v>
      </c>
      <c r="G369" s="309">
        <v>0.15</v>
      </c>
    </row>
    <row r="370" spans="1:7">
      <c r="A370" s="318" t="s">
        <v>330</v>
      </c>
      <c r="B370" s="307" t="s">
        <v>2619</v>
      </c>
      <c r="C370" s="308">
        <v>0.15</v>
      </c>
      <c r="D370" s="308">
        <v>0.15</v>
      </c>
      <c r="E370" s="308">
        <v>0.15</v>
      </c>
      <c r="F370" s="308">
        <v>0.14599999999999999</v>
      </c>
      <c r="G370" s="309">
        <v>0.15</v>
      </c>
    </row>
    <row r="371" spans="1:7">
      <c r="A371" s="318" t="s">
        <v>330</v>
      </c>
      <c r="B371" s="307" t="s">
        <v>2620</v>
      </c>
      <c r="C371" s="308">
        <v>0.15</v>
      </c>
      <c r="D371" s="308">
        <v>0.15</v>
      </c>
      <c r="E371" s="308">
        <v>0.15</v>
      </c>
      <c r="F371" s="308">
        <v>0.12</v>
      </c>
      <c r="G371" s="309">
        <v>0.15</v>
      </c>
    </row>
    <row r="372" spans="1:7">
      <c r="A372" s="318" t="s">
        <v>330</v>
      </c>
      <c r="B372" s="307" t="s">
        <v>2621</v>
      </c>
      <c r="C372" s="308">
        <v>0.15</v>
      </c>
      <c r="D372" s="308">
        <v>0.15</v>
      </c>
      <c r="E372" s="308">
        <v>0.15</v>
      </c>
      <c r="F372" s="308">
        <v>0.14299999999999999</v>
      </c>
      <c r="G372" s="309">
        <v>0.15</v>
      </c>
    </row>
    <row r="373" spans="1:7">
      <c r="A373" s="318" t="s">
        <v>330</v>
      </c>
      <c r="B373" s="307" t="s">
        <v>2622</v>
      </c>
      <c r="C373" s="308">
        <v>0.15</v>
      </c>
      <c r="D373" s="308">
        <v>0.15</v>
      </c>
      <c r="E373" s="308">
        <v>0.15</v>
      </c>
      <c r="F373" s="308">
        <v>0.14599999999999999</v>
      </c>
      <c r="G373" s="309">
        <v>0.15</v>
      </c>
    </row>
    <row r="374" spans="1:7">
      <c r="A374" s="318" t="s">
        <v>330</v>
      </c>
      <c r="B374" s="307" t="s">
        <v>2623</v>
      </c>
      <c r="C374" s="308">
        <v>0.15</v>
      </c>
      <c r="D374" s="308">
        <v>0.15</v>
      </c>
      <c r="E374" s="308">
        <v>0.15</v>
      </c>
      <c r="F374" s="308">
        <v>0.14399999999999999</v>
      </c>
      <c r="G374" s="309">
        <v>0.15</v>
      </c>
    </row>
    <row r="375" spans="1:7">
      <c r="A375" s="318" t="s">
        <v>330</v>
      </c>
      <c r="B375" s="307" t="s">
        <v>2624</v>
      </c>
      <c r="C375" s="308">
        <v>0.15</v>
      </c>
      <c r="D375" s="308">
        <v>0.15</v>
      </c>
      <c r="E375" s="308">
        <v>0.15</v>
      </c>
      <c r="F375" s="308">
        <v>0.13</v>
      </c>
      <c r="G375" s="309">
        <v>0.15</v>
      </c>
    </row>
    <row r="376" spans="1:7">
      <c r="A376" s="318" t="s">
        <v>330</v>
      </c>
      <c r="B376" s="307" t="s">
        <v>2625</v>
      </c>
      <c r="C376" s="308">
        <v>0.15</v>
      </c>
      <c r="D376" s="308">
        <v>0.15</v>
      </c>
      <c r="E376" s="308">
        <v>0.15</v>
      </c>
      <c r="F376" s="308">
        <v>0.14199999999999999</v>
      </c>
      <c r="G376" s="309">
        <v>0.15</v>
      </c>
    </row>
    <row r="377" spans="1:7">
      <c r="A377" s="321" t="s">
        <v>330</v>
      </c>
      <c r="B377" s="311" t="s">
        <v>2626</v>
      </c>
      <c r="C377" s="312">
        <v>0.15</v>
      </c>
      <c r="D377" s="312">
        <v>0.15</v>
      </c>
      <c r="E377" s="312">
        <v>0.15</v>
      </c>
      <c r="F377" s="312">
        <v>0.14000000000000001</v>
      </c>
      <c r="G377" s="314">
        <v>0.15</v>
      </c>
    </row>
    <row r="378" spans="1:7">
      <c r="A378" s="317" t="s">
        <v>336</v>
      </c>
      <c r="B378" s="303" t="s">
        <v>2627</v>
      </c>
      <c r="C378" s="304">
        <v>0.15</v>
      </c>
      <c r="D378" s="304">
        <v>0.15</v>
      </c>
      <c r="E378" s="304">
        <v>0.15</v>
      </c>
      <c r="F378" s="304">
        <v>0.107</v>
      </c>
      <c r="G378" s="305">
        <v>0.15</v>
      </c>
    </row>
    <row r="379" spans="1:7">
      <c r="A379" s="318" t="s">
        <v>336</v>
      </c>
      <c r="B379" s="307" t="s">
        <v>2628</v>
      </c>
      <c r="C379" s="308">
        <v>0.15</v>
      </c>
      <c r="D379" s="308">
        <v>0.15</v>
      </c>
      <c r="E379" s="308">
        <v>0.15</v>
      </c>
      <c r="F379" s="308">
        <v>0.115</v>
      </c>
      <c r="G379" s="309">
        <v>0.14899999999999999</v>
      </c>
    </row>
    <row r="380" spans="1:7">
      <c r="A380" s="318" t="s">
        <v>336</v>
      </c>
      <c r="B380" s="307" t="s">
        <v>2629</v>
      </c>
      <c r="C380" s="308">
        <v>0.15</v>
      </c>
      <c r="D380" s="308">
        <v>0.15</v>
      </c>
      <c r="E380" s="308">
        <v>0.15</v>
      </c>
      <c r="F380" s="308">
        <v>0.1</v>
      </c>
      <c r="G380" s="309">
        <v>0.14799999999999999</v>
      </c>
    </row>
    <row r="381" spans="1:7">
      <c r="A381" s="318" t="s">
        <v>336</v>
      </c>
      <c r="B381" s="307" t="s">
        <v>2630</v>
      </c>
      <c r="C381" s="308">
        <v>0.15</v>
      </c>
      <c r="D381" s="308">
        <v>0.15</v>
      </c>
      <c r="E381" s="308">
        <v>0.15</v>
      </c>
      <c r="F381" s="308">
        <v>0.126</v>
      </c>
      <c r="G381" s="309">
        <v>0.15</v>
      </c>
    </row>
    <row r="382" spans="1:7">
      <c r="A382" s="318" t="s">
        <v>336</v>
      </c>
      <c r="B382" s="307" t="s">
        <v>2631</v>
      </c>
      <c r="C382" s="308">
        <v>0.15</v>
      </c>
      <c r="D382" s="308">
        <v>0.15</v>
      </c>
      <c r="E382" s="308">
        <v>0.15</v>
      </c>
      <c r="F382" s="308">
        <v>0.15</v>
      </c>
      <c r="G382" s="309">
        <v>0.15</v>
      </c>
    </row>
    <row r="383" spans="1:7">
      <c r="A383" s="318" t="s">
        <v>336</v>
      </c>
      <c r="B383" s="307" t="s">
        <v>2632</v>
      </c>
      <c r="C383" s="308">
        <v>0.15</v>
      </c>
      <c r="D383" s="308">
        <v>0.15</v>
      </c>
      <c r="E383" s="308">
        <v>0.15</v>
      </c>
      <c r="F383" s="308">
        <v>0.14699999999999999</v>
      </c>
      <c r="G383" s="309">
        <v>0.15</v>
      </c>
    </row>
    <row r="384" spans="1:7">
      <c r="A384" s="328" t="s">
        <v>336</v>
      </c>
      <c r="B384" s="329" t="s">
        <v>2633</v>
      </c>
      <c r="C384" s="330">
        <v>0.15</v>
      </c>
      <c r="D384" s="330">
        <v>0.15</v>
      </c>
      <c r="E384" s="330">
        <v>0.15</v>
      </c>
      <c r="F384" s="330">
        <v>0.15</v>
      </c>
      <c r="G384" s="331">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2634</v>
      </c>
      <c r="B1" s="3498"/>
      <c r="C1" s="3498"/>
      <c r="D1" s="3498"/>
      <c r="E1" s="3498"/>
      <c r="F1" s="3499"/>
    </row>
    <row r="2" spans="1:6">
      <c r="A2" s="291" t="s">
        <v>2635</v>
      </c>
    </row>
    <row r="3" spans="1:6">
      <c r="A3" s="291" t="s">
        <v>2636</v>
      </c>
      <c r="F3" s="292" t="s">
        <v>2637</v>
      </c>
    </row>
    <row r="4" spans="1:6">
      <c r="A4" s="293" t="s">
        <v>444</v>
      </c>
      <c r="B4" s="293" t="s">
        <v>229</v>
      </c>
      <c r="C4" s="293" t="s">
        <v>230</v>
      </c>
      <c r="D4" s="293" t="s">
        <v>2638</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45981</v>
      </c>
      <c r="B1" s="227" t="s">
        <v>2639</v>
      </c>
      <c r="C1" s="228"/>
      <c r="D1" s="228"/>
      <c r="E1" s="228"/>
      <c r="F1" s="228"/>
      <c r="G1" s="228"/>
      <c r="H1" s="228"/>
      <c r="I1" s="228"/>
      <c r="J1" s="229"/>
      <c r="K1" s="228" t="s">
        <v>2640</v>
      </c>
      <c r="L1" s="228"/>
      <c r="M1" s="228"/>
      <c r="N1" s="228"/>
      <c r="O1" s="228"/>
      <c r="P1" s="228"/>
      <c r="Q1" s="229"/>
      <c r="R1" s="3500" t="s">
        <v>2641</v>
      </c>
      <c r="S1" s="3501"/>
      <c r="T1" s="3501"/>
      <c r="U1" s="3501"/>
      <c r="V1" s="3501"/>
      <c r="W1" s="3501"/>
      <c r="X1" s="229"/>
      <c r="Y1" s="3500" t="s">
        <v>2642</v>
      </c>
      <c r="Z1" s="3501"/>
      <c r="AA1" s="3501"/>
      <c r="AB1" s="3501"/>
      <c r="AC1" s="3501"/>
      <c r="AD1" s="3501"/>
    </row>
    <row r="2" spans="1:44" s="104" customFormat="1">
      <c r="B2" s="230"/>
      <c r="C2" s="231"/>
      <c r="D2" s="113" t="s">
        <v>2643</v>
      </c>
      <c r="E2" s="114" t="s">
        <v>229</v>
      </c>
      <c r="F2" s="114" t="s">
        <v>230</v>
      </c>
      <c r="G2" s="114" t="s">
        <v>232</v>
      </c>
      <c r="H2" s="114" t="s">
        <v>233</v>
      </c>
      <c r="I2" s="114" t="s">
        <v>231</v>
      </c>
      <c r="J2" s="232"/>
      <c r="K2" s="113" t="s">
        <v>2643</v>
      </c>
      <c r="L2" s="114" t="s">
        <v>229</v>
      </c>
      <c r="M2" s="114" t="s">
        <v>230</v>
      </c>
      <c r="N2" s="114" t="s">
        <v>232</v>
      </c>
      <c r="O2" s="114" t="s">
        <v>233</v>
      </c>
      <c r="P2" s="114" t="s">
        <v>231</v>
      </c>
      <c r="Q2" s="232"/>
      <c r="R2" s="113" t="s">
        <v>2643</v>
      </c>
      <c r="S2" s="114" t="s">
        <v>229</v>
      </c>
      <c r="T2" s="114" t="s">
        <v>230</v>
      </c>
      <c r="U2" s="114" t="s">
        <v>232</v>
      </c>
      <c r="V2" s="114" t="s">
        <v>233</v>
      </c>
      <c r="W2" s="114" t="s">
        <v>231</v>
      </c>
      <c r="X2" s="232"/>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3" customFormat="1" ht="12.75">
      <c r="A3" s="233" t="s">
        <v>2644</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2646</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2647</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2665</v>
      </c>
    </row>
    <row r="27" spans="1:44">
      <c r="I27" t="s">
        <v>1612</v>
      </c>
    </row>
    <row r="29" spans="1:44" s="103" customFormat="1" ht="12.75">
      <c r="B29" s="227" t="s">
        <v>2666</v>
      </c>
      <c r="C29" s="228"/>
      <c r="D29" s="228"/>
      <c r="E29" s="228"/>
      <c r="F29" s="228"/>
      <c r="G29" s="228"/>
      <c r="H29" s="228"/>
      <c r="I29" s="228"/>
      <c r="J29" s="229"/>
      <c r="K29" s="228" t="s">
        <v>2640</v>
      </c>
      <c r="L29" s="228"/>
      <c r="M29" s="228"/>
      <c r="N29" s="228"/>
      <c r="O29" s="228"/>
      <c r="P29" s="228"/>
      <c r="Q29" s="229"/>
      <c r="R29" s="3500" t="s">
        <v>2641</v>
      </c>
      <c r="S29" s="3501"/>
      <c r="T29" s="3501"/>
      <c r="U29" s="3501"/>
      <c r="V29" s="3501"/>
      <c r="W29" s="3501"/>
      <c r="X29" s="229"/>
      <c r="Y29" s="3500" t="s">
        <v>2642</v>
      </c>
      <c r="Z29" s="3501"/>
      <c r="AA29" s="3501"/>
      <c r="AB29" s="3501"/>
      <c r="AC29" s="3501"/>
      <c r="AD29" s="3501"/>
    </row>
    <row r="30" spans="1:44" s="104" customFormat="1">
      <c r="B30" s="230"/>
      <c r="C30" s="231"/>
      <c r="D30" s="113" t="s">
        <v>2643</v>
      </c>
      <c r="E30" s="114" t="s">
        <v>229</v>
      </c>
      <c r="F30" s="114" t="s">
        <v>230</v>
      </c>
      <c r="G30" s="114" t="s">
        <v>232</v>
      </c>
      <c r="H30" s="114"/>
      <c r="I30" s="114" t="s">
        <v>231</v>
      </c>
      <c r="J30" s="232"/>
      <c r="K30" s="113" t="s">
        <v>2643</v>
      </c>
      <c r="L30" s="114" t="s">
        <v>229</v>
      </c>
      <c r="M30" s="114" t="s">
        <v>230</v>
      </c>
      <c r="N30" s="114" t="s">
        <v>232</v>
      </c>
      <c r="O30" s="114"/>
      <c r="P30" s="114" t="s">
        <v>231</v>
      </c>
      <c r="Q30" s="232"/>
      <c r="R30" s="113" t="s">
        <v>2643</v>
      </c>
      <c r="S30" s="114" t="s">
        <v>229</v>
      </c>
      <c r="T30" s="114" t="s">
        <v>230</v>
      </c>
      <c r="U30" s="114" t="s">
        <v>232</v>
      </c>
      <c r="V30" s="114"/>
      <c r="W30" s="114" t="s">
        <v>231</v>
      </c>
      <c r="X30" s="232"/>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2644</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2646</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2647</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2667</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2668</v>
      </c>
      <c r="C1" s="3502"/>
      <c r="D1" s="3502"/>
      <c r="E1" s="3502"/>
      <c r="F1" s="3502"/>
      <c r="G1" s="3501" t="s">
        <v>2669</v>
      </c>
      <c r="H1" s="3501"/>
      <c r="I1" s="3501"/>
      <c r="J1" s="3501"/>
      <c r="K1" s="3501"/>
      <c r="L1" s="3501"/>
      <c r="N1" s="3501" t="s">
        <v>2640</v>
      </c>
      <c r="O1" s="3501"/>
      <c r="P1" s="3501"/>
      <c r="Q1" s="3501"/>
      <c r="S1" s="3501" t="s">
        <v>2670</v>
      </c>
      <c r="T1" s="3501"/>
      <c r="U1" s="3501"/>
      <c r="V1" s="3501"/>
      <c r="X1" s="3500" t="s">
        <v>2641</v>
      </c>
      <c r="Y1" s="3501"/>
      <c r="Z1" s="3501"/>
      <c r="AA1" s="3501"/>
      <c r="AB1" s="3501"/>
      <c r="AD1" s="3500" t="s">
        <v>2642</v>
      </c>
      <c r="AE1" s="3501"/>
      <c r="AF1" s="3501"/>
      <c r="AG1" s="3501"/>
      <c r="AH1" s="3501"/>
    </row>
    <row r="2" spans="1:34" s="104" customFormat="1" ht="13.5">
      <c r="B2" s="113" t="s">
        <v>473</v>
      </c>
      <c r="C2" s="113" t="s">
        <v>2671</v>
      </c>
      <c r="D2" s="114" t="s">
        <v>230</v>
      </c>
      <c r="E2" s="114" t="s">
        <v>232</v>
      </c>
      <c r="F2" s="113" t="s">
        <v>2672</v>
      </c>
      <c r="G2" s="115"/>
      <c r="I2" s="113" t="s">
        <v>473</v>
      </c>
      <c r="J2" s="114" t="s">
        <v>1970</v>
      </c>
      <c r="K2" s="114" t="s">
        <v>232</v>
      </c>
      <c r="L2" s="113" t="s">
        <v>2672</v>
      </c>
      <c r="N2" s="113" t="s">
        <v>473</v>
      </c>
      <c r="O2" s="114" t="s">
        <v>1970</v>
      </c>
      <c r="P2" s="114" t="s">
        <v>232</v>
      </c>
      <c r="Q2" s="113" t="s">
        <v>2672</v>
      </c>
      <c r="S2" s="113" t="s">
        <v>473</v>
      </c>
      <c r="T2" s="114" t="s">
        <v>1970</v>
      </c>
      <c r="U2" s="114" t="s">
        <v>232</v>
      </c>
      <c r="V2" s="113" t="s">
        <v>2672</v>
      </c>
      <c r="X2" s="113" t="s">
        <v>473</v>
      </c>
      <c r="Y2" s="113" t="s">
        <v>2671</v>
      </c>
      <c r="Z2" s="114" t="s">
        <v>230</v>
      </c>
      <c r="AA2" s="114" t="s">
        <v>232</v>
      </c>
      <c r="AB2" s="113" t="s">
        <v>2672</v>
      </c>
      <c r="AD2" s="113" t="s">
        <v>473</v>
      </c>
      <c r="AE2" s="113" t="s">
        <v>2671</v>
      </c>
      <c r="AF2" s="114" t="s">
        <v>230</v>
      </c>
      <c r="AG2" s="114" t="s">
        <v>232</v>
      </c>
      <c r="AH2" s="113" t="s">
        <v>2672</v>
      </c>
    </row>
    <row r="3" spans="1:34" s="105" customFormat="1" ht="14.25">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2686</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2688</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2689</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2690</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2692</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2693</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2694</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2696</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2697</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2698</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2700</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2701</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2703</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2705</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2706</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2707</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2708</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2709</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2710</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2711</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2713</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2714</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2715</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2717</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2718</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2719</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2721</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2722</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2723</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2725</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2726</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2727</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2729</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2730</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2731</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2733</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2734</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2735</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2737</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2738</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2739</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2741</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2742</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2743</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2744</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2745</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2746</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2747</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2748</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2749</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2750</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2751</v>
      </c>
      <c r="G91" s="216"/>
      <c r="N91" s="216"/>
      <c r="S91" s="216"/>
    </row>
    <row r="92" spans="1:26" s="110" customFormat="1">
      <c r="A92" s="110" t="s">
        <v>2752</v>
      </c>
      <c r="G92" s="216"/>
      <c r="N92" s="216"/>
      <c r="S92" s="216"/>
    </row>
    <row r="93" spans="1:26" s="110" customFormat="1">
      <c r="A93" s="110" t="s">
        <v>2753</v>
      </c>
      <c r="G93" s="216"/>
      <c r="I93" s="217"/>
      <c r="J93" s="217"/>
      <c r="K93" s="217"/>
      <c r="L93" s="217"/>
      <c r="N93" s="218"/>
      <c r="O93" s="217"/>
      <c r="P93" s="217"/>
      <c r="Q93" s="217"/>
      <c r="S93" s="218"/>
      <c r="T93" s="217"/>
      <c r="U93" s="217"/>
      <c r="V93" s="217"/>
    </row>
    <row r="94" spans="1:26" s="110" customFormat="1">
      <c r="A94" s="110" t="s">
        <v>2754</v>
      </c>
      <c r="G94" s="216"/>
      <c r="N94" s="216"/>
      <c r="S94" s="216"/>
    </row>
    <row r="102" spans="7:22">
      <c r="G102" s="111"/>
      <c r="S102" s="219" t="s">
        <v>2755</v>
      </c>
      <c r="T102" s="161" t="s">
        <v>2756</v>
      </c>
      <c r="U102" s="161" t="s">
        <v>2757</v>
      </c>
      <c r="V102" s="161" t="s">
        <v>2758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2759</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2760</v>
      </c>
      <c r="B2" s="78"/>
      <c r="C2" s="78"/>
      <c r="D2" s="78"/>
      <c r="E2" s="78"/>
      <c r="F2" s="78"/>
      <c r="G2" s="79" t="s">
        <v>2761</v>
      </c>
      <c r="I2" s="80" t="s">
        <v>2255</v>
      </c>
      <c r="J2" s="80" t="s">
        <v>2260</v>
      </c>
      <c r="K2" s="80" t="s">
        <v>2280</v>
      </c>
      <c r="L2" s="80" t="s">
        <v>2305</v>
      </c>
      <c r="M2" s="80" t="s">
        <v>2337</v>
      </c>
      <c r="N2" s="80" t="s">
        <v>2377</v>
      </c>
      <c r="O2" s="80" t="s">
        <v>2439</v>
      </c>
      <c r="P2" s="80" t="s">
        <v>2483</v>
      </c>
      <c r="Q2" s="80" t="s">
        <v>2526</v>
      </c>
      <c r="R2" s="80" t="s">
        <v>2576</v>
      </c>
      <c r="S2" s="80" t="s">
        <v>2607</v>
      </c>
      <c r="T2" s="80" t="s">
        <v>2627</v>
      </c>
    </row>
    <row r="3" spans="1:20" s="72" customFormat="1">
      <c r="A3" s="3513" t="s">
        <v>2253</v>
      </c>
      <c r="B3" s="81"/>
      <c r="C3" s="82" t="s">
        <v>229</v>
      </c>
      <c r="D3" s="82" t="s">
        <v>230</v>
      </c>
      <c r="E3" s="82" t="s">
        <v>232</v>
      </c>
      <c r="F3" s="82" t="s">
        <v>233</v>
      </c>
      <c r="G3" s="82" t="s">
        <v>231</v>
      </c>
      <c r="H3" s="83"/>
      <c r="I3" s="84" t="s">
        <v>2256</v>
      </c>
      <c r="J3" s="85" t="s">
        <v>2261</v>
      </c>
      <c r="K3" s="85" t="s">
        <v>2281</v>
      </c>
      <c r="L3" s="84" t="s">
        <v>2306</v>
      </c>
      <c r="M3" s="84" t="s">
        <v>2338</v>
      </c>
      <c r="N3" s="84" t="s">
        <v>2378</v>
      </c>
      <c r="O3" s="84" t="s">
        <v>2440</v>
      </c>
      <c r="P3" s="84" t="s">
        <v>2484</v>
      </c>
      <c r="Q3" s="84" t="s">
        <v>2527</v>
      </c>
      <c r="R3" s="84" t="s">
        <v>2577</v>
      </c>
      <c r="S3" s="84" t="s">
        <v>2608</v>
      </c>
      <c r="T3" s="84" t="s">
        <v>2628</v>
      </c>
    </row>
    <row r="4" spans="1:20" s="72" customFormat="1">
      <c r="A4" s="3514"/>
      <c r="B4" s="86" t="s">
        <v>2254</v>
      </c>
      <c r="C4" s="86" t="s">
        <v>2762</v>
      </c>
      <c r="D4" s="86" t="s">
        <v>2762</v>
      </c>
      <c r="E4" s="86" t="s">
        <v>2762</v>
      </c>
      <c r="F4" s="87" t="s">
        <v>2762</v>
      </c>
      <c r="G4" s="87" t="s">
        <v>2762</v>
      </c>
      <c r="H4" s="83"/>
      <c r="I4" s="85" t="s">
        <v>2257</v>
      </c>
      <c r="J4" s="85" t="s">
        <v>2262</v>
      </c>
      <c r="K4" s="85" t="s">
        <v>2282</v>
      </c>
      <c r="L4" s="84" t="s">
        <v>2307</v>
      </c>
      <c r="M4" s="84" t="s">
        <v>2339</v>
      </c>
      <c r="N4" s="84" t="s">
        <v>2379</v>
      </c>
      <c r="O4" s="84" t="s">
        <v>2441</v>
      </c>
      <c r="P4" s="84" t="s">
        <v>2485</v>
      </c>
      <c r="Q4" s="84" t="s">
        <v>2528</v>
      </c>
      <c r="R4" s="84" t="s">
        <v>2578</v>
      </c>
      <c r="S4" s="84" t="s">
        <v>2609</v>
      </c>
      <c r="T4" s="84" t="s">
        <v>2629</v>
      </c>
    </row>
    <row r="5" spans="1:20">
      <c r="A5" s="88" t="s">
        <v>235</v>
      </c>
      <c r="B5" s="80" t="s">
        <v>2255</v>
      </c>
      <c r="C5" s="80">
        <v>34550</v>
      </c>
      <c r="D5" s="80">
        <v>34470</v>
      </c>
      <c r="E5" s="80">
        <v>34330</v>
      </c>
      <c r="F5" s="80">
        <v>13400</v>
      </c>
      <c r="G5" s="80">
        <v>25450</v>
      </c>
      <c r="H5" s="83"/>
      <c r="I5" s="84" t="s">
        <v>2258</v>
      </c>
      <c r="J5" s="85" t="s">
        <v>2263</v>
      </c>
      <c r="K5" s="85" t="s">
        <v>2283</v>
      </c>
      <c r="L5" s="84" t="s">
        <v>2308</v>
      </c>
      <c r="M5" s="84" t="s">
        <v>2340</v>
      </c>
      <c r="N5" s="84" t="s">
        <v>2380</v>
      </c>
      <c r="O5" s="84" t="s">
        <v>2442</v>
      </c>
      <c r="P5" s="84" t="s">
        <v>2486</v>
      </c>
      <c r="Q5" s="84" t="s">
        <v>2529</v>
      </c>
      <c r="R5" s="84" t="s">
        <v>2579</v>
      </c>
      <c r="S5" s="84" t="s">
        <v>2610</v>
      </c>
      <c r="T5" s="84" t="s">
        <v>2630</v>
      </c>
    </row>
    <row r="6" spans="1:20">
      <c r="A6" s="84" t="s">
        <v>235</v>
      </c>
      <c r="B6" s="84" t="s">
        <v>2256</v>
      </c>
      <c r="C6" s="84">
        <v>36990</v>
      </c>
      <c r="D6" s="84">
        <v>36850</v>
      </c>
      <c r="E6" s="84">
        <v>36700</v>
      </c>
      <c r="F6" s="84">
        <v>14590</v>
      </c>
      <c r="G6" s="84">
        <v>27450</v>
      </c>
      <c r="H6" s="83"/>
      <c r="I6" s="89" t="s">
        <v>2259</v>
      </c>
      <c r="J6" s="85" t="s">
        <v>2264</v>
      </c>
      <c r="K6" s="85" t="s">
        <v>2284</v>
      </c>
      <c r="L6" s="84" t="s">
        <v>2309</v>
      </c>
      <c r="M6" s="84" t="s">
        <v>2341</v>
      </c>
      <c r="N6" s="84" t="s">
        <v>2381</v>
      </c>
      <c r="O6" s="84" t="s">
        <v>2443</v>
      </c>
      <c r="P6" s="84" t="s">
        <v>2487</v>
      </c>
      <c r="Q6" s="84" t="s">
        <v>2530</v>
      </c>
      <c r="R6" s="84" t="s">
        <v>2580</v>
      </c>
      <c r="S6" s="84" t="s">
        <v>2611</v>
      </c>
      <c r="T6" s="84" t="s">
        <v>2631</v>
      </c>
    </row>
    <row r="7" spans="1:20">
      <c r="A7" s="84" t="s">
        <v>235</v>
      </c>
      <c r="B7" s="85" t="s">
        <v>2257</v>
      </c>
      <c r="C7" s="84">
        <v>34850</v>
      </c>
      <c r="D7" s="84">
        <v>34690</v>
      </c>
      <c r="E7" s="84">
        <v>34550</v>
      </c>
      <c r="F7" s="84">
        <v>14360</v>
      </c>
      <c r="G7" s="84">
        <v>25620</v>
      </c>
      <c r="H7" s="83"/>
      <c r="J7" s="85" t="s">
        <v>2265</v>
      </c>
      <c r="K7" s="85" t="s">
        <v>2285</v>
      </c>
      <c r="L7" s="84" t="s">
        <v>2310</v>
      </c>
      <c r="M7" s="84" t="s">
        <v>2342</v>
      </c>
      <c r="N7" s="84" t="s">
        <v>2382</v>
      </c>
      <c r="O7" s="84" t="s">
        <v>2444</v>
      </c>
      <c r="P7" s="84" t="s">
        <v>2488</v>
      </c>
      <c r="Q7" s="84" t="s">
        <v>2531</v>
      </c>
      <c r="R7" s="84" t="s">
        <v>2581</v>
      </c>
      <c r="S7" s="84" t="s">
        <v>2612</v>
      </c>
      <c r="T7" s="84" t="s">
        <v>2632</v>
      </c>
    </row>
    <row r="8" spans="1:20">
      <c r="A8" s="84" t="s">
        <v>235</v>
      </c>
      <c r="B8" s="84" t="s">
        <v>2258</v>
      </c>
      <c r="C8" s="84">
        <v>32630</v>
      </c>
      <c r="D8" s="84">
        <v>32510</v>
      </c>
      <c r="E8" s="84">
        <v>32420</v>
      </c>
      <c r="F8" s="84">
        <v>13300</v>
      </c>
      <c r="G8" s="84">
        <v>24010</v>
      </c>
      <c r="H8" s="83"/>
      <c r="J8" s="85" t="s">
        <v>2266</v>
      </c>
      <c r="K8" s="85" t="s">
        <v>2286</v>
      </c>
      <c r="L8" s="84" t="s">
        <v>2311</v>
      </c>
      <c r="M8" s="84" t="s">
        <v>2343</v>
      </c>
      <c r="N8" s="84" t="s">
        <v>2383</v>
      </c>
      <c r="O8" s="84" t="s">
        <v>2445</v>
      </c>
      <c r="P8" s="84" t="s">
        <v>2489</v>
      </c>
      <c r="Q8" s="84" t="s">
        <v>2532</v>
      </c>
      <c r="R8" s="84" t="s">
        <v>2582</v>
      </c>
      <c r="S8" s="84" t="s">
        <v>2613</v>
      </c>
      <c r="T8" s="90" t="s">
        <v>2633</v>
      </c>
    </row>
    <row r="9" spans="1:20">
      <c r="A9" s="91" t="s">
        <v>235</v>
      </c>
      <c r="B9" s="89" t="s">
        <v>2259</v>
      </c>
      <c r="C9" s="90">
        <v>36370</v>
      </c>
      <c r="D9" s="90">
        <v>36210</v>
      </c>
      <c r="E9" s="90">
        <v>36050</v>
      </c>
      <c r="F9" s="90"/>
      <c r="G9" s="90">
        <v>26740</v>
      </c>
      <c r="H9" s="83"/>
      <c r="J9" s="85" t="s">
        <v>2267</v>
      </c>
      <c r="K9" s="85" t="s">
        <v>2287</v>
      </c>
      <c r="L9" s="84" t="s">
        <v>2312</v>
      </c>
      <c r="M9" s="84" t="s">
        <v>2344</v>
      </c>
      <c r="N9" s="84" t="s">
        <v>2384</v>
      </c>
      <c r="O9" s="84" t="s">
        <v>2446</v>
      </c>
      <c r="P9" s="84" t="s">
        <v>2490</v>
      </c>
      <c r="Q9" s="84" t="s">
        <v>2533</v>
      </c>
      <c r="R9" s="84" t="s">
        <v>2583</v>
      </c>
      <c r="S9" s="84" t="s">
        <v>2614</v>
      </c>
    </row>
    <row r="10" spans="1:20">
      <c r="A10" s="88" t="s">
        <v>251</v>
      </c>
      <c r="B10" s="80" t="s">
        <v>2260</v>
      </c>
      <c r="C10" s="84">
        <v>32350</v>
      </c>
      <c r="D10" s="84">
        <v>31430</v>
      </c>
      <c r="E10" s="84">
        <v>31320</v>
      </c>
      <c r="F10" s="84">
        <v>10850</v>
      </c>
      <c r="G10" s="84">
        <v>22860</v>
      </c>
      <c r="H10" s="83"/>
      <c r="J10" s="85" t="s">
        <v>2268</v>
      </c>
      <c r="K10" s="85" t="s">
        <v>2288</v>
      </c>
      <c r="L10" s="84" t="s">
        <v>2313</v>
      </c>
      <c r="M10" s="84" t="s">
        <v>2345</v>
      </c>
      <c r="N10" s="84" t="s">
        <v>553</v>
      </c>
      <c r="O10" s="84" t="s">
        <v>2447</v>
      </c>
      <c r="P10" s="84" t="s">
        <v>2491</v>
      </c>
      <c r="Q10" s="84" t="s">
        <v>2534</v>
      </c>
      <c r="R10" s="84" t="s">
        <v>2584</v>
      </c>
      <c r="S10" s="84" t="s">
        <v>2615</v>
      </c>
    </row>
    <row r="11" spans="1:20">
      <c r="A11" s="84" t="s">
        <v>251</v>
      </c>
      <c r="B11" s="85" t="s">
        <v>2261</v>
      </c>
      <c r="C11" s="84">
        <v>31590</v>
      </c>
      <c r="D11" s="84">
        <v>29490</v>
      </c>
      <c r="E11" s="84">
        <v>28700</v>
      </c>
      <c r="F11" s="84">
        <v>10410</v>
      </c>
      <c r="G11" s="84">
        <v>21460</v>
      </c>
      <c r="H11" s="83"/>
      <c r="J11" s="85" t="s">
        <v>2269</v>
      </c>
      <c r="K11" s="85" t="s">
        <v>2289</v>
      </c>
      <c r="L11" s="84" t="s">
        <v>2314</v>
      </c>
      <c r="M11" s="84" t="s">
        <v>2346</v>
      </c>
      <c r="N11" s="84" t="s">
        <v>2385</v>
      </c>
      <c r="O11" s="84" t="s">
        <v>2448</v>
      </c>
      <c r="P11" s="84" t="s">
        <v>2492</v>
      </c>
      <c r="Q11" s="84" t="s">
        <v>2535</v>
      </c>
      <c r="R11" s="84" t="s">
        <v>2585</v>
      </c>
      <c r="S11" s="84" t="s">
        <v>2616</v>
      </c>
    </row>
    <row r="12" spans="1:20">
      <c r="A12" s="84" t="s">
        <v>251</v>
      </c>
      <c r="B12" s="85" t="s">
        <v>2262</v>
      </c>
      <c r="C12" s="84">
        <v>29640</v>
      </c>
      <c r="D12" s="84">
        <v>27550</v>
      </c>
      <c r="E12" s="84">
        <v>28010</v>
      </c>
      <c r="F12" s="84">
        <v>8730</v>
      </c>
      <c r="G12" s="84">
        <v>20050</v>
      </c>
      <c r="H12" s="83"/>
      <c r="J12" s="85" t="s">
        <v>2270</v>
      </c>
      <c r="K12" s="85" t="s">
        <v>2290</v>
      </c>
      <c r="L12" s="84" t="s">
        <v>2315</v>
      </c>
      <c r="M12" s="84" t="s">
        <v>2347</v>
      </c>
      <c r="N12" s="84" t="s">
        <v>2386</v>
      </c>
      <c r="O12" s="84" t="s">
        <v>2449</v>
      </c>
      <c r="P12" s="84" t="s">
        <v>2493</v>
      </c>
      <c r="Q12" s="84" t="s">
        <v>2536</v>
      </c>
      <c r="R12" s="84" t="s">
        <v>2586</v>
      </c>
      <c r="S12" s="84" t="s">
        <v>2617</v>
      </c>
    </row>
    <row r="13" spans="1:20">
      <c r="A13" s="84" t="s">
        <v>251</v>
      </c>
      <c r="B13" s="85" t="s">
        <v>2263</v>
      </c>
      <c r="C13" s="84">
        <v>29680</v>
      </c>
      <c r="D13" s="84">
        <v>27660</v>
      </c>
      <c r="E13" s="84">
        <v>28210</v>
      </c>
      <c r="F13" s="84">
        <v>9590</v>
      </c>
      <c r="G13" s="84">
        <v>20120</v>
      </c>
      <c r="H13" s="83"/>
      <c r="J13" s="85" t="s">
        <v>2271</v>
      </c>
      <c r="K13" s="85" t="s">
        <v>2291</v>
      </c>
      <c r="L13" s="84" t="s">
        <v>2316</v>
      </c>
      <c r="M13" s="84" t="s">
        <v>2348</v>
      </c>
      <c r="N13" s="84" t="s">
        <v>2387</v>
      </c>
      <c r="O13" s="84" t="s">
        <v>2450</v>
      </c>
      <c r="P13" s="84" t="s">
        <v>2494</v>
      </c>
      <c r="Q13" s="84" t="s">
        <v>2537</v>
      </c>
      <c r="R13" s="84" t="s">
        <v>2587</v>
      </c>
      <c r="S13" s="84" t="s">
        <v>2618</v>
      </c>
    </row>
    <row r="14" spans="1:20">
      <c r="A14" s="84" t="s">
        <v>251</v>
      </c>
      <c r="B14" s="85" t="s">
        <v>2264</v>
      </c>
      <c r="C14" s="84">
        <v>30520</v>
      </c>
      <c r="D14" s="84">
        <v>29510</v>
      </c>
      <c r="E14" s="84">
        <v>29400</v>
      </c>
      <c r="F14" s="84">
        <v>9630</v>
      </c>
      <c r="G14" s="84">
        <v>21480</v>
      </c>
      <c r="H14" s="83"/>
      <c r="J14" s="85" t="s">
        <v>2272</v>
      </c>
      <c r="K14" s="85" t="s">
        <v>2292</v>
      </c>
      <c r="L14" s="84" t="s">
        <v>2317</v>
      </c>
      <c r="M14" s="84" t="s">
        <v>2349</v>
      </c>
      <c r="N14" s="84" t="s">
        <v>2388</v>
      </c>
      <c r="O14" s="84" t="s">
        <v>2451</v>
      </c>
      <c r="P14" s="84" t="s">
        <v>2495</v>
      </c>
      <c r="Q14" s="84" t="s">
        <v>2538</v>
      </c>
      <c r="R14" s="84" t="s">
        <v>2588</v>
      </c>
      <c r="S14" s="84" t="s">
        <v>2619</v>
      </c>
    </row>
    <row r="15" spans="1:20">
      <c r="A15" s="84" t="s">
        <v>251</v>
      </c>
      <c r="B15" s="85" t="s">
        <v>2265</v>
      </c>
      <c r="C15" s="84">
        <v>29090</v>
      </c>
      <c r="D15" s="84">
        <v>27590</v>
      </c>
      <c r="E15" s="84">
        <v>28120</v>
      </c>
      <c r="F15" s="84">
        <v>9110</v>
      </c>
      <c r="G15" s="84">
        <v>20070</v>
      </c>
      <c r="H15" s="83"/>
      <c r="J15" s="85" t="s">
        <v>2273</v>
      </c>
      <c r="K15" s="85" t="s">
        <v>2293</v>
      </c>
      <c r="L15" s="84" t="s">
        <v>2318</v>
      </c>
      <c r="M15" s="84" t="s">
        <v>2350</v>
      </c>
      <c r="N15" s="84" t="s">
        <v>2389</v>
      </c>
      <c r="O15" s="84" t="s">
        <v>2452</v>
      </c>
      <c r="P15" s="84" t="s">
        <v>2496</v>
      </c>
      <c r="Q15" s="84" t="s">
        <v>2539</v>
      </c>
      <c r="R15" s="84" t="s">
        <v>2589</v>
      </c>
      <c r="S15" s="84" t="s">
        <v>2620</v>
      </c>
    </row>
    <row r="16" spans="1:20">
      <c r="A16" s="84" t="s">
        <v>251</v>
      </c>
      <c r="B16" s="85" t="s">
        <v>2266</v>
      </c>
      <c r="C16" s="84">
        <v>26790</v>
      </c>
      <c r="D16" s="84">
        <v>30370</v>
      </c>
      <c r="E16" s="84">
        <v>30240</v>
      </c>
      <c r="F16" s="84">
        <v>11590</v>
      </c>
      <c r="G16" s="84">
        <v>22090</v>
      </c>
      <c r="H16" s="83"/>
      <c r="J16" s="85" t="s">
        <v>2274</v>
      </c>
      <c r="K16" s="85" t="s">
        <v>2294</v>
      </c>
      <c r="L16" s="84" t="s">
        <v>2319</v>
      </c>
      <c r="M16" s="84" t="s">
        <v>2351</v>
      </c>
      <c r="N16" s="84" t="s">
        <v>2390</v>
      </c>
      <c r="O16" s="84" t="s">
        <v>2453</v>
      </c>
      <c r="P16" s="84" t="s">
        <v>2497</v>
      </c>
      <c r="Q16" s="84" t="s">
        <v>2540</v>
      </c>
      <c r="R16" s="84" t="s">
        <v>2590</v>
      </c>
      <c r="S16" s="84" t="s">
        <v>2621</v>
      </c>
    </row>
    <row r="17" spans="1:19" ht="14.25" customHeight="1">
      <c r="A17" s="84" t="s">
        <v>251</v>
      </c>
      <c r="B17" s="85" t="s">
        <v>2267</v>
      </c>
      <c r="C17" s="84">
        <v>29180</v>
      </c>
      <c r="D17" s="84">
        <v>27620</v>
      </c>
      <c r="E17" s="84">
        <v>28180</v>
      </c>
      <c r="F17" s="84">
        <v>10790</v>
      </c>
      <c r="G17" s="84">
        <v>20090</v>
      </c>
      <c r="H17" s="83"/>
      <c r="J17" s="85" t="s">
        <v>2275</v>
      </c>
      <c r="K17" s="85" t="s">
        <v>2295</v>
      </c>
      <c r="L17" s="84" t="s">
        <v>2320</v>
      </c>
      <c r="M17" s="84" t="s">
        <v>2352</v>
      </c>
      <c r="N17" s="84" t="s">
        <v>2391</v>
      </c>
      <c r="O17" s="84" t="s">
        <v>2454</v>
      </c>
      <c r="P17" s="84" t="s">
        <v>2498</v>
      </c>
      <c r="Q17" s="84" t="s">
        <v>2541</v>
      </c>
      <c r="R17" s="84" t="s">
        <v>2591</v>
      </c>
      <c r="S17" s="84" t="s">
        <v>2622</v>
      </c>
    </row>
    <row r="18" spans="1:19" ht="14.25" customHeight="1">
      <c r="A18" s="84" t="s">
        <v>251</v>
      </c>
      <c r="B18" s="85" t="s">
        <v>2268</v>
      </c>
      <c r="C18" s="84">
        <v>26840</v>
      </c>
      <c r="D18" s="84">
        <v>28930</v>
      </c>
      <c r="E18" s="84">
        <v>28820</v>
      </c>
      <c r="F18" s="84"/>
      <c r="G18" s="84">
        <v>21050</v>
      </c>
      <c r="H18" s="83"/>
      <c r="J18" s="85" t="s">
        <v>2276</v>
      </c>
      <c r="K18" s="85" t="s">
        <v>2296</v>
      </c>
      <c r="L18" s="84" t="s">
        <v>2321</v>
      </c>
      <c r="M18" s="84" t="s">
        <v>2353</v>
      </c>
      <c r="N18" s="84" t="s">
        <v>2392</v>
      </c>
      <c r="O18" s="84" t="s">
        <v>2455</v>
      </c>
      <c r="P18" s="84" t="s">
        <v>2499</v>
      </c>
      <c r="Q18" s="84" t="s">
        <v>2542</v>
      </c>
      <c r="R18" s="84" t="s">
        <v>2592</v>
      </c>
      <c r="S18" s="84" t="s">
        <v>2623</v>
      </c>
    </row>
    <row r="19" spans="1:19" ht="14.25" customHeight="1">
      <c r="A19" s="84" t="s">
        <v>251</v>
      </c>
      <c r="B19" s="85" t="s">
        <v>2269</v>
      </c>
      <c r="C19" s="84">
        <v>27750</v>
      </c>
      <c r="D19" s="84">
        <v>26680</v>
      </c>
      <c r="E19" s="84">
        <v>26590</v>
      </c>
      <c r="F19" s="84"/>
      <c r="G19" s="84">
        <v>19420</v>
      </c>
      <c r="H19" s="83"/>
      <c r="J19" s="85" t="s">
        <v>2277</v>
      </c>
      <c r="K19" s="85" t="s">
        <v>2297</v>
      </c>
      <c r="L19" s="84" t="s">
        <v>2322</v>
      </c>
      <c r="M19" s="84" t="s">
        <v>2354</v>
      </c>
      <c r="N19" s="84" t="s">
        <v>2393</v>
      </c>
      <c r="O19" s="84" t="s">
        <v>2456</v>
      </c>
      <c r="P19" s="84" t="s">
        <v>2500</v>
      </c>
      <c r="Q19" s="84" t="s">
        <v>2543</v>
      </c>
      <c r="R19" s="84" t="s">
        <v>2593</v>
      </c>
      <c r="S19" s="84" t="s">
        <v>2624</v>
      </c>
    </row>
    <row r="20" spans="1:19" ht="14.25" customHeight="1">
      <c r="A20" s="84" t="s">
        <v>251</v>
      </c>
      <c r="B20" s="85" t="s">
        <v>2270</v>
      </c>
      <c r="C20" s="84">
        <v>27050</v>
      </c>
      <c r="D20" s="84">
        <v>29010</v>
      </c>
      <c r="E20" s="84">
        <v>28910</v>
      </c>
      <c r="F20" s="84"/>
      <c r="G20" s="84">
        <v>21110</v>
      </c>
      <c r="J20" s="85" t="s">
        <v>2278</v>
      </c>
      <c r="K20" s="85" t="s">
        <v>2298</v>
      </c>
      <c r="L20" s="84" t="s">
        <v>2323</v>
      </c>
      <c r="M20" s="84" t="s">
        <v>2355</v>
      </c>
      <c r="N20" s="84" t="s">
        <v>2394</v>
      </c>
      <c r="O20" s="84" t="s">
        <v>2457</v>
      </c>
      <c r="P20" s="84" t="s">
        <v>2501</v>
      </c>
      <c r="Q20" s="84" t="s">
        <v>2544</v>
      </c>
      <c r="R20" s="84" t="s">
        <v>2594</v>
      </c>
      <c r="S20" s="84" t="s">
        <v>2625</v>
      </c>
    </row>
    <row r="21" spans="1:19" ht="14.25" customHeight="1">
      <c r="A21" s="84" t="s">
        <v>251</v>
      </c>
      <c r="B21" s="85" t="s">
        <v>2271</v>
      </c>
      <c r="C21" s="84">
        <v>32370</v>
      </c>
      <c r="D21" s="84">
        <v>26730</v>
      </c>
      <c r="E21" s="84">
        <v>26640</v>
      </c>
      <c r="F21" s="84"/>
      <c r="G21" s="84">
        <v>19440</v>
      </c>
      <c r="J21" s="90" t="s">
        <v>2279</v>
      </c>
      <c r="K21" s="85" t="s">
        <v>2299</v>
      </c>
      <c r="L21" s="84" t="s">
        <v>2324</v>
      </c>
      <c r="M21" s="84" t="s">
        <v>2356</v>
      </c>
      <c r="N21" s="84" t="s">
        <v>2395</v>
      </c>
      <c r="O21" s="84" t="s">
        <v>2458</v>
      </c>
      <c r="P21" s="84" t="s">
        <v>2502</v>
      </c>
      <c r="Q21" s="84" t="s">
        <v>2545</v>
      </c>
      <c r="R21" s="84" t="s">
        <v>2595</v>
      </c>
      <c r="S21" s="90" t="s">
        <v>2626</v>
      </c>
    </row>
    <row r="22" spans="1:19" ht="14.25" customHeight="1">
      <c r="A22" s="84" t="s">
        <v>251</v>
      </c>
      <c r="B22" s="85" t="s">
        <v>2272</v>
      </c>
      <c r="C22" s="84">
        <v>29830</v>
      </c>
      <c r="D22" s="84">
        <v>27600</v>
      </c>
      <c r="E22" s="84">
        <v>28150</v>
      </c>
      <c r="F22" s="84"/>
      <c r="G22" s="84">
        <v>20080</v>
      </c>
      <c r="K22" s="85" t="s">
        <v>2300</v>
      </c>
      <c r="L22" s="84" t="s">
        <v>2325</v>
      </c>
      <c r="M22" s="84" t="s">
        <v>2357</v>
      </c>
      <c r="N22" s="84" t="s">
        <v>2396</v>
      </c>
      <c r="O22" s="84" t="s">
        <v>2459</v>
      </c>
      <c r="P22" s="84" t="s">
        <v>2503</v>
      </c>
      <c r="Q22" s="84" t="s">
        <v>2546</v>
      </c>
      <c r="R22" s="84" t="s">
        <v>2596</v>
      </c>
    </row>
    <row r="23" spans="1:19" ht="14.25" customHeight="1">
      <c r="A23" s="84" t="s">
        <v>251</v>
      </c>
      <c r="B23" s="85" t="s">
        <v>2273</v>
      </c>
      <c r="C23" s="84">
        <v>27800</v>
      </c>
      <c r="D23" s="84">
        <v>26900</v>
      </c>
      <c r="E23" s="84">
        <v>27170</v>
      </c>
      <c r="F23" s="84"/>
      <c r="G23" s="84">
        <v>19570</v>
      </c>
      <c r="K23" s="85" t="s">
        <v>2301</v>
      </c>
      <c r="L23" s="84" t="s">
        <v>2326</v>
      </c>
      <c r="M23" s="84" t="s">
        <v>2358</v>
      </c>
      <c r="N23" s="84" t="s">
        <v>2397</v>
      </c>
      <c r="O23" s="84" t="s">
        <v>2460</v>
      </c>
      <c r="P23" s="84" t="s">
        <v>2504</v>
      </c>
      <c r="Q23" s="84" t="s">
        <v>2547</v>
      </c>
      <c r="R23" s="84" t="s">
        <v>2597</v>
      </c>
    </row>
    <row r="24" spans="1:19" ht="14.25" customHeight="1">
      <c r="A24" s="84" t="s">
        <v>251</v>
      </c>
      <c r="B24" s="85" t="s">
        <v>2274</v>
      </c>
      <c r="C24" s="84">
        <v>27930</v>
      </c>
      <c r="D24" s="84">
        <v>32260</v>
      </c>
      <c r="E24" s="84">
        <v>32120</v>
      </c>
      <c r="F24" s="84"/>
      <c r="G24" s="84">
        <v>23470</v>
      </c>
      <c r="K24" s="85" t="s">
        <v>2302</v>
      </c>
      <c r="L24" s="84" t="s">
        <v>2327</v>
      </c>
      <c r="M24" s="84" t="s">
        <v>2359</v>
      </c>
      <c r="N24" s="84" t="s">
        <v>2398</v>
      </c>
      <c r="O24" s="84" t="s">
        <v>2461</v>
      </c>
      <c r="P24" s="84" t="s">
        <v>2505</v>
      </c>
      <c r="Q24" s="92" t="s">
        <v>2548</v>
      </c>
      <c r="R24" s="84" t="s">
        <v>2598</v>
      </c>
    </row>
    <row r="25" spans="1:19" ht="14.25" customHeight="1">
      <c r="A25" s="84" t="s">
        <v>251</v>
      </c>
      <c r="B25" s="85" t="s">
        <v>2275</v>
      </c>
      <c r="C25" s="84">
        <v>32230</v>
      </c>
      <c r="D25" s="84">
        <v>29640</v>
      </c>
      <c r="E25" s="84">
        <v>29510</v>
      </c>
      <c r="F25" s="84"/>
      <c r="G25" s="84">
        <v>21560</v>
      </c>
      <c r="K25" s="85" t="s">
        <v>2303</v>
      </c>
      <c r="L25" s="84" t="s">
        <v>2328</v>
      </c>
      <c r="M25" s="84" t="s">
        <v>2360</v>
      </c>
      <c r="N25" s="84" t="s">
        <v>2399</v>
      </c>
      <c r="O25" s="84" t="s">
        <v>2462</v>
      </c>
      <c r="P25" s="84" t="s">
        <v>2506</v>
      </c>
      <c r="Q25" s="92" t="s">
        <v>2549</v>
      </c>
      <c r="R25" s="84" t="s">
        <v>2599</v>
      </c>
    </row>
    <row r="26" spans="1:19" ht="14.25" customHeight="1">
      <c r="A26" s="84" t="s">
        <v>251</v>
      </c>
      <c r="B26" s="85" t="s">
        <v>2276</v>
      </c>
      <c r="C26" s="84">
        <v>31690</v>
      </c>
      <c r="D26" s="84">
        <v>27650</v>
      </c>
      <c r="E26" s="84">
        <v>28200</v>
      </c>
      <c r="F26" s="84"/>
      <c r="G26" s="84">
        <v>20110</v>
      </c>
      <c r="K26" s="89" t="s">
        <v>2304</v>
      </c>
      <c r="L26" s="84" t="s">
        <v>2329</v>
      </c>
      <c r="M26" s="84" t="s">
        <v>2361</v>
      </c>
      <c r="N26" s="84" t="s">
        <v>2400</v>
      </c>
      <c r="O26" s="84" t="s">
        <v>2463</v>
      </c>
      <c r="P26" s="84" t="s">
        <v>2507</v>
      </c>
      <c r="Q26" s="92" t="s">
        <v>2550</v>
      </c>
      <c r="R26" s="84" t="s">
        <v>2600</v>
      </c>
    </row>
    <row r="27" spans="1:19" ht="14.25" customHeight="1">
      <c r="A27" s="84" t="s">
        <v>251</v>
      </c>
      <c r="B27" s="85" t="s">
        <v>2277</v>
      </c>
      <c r="C27" s="84">
        <v>29610</v>
      </c>
      <c r="D27" s="84">
        <v>27770</v>
      </c>
      <c r="E27" s="84">
        <v>28300</v>
      </c>
      <c r="F27" s="84"/>
      <c r="G27" s="84">
        <v>20210</v>
      </c>
      <c r="L27" s="84" t="s">
        <v>2330</v>
      </c>
      <c r="M27" s="84" t="s">
        <v>2362</v>
      </c>
      <c r="N27" s="84" t="s">
        <v>2401</v>
      </c>
      <c r="O27" s="84" t="s">
        <v>2464</v>
      </c>
      <c r="P27" s="84" t="s">
        <v>2508</v>
      </c>
      <c r="Q27" s="84" t="s">
        <v>2551</v>
      </c>
      <c r="R27" s="84" t="s">
        <v>2601</v>
      </c>
    </row>
    <row r="28" spans="1:19" ht="14.25" customHeight="1">
      <c r="A28" s="84" t="s">
        <v>251</v>
      </c>
      <c r="B28" s="85" t="s">
        <v>2278</v>
      </c>
      <c r="C28" s="84"/>
      <c r="D28" s="84">
        <v>31520</v>
      </c>
      <c r="E28" s="84">
        <v>31410</v>
      </c>
      <c r="F28" s="84"/>
      <c r="G28" s="84">
        <v>22940</v>
      </c>
      <c r="L28" s="84" t="s">
        <v>2331</v>
      </c>
      <c r="M28" s="84" t="s">
        <v>2363</v>
      </c>
      <c r="N28" s="84" t="s">
        <v>2402</v>
      </c>
      <c r="O28" s="84" t="s">
        <v>2465</v>
      </c>
      <c r="P28" s="84" t="s">
        <v>2509</v>
      </c>
      <c r="Q28" s="84" t="s">
        <v>2552</v>
      </c>
      <c r="R28" s="84" t="s">
        <v>2602</v>
      </c>
    </row>
    <row r="29" spans="1:19" ht="14.25" customHeight="1">
      <c r="A29" s="91" t="s">
        <v>251</v>
      </c>
      <c r="B29" s="93" t="s">
        <v>2279</v>
      </c>
      <c r="C29" s="94"/>
      <c r="D29" s="94">
        <v>29460</v>
      </c>
      <c r="E29" s="94">
        <v>28640</v>
      </c>
      <c r="F29" s="94"/>
      <c r="G29" s="94">
        <v>21430</v>
      </c>
      <c r="L29" s="84" t="s">
        <v>2332</v>
      </c>
      <c r="M29" s="84" t="s">
        <v>2364</v>
      </c>
      <c r="N29" s="84" t="s">
        <v>2403</v>
      </c>
      <c r="O29" s="84" t="s">
        <v>2466</v>
      </c>
      <c r="P29" s="84" t="s">
        <v>2510</v>
      </c>
      <c r="Q29" s="84" t="s">
        <v>2553</v>
      </c>
      <c r="R29" s="84" t="s">
        <v>2603</v>
      </c>
    </row>
    <row r="30" spans="1:19" ht="14.25" customHeight="1">
      <c r="A30" s="88" t="s">
        <v>264</v>
      </c>
      <c r="B30" s="80" t="s">
        <v>2280</v>
      </c>
      <c r="C30" s="80">
        <v>26890</v>
      </c>
      <c r="D30" s="80">
        <v>26770</v>
      </c>
      <c r="E30" s="80">
        <v>25700</v>
      </c>
      <c r="F30" s="80">
        <v>8180</v>
      </c>
      <c r="G30" s="95">
        <v>18740</v>
      </c>
      <c r="L30" s="84" t="s">
        <v>2333</v>
      </c>
      <c r="M30" s="84" t="s">
        <v>2365</v>
      </c>
      <c r="N30" s="84" t="s">
        <v>2404</v>
      </c>
      <c r="O30" s="84" t="s">
        <v>2467</v>
      </c>
      <c r="P30" s="84" t="s">
        <v>2511</v>
      </c>
      <c r="Q30" s="84" t="s">
        <v>2554</v>
      </c>
      <c r="R30" s="84" t="s">
        <v>2604</v>
      </c>
    </row>
    <row r="31" spans="1:19" ht="14.25" customHeight="1">
      <c r="A31" s="84" t="s">
        <v>264</v>
      </c>
      <c r="B31" s="85" t="s">
        <v>2281</v>
      </c>
      <c r="C31" s="84">
        <v>24550</v>
      </c>
      <c r="D31" s="84">
        <v>23990</v>
      </c>
      <c r="E31" s="84">
        <v>22930</v>
      </c>
      <c r="F31" s="84">
        <v>7470</v>
      </c>
      <c r="G31" s="96">
        <v>16790</v>
      </c>
      <c r="L31" s="84" t="s">
        <v>2334</v>
      </c>
      <c r="M31" s="84" t="s">
        <v>2366</v>
      </c>
      <c r="N31" s="84" t="s">
        <v>2405</v>
      </c>
      <c r="O31" s="84" t="s">
        <v>2468</v>
      </c>
      <c r="P31" s="84" t="s">
        <v>2512</v>
      </c>
      <c r="Q31" s="84" t="s">
        <v>2555</v>
      </c>
      <c r="R31" s="84" t="s">
        <v>2605</v>
      </c>
    </row>
    <row r="32" spans="1:19" ht="14.25" customHeight="1">
      <c r="A32" s="84" t="s">
        <v>264</v>
      </c>
      <c r="B32" s="85" t="s">
        <v>2282</v>
      </c>
      <c r="C32" s="84">
        <v>27210</v>
      </c>
      <c r="D32" s="84">
        <v>23240</v>
      </c>
      <c r="E32" s="84">
        <v>23260</v>
      </c>
      <c r="F32" s="84">
        <v>7130</v>
      </c>
      <c r="G32" s="96">
        <v>16270</v>
      </c>
      <c r="L32" s="84" t="s">
        <v>2335</v>
      </c>
      <c r="M32" s="84" t="s">
        <v>2367</v>
      </c>
      <c r="N32" s="84" t="s">
        <v>2406</v>
      </c>
      <c r="O32" s="84" t="s">
        <v>2469</v>
      </c>
      <c r="P32" s="84" t="s">
        <v>2513</v>
      </c>
      <c r="Q32" s="84" t="s">
        <v>2556</v>
      </c>
      <c r="R32" s="90" t="s">
        <v>2606</v>
      </c>
    </row>
    <row r="33" spans="1:17" ht="14.25" customHeight="1">
      <c r="A33" s="84" t="s">
        <v>264</v>
      </c>
      <c r="B33" s="85" t="s">
        <v>2283</v>
      </c>
      <c r="C33" s="84">
        <v>27300</v>
      </c>
      <c r="D33" s="84">
        <v>22980</v>
      </c>
      <c r="E33" s="84">
        <v>24260</v>
      </c>
      <c r="F33" s="84">
        <v>5860</v>
      </c>
      <c r="G33" s="96">
        <v>16090</v>
      </c>
      <c r="L33" s="90" t="s">
        <v>2336</v>
      </c>
      <c r="M33" s="84" t="s">
        <v>2368</v>
      </c>
      <c r="N33" s="84" t="s">
        <v>2407</v>
      </c>
      <c r="O33" s="84" t="s">
        <v>2470</v>
      </c>
      <c r="P33" s="84" t="s">
        <v>2514</v>
      </c>
      <c r="Q33" s="84" t="s">
        <v>2557</v>
      </c>
    </row>
    <row r="34" spans="1:17" ht="14.25" customHeight="1">
      <c r="A34" s="84" t="s">
        <v>264</v>
      </c>
      <c r="B34" s="85" t="s">
        <v>2284</v>
      </c>
      <c r="C34" s="84">
        <v>23090</v>
      </c>
      <c r="D34" s="84">
        <v>23390</v>
      </c>
      <c r="E34" s="84">
        <v>23510</v>
      </c>
      <c r="F34" s="84">
        <v>6700</v>
      </c>
      <c r="G34" s="96">
        <v>16370</v>
      </c>
      <c r="M34" s="84" t="s">
        <v>2369</v>
      </c>
      <c r="N34" s="84" t="s">
        <v>2408</v>
      </c>
      <c r="O34" s="84" t="s">
        <v>2471</v>
      </c>
      <c r="P34" s="84" t="s">
        <v>2515</v>
      </c>
      <c r="Q34" s="84" t="s">
        <v>2558</v>
      </c>
    </row>
    <row r="35" spans="1:17" ht="14.25" customHeight="1">
      <c r="A35" s="84" t="s">
        <v>264</v>
      </c>
      <c r="B35" s="85" t="s">
        <v>2285</v>
      </c>
      <c r="C35" s="84">
        <v>27270</v>
      </c>
      <c r="D35" s="84">
        <v>24270</v>
      </c>
      <c r="E35" s="84">
        <v>24950</v>
      </c>
      <c r="F35" s="84">
        <v>6600</v>
      </c>
      <c r="G35" s="96">
        <v>16990</v>
      </c>
      <c r="M35" s="84" t="s">
        <v>2370</v>
      </c>
      <c r="N35" s="84" t="s">
        <v>2409</v>
      </c>
      <c r="O35" s="84" t="s">
        <v>2472</v>
      </c>
      <c r="P35" s="84" t="s">
        <v>2516</v>
      </c>
      <c r="Q35" s="84" t="s">
        <v>2559</v>
      </c>
    </row>
    <row r="36" spans="1:17" ht="14.25" customHeight="1">
      <c r="A36" s="84" t="s">
        <v>264</v>
      </c>
      <c r="B36" s="85" t="s">
        <v>2286</v>
      </c>
      <c r="C36" s="84">
        <v>23490</v>
      </c>
      <c r="D36" s="84">
        <v>23020</v>
      </c>
      <c r="E36" s="84">
        <v>25230</v>
      </c>
      <c r="F36" s="84">
        <v>6780</v>
      </c>
      <c r="G36" s="96">
        <v>16120</v>
      </c>
      <c r="M36" s="84" t="s">
        <v>2371</v>
      </c>
      <c r="N36" s="84" t="s">
        <v>2410</v>
      </c>
      <c r="O36" s="84" t="s">
        <v>2473</v>
      </c>
      <c r="P36" s="84" t="s">
        <v>2517</v>
      </c>
      <c r="Q36" s="84" t="s">
        <v>2560</v>
      </c>
    </row>
    <row r="37" spans="1:17" ht="14.25" customHeight="1">
      <c r="A37" s="84" t="s">
        <v>264</v>
      </c>
      <c r="B37" s="85" t="s">
        <v>2287</v>
      </c>
      <c r="C37" s="84">
        <v>24380</v>
      </c>
      <c r="D37" s="84">
        <v>22240</v>
      </c>
      <c r="E37" s="84">
        <v>25980</v>
      </c>
      <c r="F37" s="84">
        <v>8160</v>
      </c>
      <c r="G37" s="96">
        <v>15570</v>
      </c>
      <c r="M37" s="84" t="s">
        <v>2372</v>
      </c>
      <c r="N37" s="84" t="s">
        <v>2411</v>
      </c>
      <c r="O37" s="84" t="s">
        <v>2474</v>
      </c>
      <c r="P37" s="84" t="s">
        <v>2518</v>
      </c>
      <c r="Q37" s="84" t="s">
        <v>2561</v>
      </c>
    </row>
    <row r="38" spans="1:17" ht="14.25" customHeight="1">
      <c r="A38" s="84" t="s">
        <v>264</v>
      </c>
      <c r="B38" s="85" t="s">
        <v>2288</v>
      </c>
      <c r="C38" s="84">
        <v>23120</v>
      </c>
      <c r="D38" s="84">
        <v>24630</v>
      </c>
      <c r="E38" s="84">
        <v>25030</v>
      </c>
      <c r="F38" s="84">
        <v>7710</v>
      </c>
      <c r="G38" s="96">
        <v>17240</v>
      </c>
      <c r="M38" s="84" t="s">
        <v>2373</v>
      </c>
      <c r="N38" s="84" t="s">
        <v>2412</v>
      </c>
      <c r="O38" s="84" t="s">
        <v>2475</v>
      </c>
      <c r="P38" s="84" t="s">
        <v>2519</v>
      </c>
      <c r="Q38" s="84" t="s">
        <v>2562</v>
      </c>
    </row>
    <row r="39" spans="1:17" ht="14.25" customHeight="1">
      <c r="A39" s="84" t="s">
        <v>264</v>
      </c>
      <c r="B39" s="85" t="s">
        <v>2289</v>
      </c>
      <c r="C39" s="84">
        <v>22330</v>
      </c>
      <c r="D39" s="84">
        <v>21140</v>
      </c>
      <c r="E39" s="84">
        <v>23970</v>
      </c>
      <c r="F39" s="84">
        <v>7940</v>
      </c>
      <c r="G39" s="96">
        <v>14790</v>
      </c>
      <c r="M39" s="84" t="s">
        <v>2374</v>
      </c>
      <c r="N39" s="84" t="s">
        <v>2413</v>
      </c>
      <c r="O39" s="84" t="s">
        <v>2763</v>
      </c>
      <c r="P39" s="84" t="s">
        <v>2520</v>
      </c>
      <c r="Q39" s="84" t="s">
        <v>2563</v>
      </c>
    </row>
    <row r="40" spans="1:17" ht="14.25" customHeight="1">
      <c r="A40" s="84" t="s">
        <v>264</v>
      </c>
      <c r="B40" s="85" t="s">
        <v>2290</v>
      </c>
      <c r="C40" s="84">
        <v>24740</v>
      </c>
      <c r="D40" s="84">
        <v>24690</v>
      </c>
      <c r="E40" s="84">
        <v>22610</v>
      </c>
      <c r="F40" s="84"/>
      <c r="G40" s="96">
        <v>17280</v>
      </c>
      <c r="M40" s="84" t="s">
        <v>2375</v>
      </c>
      <c r="N40" s="84" t="s">
        <v>2414</v>
      </c>
      <c r="O40" s="84" t="s">
        <v>2764</v>
      </c>
      <c r="P40" s="84" t="s">
        <v>2521</v>
      </c>
      <c r="Q40" s="84" t="s">
        <v>2564</v>
      </c>
    </row>
    <row r="41" spans="1:17" ht="14.25" customHeight="1">
      <c r="A41" s="84" t="s">
        <v>264</v>
      </c>
      <c r="B41" s="85" t="s">
        <v>2291</v>
      </c>
      <c r="C41" s="84">
        <v>21220</v>
      </c>
      <c r="D41" s="84">
        <v>21120</v>
      </c>
      <c r="E41" s="84">
        <v>22590</v>
      </c>
      <c r="F41" s="84"/>
      <c r="G41" s="96">
        <v>14780</v>
      </c>
      <c r="M41" s="90" t="s">
        <v>2376</v>
      </c>
      <c r="N41" s="84" t="s">
        <v>2415</v>
      </c>
      <c r="O41" s="84" t="s">
        <v>2765</v>
      </c>
      <c r="P41" s="84" t="s">
        <v>2522</v>
      </c>
      <c r="Q41" s="84" t="s">
        <v>2565</v>
      </c>
    </row>
    <row r="42" spans="1:17" ht="14.25" customHeight="1">
      <c r="A42" s="84" t="s">
        <v>264</v>
      </c>
      <c r="B42" s="85" t="s">
        <v>2292</v>
      </c>
      <c r="C42" s="84">
        <v>24800</v>
      </c>
      <c r="D42" s="84">
        <v>22280</v>
      </c>
      <c r="E42" s="84">
        <v>24350</v>
      </c>
      <c r="F42" s="84"/>
      <c r="G42" s="96">
        <v>15590</v>
      </c>
      <c r="N42" s="84" t="s">
        <v>2416</v>
      </c>
      <c r="O42" s="84" t="s">
        <v>2479</v>
      </c>
      <c r="P42" s="84" t="s">
        <v>2523</v>
      </c>
      <c r="Q42" s="84" t="s">
        <v>2566</v>
      </c>
    </row>
    <row r="43" spans="1:17" ht="14.25" customHeight="1">
      <c r="A43" s="84" t="s">
        <v>264</v>
      </c>
      <c r="B43" s="85" t="s">
        <v>2293</v>
      </c>
      <c r="C43" s="84">
        <v>21210</v>
      </c>
      <c r="D43" s="84">
        <v>21160</v>
      </c>
      <c r="E43" s="84">
        <v>22650</v>
      </c>
      <c r="F43" s="84"/>
      <c r="G43" s="96">
        <v>14800</v>
      </c>
      <c r="N43" s="84" t="s">
        <v>2417</v>
      </c>
      <c r="O43" s="84" t="s">
        <v>2480</v>
      </c>
      <c r="P43" s="84" t="s">
        <v>2524</v>
      </c>
      <c r="Q43" s="84" t="s">
        <v>2567</v>
      </c>
    </row>
    <row r="44" spans="1:17" ht="14.25" customHeight="1">
      <c r="A44" s="84" t="s">
        <v>264</v>
      </c>
      <c r="B44" s="85" t="s">
        <v>2294</v>
      </c>
      <c r="C44" s="84">
        <v>22370</v>
      </c>
      <c r="D44" s="84">
        <v>23140</v>
      </c>
      <c r="E44" s="84">
        <v>25090</v>
      </c>
      <c r="F44" s="84"/>
      <c r="G44" s="96">
        <v>16190</v>
      </c>
      <c r="N44" s="84" t="s">
        <v>2418</v>
      </c>
      <c r="O44" s="84" t="s">
        <v>2766</v>
      </c>
      <c r="P44" s="90" t="s">
        <v>2525</v>
      </c>
      <c r="Q44" s="84" t="s">
        <v>2568</v>
      </c>
    </row>
    <row r="45" spans="1:17" ht="14.25" customHeight="1">
      <c r="A45" s="84" t="s">
        <v>264</v>
      </c>
      <c r="B45" s="85" t="s">
        <v>2295</v>
      </c>
      <c r="C45" s="84">
        <v>21240</v>
      </c>
      <c r="D45" s="84">
        <v>27050</v>
      </c>
      <c r="E45" s="84">
        <v>28000</v>
      </c>
      <c r="F45" s="84"/>
      <c r="G45" s="96">
        <v>18940</v>
      </c>
      <c r="N45" s="84" t="s">
        <v>2419</v>
      </c>
      <c r="O45" s="90" t="s">
        <v>2482</v>
      </c>
      <c r="Q45" s="84" t="s">
        <v>2569</v>
      </c>
    </row>
    <row r="46" spans="1:17" ht="14.25" customHeight="1">
      <c r="A46" s="84" t="s">
        <v>264</v>
      </c>
      <c r="B46" s="85" t="s">
        <v>2296</v>
      </c>
      <c r="C46" s="84">
        <v>23240</v>
      </c>
      <c r="D46" s="84">
        <v>23000</v>
      </c>
      <c r="E46" s="84">
        <v>24980</v>
      </c>
      <c r="F46" s="84"/>
      <c r="G46" s="96">
        <v>16100</v>
      </c>
      <c r="N46" s="84" t="s">
        <v>2420</v>
      </c>
      <c r="Q46" s="84" t="s">
        <v>2570</v>
      </c>
    </row>
    <row r="47" spans="1:17" ht="14.25" customHeight="1">
      <c r="A47" s="84" t="s">
        <v>264</v>
      </c>
      <c r="B47" s="85" t="s">
        <v>2297</v>
      </c>
      <c r="C47" s="84">
        <v>27150</v>
      </c>
      <c r="D47" s="84">
        <v>23310</v>
      </c>
      <c r="E47" s="84">
        <v>25150</v>
      </c>
      <c r="F47" s="84"/>
      <c r="G47" s="96">
        <v>16310</v>
      </c>
      <c r="N47" s="84" t="s">
        <v>2421</v>
      </c>
      <c r="Q47" s="84" t="s">
        <v>2571</v>
      </c>
    </row>
    <row r="48" spans="1:17" ht="14.25" customHeight="1">
      <c r="A48" s="84" t="s">
        <v>264</v>
      </c>
      <c r="B48" s="85" t="s">
        <v>2298</v>
      </c>
      <c r="C48" s="84">
        <v>23100</v>
      </c>
      <c r="D48" s="84">
        <v>21110</v>
      </c>
      <c r="E48" s="84">
        <v>23080</v>
      </c>
      <c r="F48" s="84"/>
      <c r="G48" s="96">
        <v>14780</v>
      </c>
      <c r="N48" s="84" t="s">
        <v>2422</v>
      </c>
      <c r="Q48" s="84" t="s">
        <v>2572</v>
      </c>
    </row>
    <row r="49" spans="1:17" ht="14.25" customHeight="1">
      <c r="A49" s="84" t="s">
        <v>264</v>
      </c>
      <c r="B49" s="85" t="s">
        <v>2299</v>
      </c>
      <c r="C49" s="84">
        <v>23400</v>
      </c>
      <c r="D49" s="84">
        <v>22920</v>
      </c>
      <c r="E49" s="84">
        <v>24900</v>
      </c>
      <c r="F49" s="84"/>
      <c r="G49" s="96">
        <v>16040</v>
      </c>
      <c r="N49" s="84" t="s">
        <v>2423</v>
      </c>
      <c r="Q49" s="84" t="s">
        <v>2573</v>
      </c>
    </row>
    <row r="50" spans="1:17" ht="14.25" customHeight="1">
      <c r="A50" s="84" t="s">
        <v>264</v>
      </c>
      <c r="B50" s="85" t="s">
        <v>2300</v>
      </c>
      <c r="C50" s="84">
        <v>21200</v>
      </c>
      <c r="D50" s="84">
        <v>26540</v>
      </c>
      <c r="E50" s="84">
        <v>23200</v>
      </c>
      <c r="F50" s="84"/>
      <c r="G50" s="96">
        <v>18580</v>
      </c>
      <c r="N50" s="84" t="s">
        <v>2424</v>
      </c>
      <c r="Q50" s="85" t="s">
        <v>2574</v>
      </c>
    </row>
    <row r="51" spans="1:17" ht="14.25" customHeight="1">
      <c r="A51" s="84" t="s">
        <v>264</v>
      </c>
      <c r="B51" s="85" t="s">
        <v>2301</v>
      </c>
      <c r="C51" s="84">
        <v>23000</v>
      </c>
      <c r="D51" s="84">
        <v>23460</v>
      </c>
      <c r="E51" s="84">
        <v>25290</v>
      </c>
      <c r="F51" s="84"/>
      <c r="G51" s="96">
        <v>16420</v>
      </c>
      <c r="N51" s="84" t="s">
        <v>2425</v>
      </c>
      <c r="Q51" s="90" t="s">
        <v>2575</v>
      </c>
    </row>
    <row r="52" spans="1:17" ht="14.25" customHeight="1">
      <c r="A52" s="84" t="s">
        <v>264</v>
      </c>
      <c r="B52" s="85" t="s">
        <v>2302</v>
      </c>
      <c r="C52" s="84">
        <v>26660</v>
      </c>
      <c r="D52" s="84">
        <v>22350</v>
      </c>
      <c r="E52" s="84">
        <v>22920</v>
      </c>
      <c r="F52" s="84"/>
      <c r="G52" s="96">
        <v>15640</v>
      </c>
      <c r="N52" s="84" t="s">
        <v>2426</v>
      </c>
    </row>
    <row r="53" spans="1:17" ht="14.25" customHeight="1">
      <c r="A53" s="84" t="s">
        <v>264</v>
      </c>
      <c r="B53" s="85" t="s">
        <v>2303</v>
      </c>
      <c r="C53" s="84">
        <v>23580</v>
      </c>
      <c r="D53" s="84"/>
      <c r="E53" s="84">
        <v>24280</v>
      </c>
      <c r="F53" s="84"/>
      <c r="G53" s="96"/>
      <c r="N53" s="84" t="s">
        <v>2427</v>
      </c>
    </row>
    <row r="54" spans="1:17" ht="14.25" customHeight="1">
      <c r="A54" s="97" t="s">
        <v>264</v>
      </c>
      <c r="B54" s="89" t="s">
        <v>2304</v>
      </c>
      <c r="C54" s="90">
        <v>22460</v>
      </c>
      <c r="D54" s="90"/>
      <c r="E54" s="90"/>
      <c r="F54" s="90"/>
      <c r="G54" s="98"/>
      <c r="N54" s="84" t="s">
        <v>2428</v>
      </c>
    </row>
    <row r="55" spans="1:17" ht="14.25" customHeight="1">
      <c r="A55" s="88" t="s">
        <v>275</v>
      </c>
      <c r="B55" s="80" t="s">
        <v>2305</v>
      </c>
      <c r="C55" s="84">
        <v>21970</v>
      </c>
      <c r="D55" s="84">
        <v>20370</v>
      </c>
      <c r="E55" s="84">
        <v>20180</v>
      </c>
      <c r="F55" s="84">
        <v>5730</v>
      </c>
      <c r="G55" s="84">
        <v>13820</v>
      </c>
      <c r="N55" s="84" t="s">
        <v>2429</v>
      </c>
    </row>
    <row r="56" spans="1:17" ht="14.25" customHeight="1">
      <c r="A56" s="84" t="s">
        <v>275</v>
      </c>
      <c r="B56" s="84" t="s">
        <v>2306</v>
      </c>
      <c r="C56" s="84">
        <v>20470</v>
      </c>
      <c r="D56" s="84">
        <v>20700</v>
      </c>
      <c r="E56" s="84">
        <v>20380</v>
      </c>
      <c r="F56" s="84">
        <v>4760</v>
      </c>
      <c r="G56" s="84">
        <v>14050</v>
      </c>
      <c r="N56" s="84" t="s">
        <v>2430</v>
      </c>
    </row>
    <row r="57" spans="1:17" ht="14.25" customHeight="1">
      <c r="A57" s="84" t="s">
        <v>275</v>
      </c>
      <c r="B57" s="84" t="s">
        <v>2307</v>
      </c>
      <c r="C57" s="84">
        <v>20790</v>
      </c>
      <c r="D57" s="84">
        <v>21370</v>
      </c>
      <c r="E57" s="84">
        <v>20890</v>
      </c>
      <c r="F57" s="84">
        <v>4910</v>
      </c>
      <c r="G57" s="84">
        <v>14510</v>
      </c>
      <c r="N57" s="84" t="s">
        <v>2431</v>
      </c>
    </row>
    <row r="58" spans="1:17" ht="14.25" customHeight="1">
      <c r="A58" s="84" t="s">
        <v>275</v>
      </c>
      <c r="B58" s="84" t="s">
        <v>2308</v>
      </c>
      <c r="C58" s="84">
        <v>21460</v>
      </c>
      <c r="D58" s="84">
        <v>20920</v>
      </c>
      <c r="E58" s="84">
        <v>23410</v>
      </c>
      <c r="F58" s="84">
        <v>5100</v>
      </c>
      <c r="G58" s="84">
        <v>14200</v>
      </c>
      <c r="N58" s="84" t="s">
        <v>2432</v>
      </c>
    </row>
    <row r="59" spans="1:17" ht="14.25" customHeight="1">
      <c r="A59" s="84" t="s">
        <v>275</v>
      </c>
      <c r="B59" s="84" t="s">
        <v>2309</v>
      </c>
      <c r="C59" s="84">
        <v>21000</v>
      </c>
      <c r="D59" s="84">
        <v>21550</v>
      </c>
      <c r="E59" s="84">
        <v>21150</v>
      </c>
      <c r="F59" s="84">
        <v>5250</v>
      </c>
      <c r="G59" s="84">
        <v>14630</v>
      </c>
      <c r="N59" s="84" t="s">
        <v>2433</v>
      </c>
    </row>
    <row r="60" spans="1:17" ht="14.25" customHeight="1">
      <c r="A60" s="84" t="s">
        <v>275</v>
      </c>
      <c r="B60" s="84" t="s">
        <v>2310</v>
      </c>
      <c r="C60" s="84">
        <v>21640</v>
      </c>
      <c r="D60" s="84">
        <v>21260</v>
      </c>
      <c r="E60" s="84">
        <v>24040</v>
      </c>
      <c r="F60" s="84">
        <v>4470</v>
      </c>
      <c r="G60" s="84">
        <v>14430</v>
      </c>
      <c r="N60" s="84" t="s">
        <v>2434</v>
      </c>
    </row>
    <row r="61" spans="1:17" ht="14.25" customHeight="1">
      <c r="A61" s="84" t="s">
        <v>275</v>
      </c>
      <c r="B61" s="84" t="s">
        <v>2311</v>
      </c>
      <c r="C61" s="84">
        <v>21330</v>
      </c>
      <c r="D61" s="84">
        <v>18640</v>
      </c>
      <c r="E61" s="84">
        <v>21190</v>
      </c>
      <c r="F61" s="84">
        <v>4180</v>
      </c>
      <c r="G61" s="84">
        <v>12650</v>
      </c>
      <c r="N61" s="84" t="s">
        <v>2435</v>
      </c>
    </row>
    <row r="62" spans="1:17" ht="14.25" customHeight="1">
      <c r="A62" s="84" t="s">
        <v>275</v>
      </c>
      <c r="B62" s="84" t="s">
        <v>2312</v>
      </c>
      <c r="C62" s="84">
        <v>18710</v>
      </c>
      <c r="D62" s="84">
        <v>19400</v>
      </c>
      <c r="E62" s="84">
        <v>23750</v>
      </c>
      <c r="F62" s="84">
        <v>4860</v>
      </c>
      <c r="G62" s="84">
        <v>13170</v>
      </c>
      <c r="N62" s="84" t="s">
        <v>2436</v>
      </c>
    </row>
    <row r="63" spans="1:17" ht="14.25" customHeight="1">
      <c r="A63" s="84" t="s">
        <v>275</v>
      </c>
      <c r="B63" s="84" t="s">
        <v>2313</v>
      </c>
      <c r="C63" s="84">
        <v>19480</v>
      </c>
      <c r="D63" s="84">
        <v>16830</v>
      </c>
      <c r="E63" s="84">
        <v>21590</v>
      </c>
      <c r="F63" s="84">
        <v>4560</v>
      </c>
      <c r="G63" s="84">
        <v>11420</v>
      </c>
      <c r="N63" s="84" t="s">
        <v>2437</v>
      </c>
    </row>
    <row r="64" spans="1:17" ht="14.25" customHeight="1">
      <c r="A64" s="84" t="s">
        <v>275</v>
      </c>
      <c r="B64" s="84" t="s">
        <v>2314</v>
      </c>
      <c r="C64" s="84">
        <v>16920</v>
      </c>
      <c r="D64" s="84">
        <v>19190</v>
      </c>
      <c r="E64" s="84">
        <v>22200</v>
      </c>
      <c r="F64" s="84">
        <v>4390</v>
      </c>
      <c r="G64" s="84">
        <v>13030</v>
      </c>
      <c r="N64" s="90" t="s">
        <v>2438</v>
      </c>
    </row>
    <row r="65" spans="1:7" s="73" customFormat="1" ht="14.25" customHeight="1">
      <c r="A65" s="84" t="s">
        <v>275</v>
      </c>
      <c r="B65" s="84" t="s">
        <v>2315</v>
      </c>
      <c r="C65" s="84">
        <v>19290</v>
      </c>
      <c r="D65" s="84">
        <v>17020</v>
      </c>
      <c r="E65" s="84">
        <v>19880</v>
      </c>
      <c r="F65" s="84">
        <v>4070</v>
      </c>
      <c r="G65" s="84">
        <v>11550</v>
      </c>
    </row>
    <row r="66" spans="1:7" s="73" customFormat="1" ht="14.25" customHeight="1">
      <c r="A66" s="84" t="s">
        <v>275</v>
      </c>
      <c r="B66" s="84" t="s">
        <v>2316</v>
      </c>
      <c r="C66" s="84">
        <v>17090</v>
      </c>
      <c r="D66" s="84">
        <v>18340</v>
      </c>
      <c r="E66" s="84">
        <v>21830</v>
      </c>
      <c r="F66" s="84">
        <v>4690</v>
      </c>
      <c r="G66" s="84">
        <v>12450</v>
      </c>
    </row>
    <row r="67" spans="1:7" s="73" customFormat="1" ht="14.25" customHeight="1">
      <c r="A67" s="84" t="s">
        <v>275</v>
      </c>
      <c r="B67" s="84" t="s">
        <v>2317</v>
      </c>
      <c r="C67" s="84">
        <v>18420</v>
      </c>
      <c r="D67" s="84">
        <v>16360</v>
      </c>
      <c r="E67" s="84">
        <v>20020</v>
      </c>
      <c r="F67" s="84">
        <v>5150</v>
      </c>
      <c r="G67" s="84">
        <v>11110</v>
      </c>
    </row>
    <row r="68" spans="1:7" s="73" customFormat="1" ht="14.25" customHeight="1">
      <c r="A68" s="84" t="s">
        <v>275</v>
      </c>
      <c r="B68" s="84" t="s">
        <v>2318</v>
      </c>
      <c r="C68" s="84">
        <v>16450</v>
      </c>
      <c r="D68" s="84">
        <v>18430</v>
      </c>
      <c r="E68" s="84">
        <v>21010</v>
      </c>
      <c r="F68" s="84">
        <v>4720</v>
      </c>
      <c r="G68" s="84">
        <v>12510</v>
      </c>
    </row>
    <row r="69" spans="1:7" s="73" customFormat="1" ht="14.25" customHeight="1">
      <c r="A69" s="84" t="s">
        <v>275</v>
      </c>
      <c r="B69" s="84" t="s">
        <v>2319</v>
      </c>
      <c r="C69" s="84">
        <v>18510</v>
      </c>
      <c r="D69" s="84">
        <v>16300</v>
      </c>
      <c r="E69" s="84">
        <v>18830</v>
      </c>
      <c r="F69" s="84">
        <v>5400</v>
      </c>
      <c r="G69" s="84">
        <v>11070</v>
      </c>
    </row>
    <row r="70" spans="1:7" s="73" customFormat="1" ht="14.25" customHeight="1">
      <c r="A70" s="84" t="s">
        <v>275</v>
      </c>
      <c r="B70" s="84" t="s">
        <v>2320</v>
      </c>
      <c r="C70" s="84">
        <v>16370</v>
      </c>
      <c r="D70" s="84">
        <v>18620</v>
      </c>
      <c r="E70" s="84">
        <v>21100</v>
      </c>
      <c r="F70" s="84">
        <v>5700</v>
      </c>
      <c r="G70" s="84">
        <v>12640</v>
      </c>
    </row>
    <row r="71" spans="1:7" s="73" customFormat="1" ht="14.25" customHeight="1">
      <c r="A71" s="84" t="s">
        <v>275</v>
      </c>
      <c r="B71" s="84" t="s">
        <v>2321</v>
      </c>
      <c r="C71" s="84">
        <v>18700</v>
      </c>
      <c r="D71" s="84">
        <v>16290</v>
      </c>
      <c r="E71" s="84">
        <v>18760</v>
      </c>
      <c r="F71" s="84">
        <v>4780</v>
      </c>
      <c r="G71" s="84">
        <v>11050</v>
      </c>
    </row>
    <row r="72" spans="1:7" s="73" customFormat="1" ht="14.25" customHeight="1">
      <c r="A72" s="84" t="s">
        <v>275</v>
      </c>
      <c r="B72" s="84" t="s">
        <v>2322</v>
      </c>
      <c r="C72" s="84">
        <v>16340</v>
      </c>
      <c r="D72" s="84">
        <v>17520</v>
      </c>
      <c r="E72" s="84">
        <v>21170</v>
      </c>
      <c r="F72" s="84"/>
      <c r="G72" s="84">
        <v>11900</v>
      </c>
    </row>
    <row r="73" spans="1:7" s="73" customFormat="1" ht="14.25" customHeight="1">
      <c r="A73" s="84" t="s">
        <v>275</v>
      </c>
      <c r="B73" s="84" t="s">
        <v>2323</v>
      </c>
      <c r="C73" s="84">
        <v>17610</v>
      </c>
      <c r="D73" s="84">
        <v>18520</v>
      </c>
      <c r="E73" s="84">
        <v>18720</v>
      </c>
      <c r="F73" s="84"/>
      <c r="G73" s="84">
        <v>12570</v>
      </c>
    </row>
    <row r="74" spans="1:7" s="73" customFormat="1" ht="14.25" customHeight="1">
      <c r="A74" s="84" t="s">
        <v>275</v>
      </c>
      <c r="B74" s="84" t="s">
        <v>2324</v>
      </c>
      <c r="C74" s="84">
        <v>18600</v>
      </c>
      <c r="D74" s="84">
        <v>16480</v>
      </c>
      <c r="E74" s="84">
        <v>20100</v>
      </c>
      <c r="F74" s="84"/>
      <c r="G74" s="84">
        <v>11190</v>
      </c>
    </row>
    <row r="75" spans="1:7" s="73" customFormat="1" ht="14.25" customHeight="1">
      <c r="A75" s="84" t="s">
        <v>275</v>
      </c>
      <c r="B75" s="84" t="s">
        <v>2325</v>
      </c>
      <c r="C75" s="84">
        <v>16570</v>
      </c>
      <c r="D75" s="84">
        <v>17530</v>
      </c>
      <c r="E75" s="84">
        <v>21030</v>
      </c>
      <c r="F75" s="84"/>
      <c r="G75" s="84">
        <v>11900</v>
      </c>
    </row>
    <row r="76" spans="1:7" s="73" customFormat="1" ht="14.25" customHeight="1">
      <c r="A76" s="84" t="s">
        <v>275</v>
      </c>
      <c r="B76" s="84" t="s">
        <v>2326</v>
      </c>
      <c r="C76" s="84">
        <v>17610</v>
      </c>
      <c r="D76" s="84">
        <v>20800</v>
      </c>
      <c r="E76" s="84">
        <v>18920</v>
      </c>
      <c r="F76" s="84"/>
      <c r="G76" s="84">
        <v>14120</v>
      </c>
    </row>
    <row r="77" spans="1:7" s="73" customFormat="1" ht="14.25" customHeight="1">
      <c r="A77" s="84" t="s">
        <v>275</v>
      </c>
      <c r="B77" s="84" t="s">
        <v>2327</v>
      </c>
      <c r="C77" s="84">
        <v>20890</v>
      </c>
      <c r="D77" s="84">
        <v>19740</v>
      </c>
      <c r="E77" s="84">
        <v>20110</v>
      </c>
      <c r="F77" s="84"/>
      <c r="G77" s="84">
        <v>13400</v>
      </c>
    </row>
    <row r="78" spans="1:7" s="73" customFormat="1" ht="14.25" customHeight="1">
      <c r="A78" s="84" t="s">
        <v>275</v>
      </c>
      <c r="B78" s="84" t="s">
        <v>2328</v>
      </c>
      <c r="C78" s="84">
        <v>19820</v>
      </c>
      <c r="D78" s="84">
        <v>19780</v>
      </c>
      <c r="E78" s="84">
        <v>18560</v>
      </c>
      <c r="F78" s="84"/>
      <c r="G78" s="84">
        <v>13430</v>
      </c>
    </row>
    <row r="79" spans="1:7" s="73" customFormat="1" ht="14.25" customHeight="1">
      <c r="A79" s="84" t="s">
        <v>275</v>
      </c>
      <c r="B79" s="84" t="s">
        <v>2329</v>
      </c>
      <c r="C79" s="84">
        <v>21660</v>
      </c>
      <c r="D79" s="84">
        <v>18000</v>
      </c>
      <c r="E79" s="84">
        <v>22570</v>
      </c>
      <c r="F79" s="84"/>
      <c r="G79" s="84">
        <v>12220</v>
      </c>
    </row>
    <row r="80" spans="1:7" s="73" customFormat="1" ht="14.25" customHeight="1">
      <c r="A80" s="84" t="s">
        <v>275</v>
      </c>
      <c r="B80" s="84" t="s">
        <v>2330</v>
      </c>
      <c r="C80" s="84">
        <v>19850</v>
      </c>
      <c r="D80" s="84"/>
      <c r="E80" s="84">
        <v>21700</v>
      </c>
      <c r="F80" s="84"/>
      <c r="G80" s="84"/>
    </row>
    <row r="81" spans="1:7" s="73" customFormat="1" ht="14.25" customHeight="1">
      <c r="A81" s="84" t="s">
        <v>275</v>
      </c>
      <c r="B81" s="84" t="s">
        <v>2331</v>
      </c>
      <c r="C81" s="84">
        <v>18080</v>
      </c>
      <c r="D81" s="84"/>
      <c r="E81" s="84">
        <v>20900</v>
      </c>
      <c r="F81" s="84"/>
      <c r="G81" s="84"/>
    </row>
    <row r="82" spans="1:7" s="73" customFormat="1" ht="14.25" customHeight="1">
      <c r="A82" s="84" t="s">
        <v>275</v>
      </c>
      <c r="B82" s="84" t="s">
        <v>2332</v>
      </c>
      <c r="C82" s="84"/>
      <c r="D82" s="84"/>
      <c r="E82" s="84">
        <v>20840</v>
      </c>
      <c r="F82" s="84"/>
      <c r="G82" s="84"/>
    </row>
    <row r="83" spans="1:7" s="73" customFormat="1" ht="14.25" customHeight="1">
      <c r="A83" s="84" t="s">
        <v>275</v>
      </c>
      <c r="B83" s="84" t="s">
        <v>2333</v>
      </c>
      <c r="C83" s="84"/>
      <c r="D83" s="84"/>
      <c r="E83" s="84"/>
      <c r="F83" s="84">
        <v>4770</v>
      </c>
      <c r="G83" s="84"/>
    </row>
    <row r="84" spans="1:7" s="73" customFormat="1" ht="14.25" customHeight="1">
      <c r="A84" s="84" t="s">
        <v>275</v>
      </c>
      <c r="B84" s="84" t="s">
        <v>2334</v>
      </c>
      <c r="C84" s="84"/>
      <c r="D84" s="84"/>
      <c r="E84" s="84"/>
      <c r="F84" s="84">
        <v>4600</v>
      </c>
      <c r="G84" s="84"/>
    </row>
    <row r="85" spans="1:7" s="73" customFormat="1" ht="14.25" customHeight="1">
      <c r="A85" s="84" t="s">
        <v>275</v>
      </c>
      <c r="B85" s="84" t="s">
        <v>2335</v>
      </c>
      <c r="C85" s="84"/>
      <c r="D85" s="84"/>
      <c r="E85" s="84"/>
      <c r="F85" s="84">
        <v>4680</v>
      </c>
      <c r="G85" s="84"/>
    </row>
    <row r="86" spans="1:7" s="73" customFormat="1" ht="14.25" customHeight="1">
      <c r="A86" s="91" t="s">
        <v>275</v>
      </c>
      <c r="B86" s="93" t="s">
        <v>2336</v>
      </c>
      <c r="C86" s="94">
        <v>16610</v>
      </c>
      <c r="D86" s="94">
        <v>16540</v>
      </c>
      <c r="E86" s="94">
        <v>18850</v>
      </c>
      <c r="F86" s="94"/>
      <c r="G86" s="94">
        <v>11220</v>
      </c>
    </row>
    <row r="87" spans="1:7" s="73" customFormat="1" ht="14.25" customHeight="1">
      <c r="A87" s="88" t="s">
        <v>286</v>
      </c>
      <c r="B87" s="80" t="s">
        <v>2337</v>
      </c>
      <c r="C87" s="80">
        <v>15240</v>
      </c>
      <c r="D87" s="80">
        <v>15170</v>
      </c>
      <c r="E87" s="80">
        <v>18260</v>
      </c>
      <c r="F87" s="80">
        <v>3830</v>
      </c>
      <c r="G87" s="95">
        <v>10020</v>
      </c>
    </row>
    <row r="88" spans="1:7" s="73" customFormat="1" ht="14.25" customHeight="1">
      <c r="A88" s="84" t="s">
        <v>286</v>
      </c>
      <c r="B88" s="84" t="s">
        <v>2338</v>
      </c>
      <c r="C88" s="84">
        <v>17310</v>
      </c>
      <c r="D88" s="84">
        <v>17220</v>
      </c>
      <c r="E88" s="84">
        <v>18610</v>
      </c>
      <c r="F88" s="84">
        <v>3990</v>
      </c>
      <c r="G88" s="96">
        <v>11380</v>
      </c>
    </row>
    <row r="89" spans="1:7" s="73" customFormat="1" ht="14.25" customHeight="1">
      <c r="A89" s="84" t="s">
        <v>286</v>
      </c>
      <c r="B89" s="84" t="s">
        <v>2339</v>
      </c>
      <c r="C89" s="84">
        <v>15600</v>
      </c>
      <c r="D89" s="84">
        <v>15550</v>
      </c>
      <c r="E89" s="84">
        <v>19200</v>
      </c>
      <c r="F89" s="84">
        <v>4110</v>
      </c>
      <c r="G89" s="96">
        <v>10270</v>
      </c>
    </row>
    <row r="90" spans="1:7" s="73" customFormat="1" ht="14.25" customHeight="1">
      <c r="A90" s="84" t="s">
        <v>286</v>
      </c>
      <c r="B90" s="84" t="s">
        <v>2340</v>
      </c>
      <c r="C90" s="84">
        <v>17330</v>
      </c>
      <c r="D90" s="84">
        <v>17240</v>
      </c>
      <c r="E90" s="84">
        <v>18570</v>
      </c>
      <c r="F90" s="84">
        <v>4070</v>
      </c>
      <c r="G90" s="96">
        <v>11390</v>
      </c>
    </row>
    <row r="91" spans="1:7" s="73" customFormat="1" ht="14.25" customHeight="1">
      <c r="A91" s="84" t="s">
        <v>286</v>
      </c>
      <c r="B91" s="84" t="s">
        <v>2341</v>
      </c>
      <c r="C91" s="84">
        <v>16330</v>
      </c>
      <c r="D91" s="84">
        <v>16260</v>
      </c>
      <c r="E91" s="84">
        <v>16800</v>
      </c>
      <c r="F91" s="84">
        <v>3410</v>
      </c>
      <c r="G91" s="96">
        <v>10740</v>
      </c>
    </row>
    <row r="92" spans="1:7" s="73" customFormat="1" ht="14.25" customHeight="1">
      <c r="A92" s="84" t="s">
        <v>286</v>
      </c>
      <c r="B92" s="84" t="s">
        <v>2342</v>
      </c>
      <c r="C92" s="84">
        <v>15570</v>
      </c>
      <c r="D92" s="84">
        <v>15500</v>
      </c>
      <c r="E92" s="84">
        <v>17360</v>
      </c>
      <c r="F92" s="84">
        <v>3510</v>
      </c>
      <c r="G92" s="96">
        <v>10240</v>
      </c>
    </row>
    <row r="93" spans="1:7" s="73" customFormat="1" ht="14.25" customHeight="1">
      <c r="A93" s="84" t="s">
        <v>286</v>
      </c>
      <c r="B93" s="84" t="s">
        <v>2343</v>
      </c>
      <c r="C93" s="84">
        <v>14000</v>
      </c>
      <c r="D93" s="84">
        <v>13930</v>
      </c>
      <c r="E93" s="84">
        <v>18200</v>
      </c>
      <c r="F93" s="84">
        <v>3640</v>
      </c>
      <c r="G93" s="96">
        <v>9210</v>
      </c>
    </row>
    <row r="94" spans="1:7" s="73" customFormat="1" ht="14.25" customHeight="1">
      <c r="A94" s="84" t="s">
        <v>286</v>
      </c>
      <c r="B94" s="84" t="s">
        <v>2344</v>
      </c>
      <c r="C94" s="84">
        <v>14530</v>
      </c>
      <c r="D94" s="84">
        <v>14470</v>
      </c>
      <c r="E94" s="84">
        <v>18240</v>
      </c>
      <c r="F94" s="84">
        <v>3180</v>
      </c>
      <c r="G94" s="96">
        <v>9560</v>
      </c>
    </row>
    <row r="95" spans="1:7" s="73" customFormat="1" ht="14.25" customHeight="1">
      <c r="A95" s="84" t="s">
        <v>286</v>
      </c>
      <c r="B95" s="84" t="s">
        <v>2345</v>
      </c>
      <c r="C95" s="84">
        <v>17330</v>
      </c>
      <c r="D95" s="84">
        <v>17260</v>
      </c>
      <c r="E95" s="84">
        <v>18420</v>
      </c>
      <c r="F95" s="84">
        <v>3060</v>
      </c>
      <c r="G95" s="96">
        <v>11410</v>
      </c>
    </row>
    <row r="96" spans="1:7" s="73" customFormat="1" ht="14.25" customHeight="1">
      <c r="A96" s="84" t="s">
        <v>286</v>
      </c>
      <c r="B96" s="84" t="s">
        <v>2346</v>
      </c>
      <c r="C96" s="84">
        <v>15030</v>
      </c>
      <c r="D96" s="84">
        <v>14970</v>
      </c>
      <c r="E96" s="84">
        <v>17580</v>
      </c>
      <c r="F96" s="84">
        <v>2970</v>
      </c>
      <c r="G96" s="96">
        <v>9890</v>
      </c>
    </row>
    <row r="97" spans="1:7" s="73" customFormat="1" ht="14.25" customHeight="1">
      <c r="A97" s="84" t="s">
        <v>286</v>
      </c>
      <c r="B97" s="84" t="s">
        <v>2347</v>
      </c>
      <c r="C97" s="84">
        <v>17400</v>
      </c>
      <c r="D97" s="84">
        <v>17330</v>
      </c>
      <c r="E97" s="84">
        <v>16430</v>
      </c>
      <c r="F97" s="84">
        <v>2950</v>
      </c>
      <c r="G97" s="96">
        <v>11450</v>
      </c>
    </row>
    <row r="98" spans="1:7" s="73" customFormat="1" ht="14.25" customHeight="1">
      <c r="A98" s="84" t="s">
        <v>286</v>
      </c>
      <c r="B98" s="84" t="s">
        <v>2348</v>
      </c>
      <c r="C98" s="84">
        <v>15200</v>
      </c>
      <c r="D98" s="84">
        <v>15120</v>
      </c>
      <c r="E98" s="84">
        <v>17550</v>
      </c>
      <c r="F98" s="84">
        <v>3080</v>
      </c>
      <c r="G98" s="96">
        <v>9990</v>
      </c>
    </row>
    <row r="99" spans="1:7" s="73" customFormat="1" ht="14.25" customHeight="1">
      <c r="A99" s="84" t="s">
        <v>286</v>
      </c>
      <c r="B99" s="84" t="s">
        <v>2349</v>
      </c>
      <c r="C99" s="84">
        <v>17520</v>
      </c>
      <c r="D99" s="84">
        <v>17430</v>
      </c>
      <c r="E99" s="84">
        <v>16350</v>
      </c>
      <c r="F99" s="84">
        <v>3260</v>
      </c>
      <c r="G99" s="96">
        <v>11510</v>
      </c>
    </row>
    <row r="100" spans="1:7" s="73" customFormat="1" ht="14.25" customHeight="1">
      <c r="A100" s="84" t="s">
        <v>286</v>
      </c>
      <c r="B100" s="84" t="s">
        <v>2350</v>
      </c>
      <c r="C100" s="84">
        <v>15340</v>
      </c>
      <c r="D100" s="84">
        <v>15260</v>
      </c>
      <c r="E100" s="84">
        <v>15930</v>
      </c>
      <c r="F100" s="84">
        <v>2740</v>
      </c>
      <c r="G100" s="96">
        <v>10080</v>
      </c>
    </row>
    <row r="101" spans="1:7" s="73" customFormat="1" ht="14.25" customHeight="1">
      <c r="A101" s="84" t="s">
        <v>286</v>
      </c>
      <c r="B101" s="84" t="s">
        <v>2351</v>
      </c>
      <c r="C101" s="84">
        <v>14620</v>
      </c>
      <c r="D101" s="84">
        <v>14560</v>
      </c>
      <c r="E101" s="84">
        <v>15570</v>
      </c>
      <c r="F101" s="84">
        <v>3500</v>
      </c>
      <c r="G101" s="96">
        <v>9630</v>
      </c>
    </row>
    <row r="102" spans="1:7" s="73" customFormat="1" ht="14.25" customHeight="1">
      <c r="A102" s="84" t="s">
        <v>286</v>
      </c>
      <c r="B102" s="84" t="s">
        <v>2352</v>
      </c>
      <c r="C102" s="84">
        <v>13680</v>
      </c>
      <c r="D102" s="84">
        <v>13610</v>
      </c>
      <c r="E102" s="84">
        <v>15690</v>
      </c>
      <c r="F102" s="84">
        <v>2870</v>
      </c>
      <c r="G102" s="96">
        <v>8990</v>
      </c>
    </row>
    <row r="103" spans="1:7" s="73" customFormat="1" ht="14.25" customHeight="1">
      <c r="A103" s="84" t="s">
        <v>286</v>
      </c>
      <c r="B103" s="84" t="s">
        <v>2353</v>
      </c>
      <c r="C103" s="84">
        <v>14620</v>
      </c>
      <c r="D103" s="84">
        <v>14540</v>
      </c>
      <c r="E103" s="84">
        <v>15240</v>
      </c>
      <c r="F103" s="84">
        <v>2840</v>
      </c>
      <c r="G103" s="96">
        <v>9610</v>
      </c>
    </row>
    <row r="104" spans="1:7" s="73" customFormat="1" ht="14.25" customHeight="1">
      <c r="A104" s="84" t="s">
        <v>286</v>
      </c>
      <c r="B104" s="84" t="s">
        <v>2354</v>
      </c>
      <c r="C104" s="84">
        <v>13610</v>
      </c>
      <c r="D104" s="84">
        <v>13540</v>
      </c>
      <c r="E104" s="84">
        <v>15750</v>
      </c>
      <c r="F104" s="84">
        <v>2770</v>
      </c>
      <c r="G104" s="96">
        <v>8940</v>
      </c>
    </row>
    <row r="105" spans="1:7" s="73" customFormat="1" ht="14.25" customHeight="1">
      <c r="A105" s="84" t="s">
        <v>286</v>
      </c>
      <c r="B105" s="84" t="s">
        <v>2355</v>
      </c>
      <c r="C105" s="84">
        <v>13310</v>
      </c>
      <c r="D105" s="84">
        <v>13240</v>
      </c>
      <c r="E105" s="84">
        <v>16280</v>
      </c>
      <c r="F105" s="84">
        <v>3210</v>
      </c>
      <c r="G105" s="96">
        <v>8750</v>
      </c>
    </row>
    <row r="106" spans="1:7" s="73" customFormat="1" ht="14.25" customHeight="1">
      <c r="A106" s="84" t="s">
        <v>286</v>
      </c>
      <c r="B106" s="84" t="s">
        <v>2356</v>
      </c>
      <c r="C106" s="84">
        <v>13010</v>
      </c>
      <c r="D106" s="84">
        <v>12930</v>
      </c>
      <c r="E106" s="84">
        <v>14960</v>
      </c>
      <c r="F106" s="84">
        <v>3530</v>
      </c>
      <c r="G106" s="96">
        <v>8550</v>
      </c>
    </row>
    <row r="107" spans="1:7" s="73" customFormat="1" ht="14.25" customHeight="1">
      <c r="A107" s="84" t="s">
        <v>286</v>
      </c>
      <c r="B107" s="84" t="s">
        <v>2357</v>
      </c>
      <c r="C107" s="84">
        <v>13070</v>
      </c>
      <c r="D107" s="84">
        <v>13000</v>
      </c>
      <c r="E107" s="84">
        <v>15910</v>
      </c>
      <c r="F107" s="84">
        <v>3990</v>
      </c>
      <c r="G107" s="96">
        <v>8580</v>
      </c>
    </row>
    <row r="108" spans="1:7" s="73" customFormat="1" ht="14.25" customHeight="1">
      <c r="A108" s="84" t="s">
        <v>286</v>
      </c>
      <c r="B108" s="84" t="s">
        <v>2358</v>
      </c>
      <c r="C108" s="84">
        <v>12640</v>
      </c>
      <c r="D108" s="84">
        <v>12580</v>
      </c>
      <c r="E108" s="84">
        <v>15730</v>
      </c>
      <c r="F108" s="84"/>
      <c r="G108" s="96">
        <v>8310</v>
      </c>
    </row>
    <row r="109" spans="1:7" s="73" customFormat="1" ht="14.25" customHeight="1">
      <c r="A109" s="84" t="s">
        <v>286</v>
      </c>
      <c r="B109" s="84" t="s">
        <v>2359</v>
      </c>
      <c r="C109" s="84">
        <v>13130</v>
      </c>
      <c r="D109" s="84">
        <v>13070</v>
      </c>
      <c r="E109" s="84">
        <v>15000</v>
      </c>
      <c r="F109" s="84"/>
      <c r="G109" s="96">
        <v>8630</v>
      </c>
    </row>
    <row r="110" spans="1:7" s="73" customFormat="1" ht="14.25" customHeight="1">
      <c r="A110" s="84" t="s">
        <v>286</v>
      </c>
      <c r="B110" s="84" t="s">
        <v>2360</v>
      </c>
      <c r="C110" s="84">
        <v>13560</v>
      </c>
      <c r="D110" s="84">
        <v>13490</v>
      </c>
      <c r="E110" s="84">
        <v>16300</v>
      </c>
      <c r="F110" s="84"/>
      <c r="G110" s="96">
        <v>8920</v>
      </c>
    </row>
    <row r="111" spans="1:7" s="73" customFormat="1" ht="14.25" customHeight="1">
      <c r="A111" s="84" t="s">
        <v>286</v>
      </c>
      <c r="B111" s="84" t="s">
        <v>2361</v>
      </c>
      <c r="C111" s="84">
        <v>12440</v>
      </c>
      <c r="D111" s="84">
        <v>12380</v>
      </c>
      <c r="E111" s="84">
        <v>17850</v>
      </c>
      <c r="F111" s="84"/>
      <c r="G111" s="96">
        <v>8180</v>
      </c>
    </row>
    <row r="112" spans="1:7" s="73" customFormat="1" ht="14.25" customHeight="1">
      <c r="A112" s="84" t="s">
        <v>286</v>
      </c>
      <c r="B112" s="84" t="s">
        <v>2362</v>
      </c>
      <c r="C112" s="84">
        <v>13260</v>
      </c>
      <c r="D112" s="84">
        <v>13180</v>
      </c>
      <c r="E112" s="84">
        <v>19740</v>
      </c>
      <c r="F112" s="84"/>
      <c r="G112" s="96">
        <v>8710</v>
      </c>
    </row>
    <row r="113" spans="1:7" s="73" customFormat="1" ht="14.25" customHeight="1">
      <c r="A113" s="84" t="s">
        <v>286</v>
      </c>
      <c r="B113" s="84" t="s">
        <v>2363</v>
      </c>
      <c r="C113" s="84">
        <v>15520</v>
      </c>
      <c r="D113" s="84">
        <v>15450</v>
      </c>
      <c r="E113" s="84"/>
      <c r="F113" s="84"/>
      <c r="G113" s="96">
        <v>10210</v>
      </c>
    </row>
    <row r="114" spans="1:7" s="73" customFormat="1" ht="14.25" customHeight="1">
      <c r="A114" s="84" t="s">
        <v>286</v>
      </c>
      <c r="B114" s="84" t="s">
        <v>2364</v>
      </c>
      <c r="C114" s="84">
        <v>13110</v>
      </c>
      <c r="D114" s="84">
        <v>13050</v>
      </c>
      <c r="E114" s="84"/>
      <c r="F114" s="84"/>
      <c r="G114" s="96">
        <v>8620</v>
      </c>
    </row>
    <row r="115" spans="1:7" s="73" customFormat="1" ht="14.25" customHeight="1">
      <c r="A115" s="84" t="s">
        <v>286</v>
      </c>
      <c r="B115" s="84" t="s">
        <v>2365</v>
      </c>
      <c r="C115" s="84">
        <v>12460</v>
      </c>
      <c r="D115" s="84">
        <v>12390</v>
      </c>
      <c r="E115" s="84"/>
      <c r="F115" s="84"/>
      <c r="G115" s="96">
        <v>8190</v>
      </c>
    </row>
    <row r="116" spans="1:7" s="73" customFormat="1" ht="14.25" customHeight="1">
      <c r="A116" s="84" t="s">
        <v>286</v>
      </c>
      <c r="B116" s="84" t="s">
        <v>2366</v>
      </c>
      <c r="C116" s="84">
        <v>13580</v>
      </c>
      <c r="D116" s="84">
        <v>13520</v>
      </c>
      <c r="E116" s="84"/>
      <c r="F116" s="84"/>
      <c r="G116" s="96">
        <v>8930</v>
      </c>
    </row>
    <row r="117" spans="1:7" s="73" customFormat="1" ht="14.25" customHeight="1">
      <c r="A117" s="84" t="s">
        <v>286</v>
      </c>
      <c r="B117" s="84" t="s">
        <v>2367</v>
      </c>
      <c r="C117" s="84">
        <v>17120</v>
      </c>
      <c r="D117" s="84">
        <v>17040</v>
      </c>
      <c r="E117" s="84"/>
      <c r="F117" s="84"/>
      <c r="G117" s="96">
        <v>11260</v>
      </c>
    </row>
    <row r="118" spans="1:7" s="73" customFormat="1" ht="14.25" customHeight="1">
      <c r="A118" s="84" t="s">
        <v>286</v>
      </c>
      <c r="B118" s="84" t="s">
        <v>2368</v>
      </c>
      <c r="C118" s="84">
        <v>14860</v>
      </c>
      <c r="D118" s="84">
        <v>14790</v>
      </c>
      <c r="E118" s="84"/>
      <c r="F118" s="84"/>
      <c r="G118" s="96">
        <v>9780</v>
      </c>
    </row>
    <row r="119" spans="1:7" s="73" customFormat="1" ht="14.25" customHeight="1">
      <c r="A119" s="84" t="s">
        <v>286</v>
      </c>
      <c r="B119" s="84" t="s">
        <v>2369</v>
      </c>
      <c r="C119" s="84">
        <v>16470</v>
      </c>
      <c r="D119" s="84">
        <v>16400</v>
      </c>
      <c r="E119" s="84"/>
      <c r="F119" s="84"/>
      <c r="G119" s="96">
        <v>10840</v>
      </c>
    </row>
    <row r="120" spans="1:7" s="73" customFormat="1" ht="14.25" customHeight="1">
      <c r="A120" s="84" t="s">
        <v>286</v>
      </c>
      <c r="B120" s="84" t="s">
        <v>2370</v>
      </c>
      <c r="C120" s="84"/>
      <c r="D120" s="84"/>
      <c r="E120" s="84"/>
      <c r="F120" s="84">
        <v>4160</v>
      </c>
      <c r="G120" s="96"/>
    </row>
    <row r="121" spans="1:7" s="73" customFormat="1" ht="14.25" customHeight="1">
      <c r="A121" s="84" t="s">
        <v>286</v>
      </c>
      <c r="B121" s="84" t="s">
        <v>2371</v>
      </c>
      <c r="C121" s="84"/>
      <c r="D121" s="84"/>
      <c r="E121" s="84"/>
      <c r="F121" s="84">
        <v>3880</v>
      </c>
      <c r="G121" s="96"/>
    </row>
    <row r="122" spans="1:7" s="73" customFormat="1" ht="14.25" customHeight="1">
      <c r="A122" s="84" t="s">
        <v>286</v>
      </c>
      <c r="B122" s="84" t="s">
        <v>2372</v>
      </c>
      <c r="C122" s="84">
        <v>13750</v>
      </c>
      <c r="D122" s="84">
        <v>13680</v>
      </c>
      <c r="E122" s="84">
        <v>16460</v>
      </c>
      <c r="F122" s="84">
        <v>2880</v>
      </c>
      <c r="G122" s="96">
        <v>9040</v>
      </c>
    </row>
    <row r="123" spans="1:7" s="73" customFormat="1" ht="14.25" customHeight="1">
      <c r="A123" s="84" t="s">
        <v>286</v>
      </c>
      <c r="B123" s="84" t="s">
        <v>2373</v>
      </c>
      <c r="C123" s="84">
        <v>13590</v>
      </c>
      <c r="D123" s="84">
        <v>13520</v>
      </c>
      <c r="E123" s="84">
        <v>16290</v>
      </c>
      <c r="F123" s="84">
        <v>2790</v>
      </c>
      <c r="G123" s="96">
        <v>8930</v>
      </c>
    </row>
    <row r="124" spans="1:7" s="73" customFormat="1" ht="14.25" customHeight="1">
      <c r="A124" s="84" t="s">
        <v>286</v>
      </c>
      <c r="B124" s="84" t="s">
        <v>2374</v>
      </c>
      <c r="C124" s="84">
        <v>13400</v>
      </c>
      <c r="D124" s="84">
        <v>13320</v>
      </c>
      <c r="E124" s="84">
        <v>16100</v>
      </c>
      <c r="F124" s="84">
        <v>2320</v>
      </c>
      <c r="G124" s="96">
        <v>8800</v>
      </c>
    </row>
    <row r="125" spans="1:7" s="73" customFormat="1" ht="14.25" customHeight="1">
      <c r="A125" s="84" t="s">
        <v>286</v>
      </c>
      <c r="B125" s="84" t="s">
        <v>2375</v>
      </c>
      <c r="C125" s="84">
        <v>12860</v>
      </c>
      <c r="D125" s="84">
        <v>12790</v>
      </c>
      <c r="E125" s="84">
        <v>15370</v>
      </c>
      <c r="F125" s="84">
        <v>2280</v>
      </c>
      <c r="G125" s="96">
        <v>8450</v>
      </c>
    </row>
    <row r="126" spans="1:7" s="73" customFormat="1" ht="14.25" customHeight="1">
      <c r="A126" s="97" t="s">
        <v>286</v>
      </c>
      <c r="B126" s="90" t="s">
        <v>2376</v>
      </c>
      <c r="C126" s="90">
        <v>12960</v>
      </c>
      <c r="D126" s="90">
        <v>12890</v>
      </c>
      <c r="E126" s="90">
        <v>15530</v>
      </c>
      <c r="F126" s="90">
        <v>2910</v>
      </c>
      <c r="G126" s="98">
        <v>8520</v>
      </c>
    </row>
    <row r="127" spans="1:7" s="73" customFormat="1" ht="14.25" customHeight="1">
      <c r="A127" s="88" t="s">
        <v>295</v>
      </c>
      <c r="B127" s="80" t="s">
        <v>2377</v>
      </c>
      <c r="C127" s="84">
        <v>12280</v>
      </c>
      <c r="D127" s="84">
        <v>12250</v>
      </c>
      <c r="E127" s="84">
        <v>15130</v>
      </c>
      <c r="F127" s="84">
        <v>2710</v>
      </c>
      <c r="G127" s="84">
        <v>7870</v>
      </c>
    </row>
    <row r="128" spans="1:7" s="73" customFormat="1" ht="14.25" customHeight="1">
      <c r="A128" s="84" t="s">
        <v>295</v>
      </c>
      <c r="B128" s="84" t="s">
        <v>2378</v>
      </c>
      <c r="C128" s="84">
        <v>13180</v>
      </c>
      <c r="D128" s="84">
        <v>13150</v>
      </c>
      <c r="E128" s="84">
        <v>16190</v>
      </c>
      <c r="F128" s="84">
        <v>2820</v>
      </c>
      <c r="G128" s="84">
        <v>8460</v>
      </c>
    </row>
    <row r="129" spans="1:7" s="73" customFormat="1" ht="14.25" customHeight="1">
      <c r="A129" s="84" t="s">
        <v>295</v>
      </c>
      <c r="B129" s="84" t="s">
        <v>2379</v>
      </c>
      <c r="C129" s="84">
        <v>10950</v>
      </c>
      <c r="D129" s="84">
        <v>10920</v>
      </c>
      <c r="E129" s="84">
        <v>13820</v>
      </c>
      <c r="F129" s="84">
        <v>2500</v>
      </c>
      <c r="G129" s="84">
        <v>7020</v>
      </c>
    </row>
    <row r="130" spans="1:7" s="73" customFormat="1" ht="14.25" customHeight="1">
      <c r="A130" s="84" t="s">
        <v>295</v>
      </c>
      <c r="B130" s="84" t="s">
        <v>2380</v>
      </c>
      <c r="C130" s="84">
        <v>10910</v>
      </c>
      <c r="D130" s="84">
        <v>10860</v>
      </c>
      <c r="E130" s="84">
        <v>13730</v>
      </c>
      <c r="F130" s="84">
        <v>2760</v>
      </c>
      <c r="G130" s="84">
        <v>6990</v>
      </c>
    </row>
    <row r="131" spans="1:7" s="73" customFormat="1" ht="14.25" customHeight="1">
      <c r="A131" s="84" t="s">
        <v>295</v>
      </c>
      <c r="B131" s="84" t="s">
        <v>2381</v>
      </c>
      <c r="C131" s="84">
        <v>12910</v>
      </c>
      <c r="D131" s="84">
        <v>12870</v>
      </c>
      <c r="E131" s="84">
        <v>15720</v>
      </c>
      <c r="F131" s="84">
        <v>2750</v>
      </c>
      <c r="G131" s="84">
        <v>8280</v>
      </c>
    </row>
    <row r="132" spans="1:7" s="73" customFormat="1" ht="14.25" customHeight="1">
      <c r="A132" s="84" t="s">
        <v>295</v>
      </c>
      <c r="B132" s="84" t="s">
        <v>2382</v>
      </c>
      <c r="C132" s="84">
        <v>11910</v>
      </c>
      <c r="D132" s="84">
        <v>11860</v>
      </c>
      <c r="E132" s="84">
        <v>14730</v>
      </c>
      <c r="F132" s="84">
        <v>2360</v>
      </c>
      <c r="G132" s="84">
        <v>7630</v>
      </c>
    </row>
    <row r="133" spans="1:7" s="73" customFormat="1" ht="14.25" customHeight="1">
      <c r="A133" s="84" t="s">
        <v>295</v>
      </c>
      <c r="B133" s="84" t="s">
        <v>2383</v>
      </c>
      <c r="C133" s="84">
        <v>12270</v>
      </c>
      <c r="D133" s="84">
        <v>12210</v>
      </c>
      <c r="E133" s="84">
        <v>15010</v>
      </c>
      <c r="F133" s="84">
        <v>2580</v>
      </c>
      <c r="G133" s="84">
        <v>7860</v>
      </c>
    </row>
    <row r="134" spans="1:7" s="73" customFormat="1" ht="14.25" customHeight="1">
      <c r="A134" s="84" t="s">
        <v>295</v>
      </c>
      <c r="B134" s="84" t="s">
        <v>2384</v>
      </c>
      <c r="C134" s="84">
        <v>10800</v>
      </c>
      <c r="D134" s="84">
        <v>10780</v>
      </c>
      <c r="E134" s="84">
        <v>13640</v>
      </c>
      <c r="F134" s="84">
        <v>2110</v>
      </c>
      <c r="G134" s="84">
        <v>6930</v>
      </c>
    </row>
    <row r="135" spans="1:7" s="73" customFormat="1" ht="14.25" customHeight="1">
      <c r="A135" s="84" t="s">
        <v>295</v>
      </c>
      <c r="B135" s="84" t="s">
        <v>553</v>
      </c>
      <c r="C135" s="84">
        <v>10430</v>
      </c>
      <c r="D135" s="84">
        <v>10390</v>
      </c>
      <c r="E135" s="84">
        <v>13140</v>
      </c>
      <c r="F135" s="84">
        <v>2240</v>
      </c>
      <c r="G135" s="84">
        <v>6680</v>
      </c>
    </row>
    <row r="136" spans="1:7" s="73" customFormat="1" ht="14.25" customHeight="1">
      <c r="A136" s="84" t="s">
        <v>295</v>
      </c>
      <c r="B136" s="84" t="s">
        <v>2385</v>
      </c>
      <c r="C136" s="84">
        <v>11930</v>
      </c>
      <c r="D136" s="84">
        <v>11880</v>
      </c>
      <c r="E136" s="84">
        <v>14770</v>
      </c>
      <c r="F136" s="84">
        <v>1970</v>
      </c>
      <c r="G136" s="84">
        <v>7640</v>
      </c>
    </row>
    <row r="137" spans="1:7" s="73" customFormat="1" ht="14.25" customHeight="1">
      <c r="A137" s="84" t="s">
        <v>295</v>
      </c>
      <c r="B137" s="84" t="s">
        <v>2386</v>
      </c>
      <c r="C137" s="84">
        <v>10470</v>
      </c>
      <c r="D137" s="84">
        <v>10430</v>
      </c>
      <c r="E137" s="84">
        <v>13190</v>
      </c>
      <c r="F137" s="84">
        <v>1990</v>
      </c>
      <c r="G137" s="84">
        <v>6710</v>
      </c>
    </row>
    <row r="138" spans="1:7" s="73" customFormat="1" ht="14.25" customHeight="1">
      <c r="A138" s="84" t="s">
        <v>295</v>
      </c>
      <c r="B138" s="84" t="s">
        <v>2387</v>
      </c>
      <c r="C138" s="84">
        <v>10410</v>
      </c>
      <c r="D138" s="84">
        <v>10380</v>
      </c>
      <c r="E138" s="84">
        <v>13130</v>
      </c>
      <c r="F138" s="84">
        <v>2030</v>
      </c>
      <c r="G138" s="84">
        <v>6680</v>
      </c>
    </row>
    <row r="139" spans="1:7" s="73" customFormat="1" ht="14.25" customHeight="1">
      <c r="A139" s="84" t="s">
        <v>295</v>
      </c>
      <c r="B139" s="84" t="s">
        <v>2388</v>
      </c>
      <c r="C139" s="84">
        <v>9460</v>
      </c>
      <c r="D139" s="84">
        <v>9410</v>
      </c>
      <c r="E139" s="84">
        <v>12050</v>
      </c>
      <c r="F139" s="84">
        <v>2140</v>
      </c>
      <c r="G139" s="84">
        <v>6050</v>
      </c>
    </row>
    <row r="140" spans="1:7" s="73" customFormat="1" ht="14.25" customHeight="1">
      <c r="A140" s="84" t="s">
        <v>295</v>
      </c>
      <c r="B140" s="84" t="s">
        <v>2389</v>
      </c>
      <c r="C140" s="84">
        <v>11030</v>
      </c>
      <c r="D140" s="84">
        <v>10980</v>
      </c>
      <c r="E140" s="84">
        <v>13880</v>
      </c>
      <c r="F140" s="84">
        <v>2210</v>
      </c>
      <c r="G140" s="84">
        <v>7060</v>
      </c>
    </row>
    <row r="141" spans="1:7" s="73" customFormat="1" ht="14.25" customHeight="1">
      <c r="A141" s="84" t="s">
        <v>295</v>
      </c>
      <c r="B141" s="84" t="s">
        <v>2390</v>
      </c>
      <c r="C141" s="84">
        <v>11200</v>
      </c>
      <c r="D141" s="84">
        <v>11150</v>
      </c>
      <c r="E141" s="84">
        <v>14100</v>
      </c>
      <c r="F141" s="84">
        <v>2470</v>
      </c>
      <c r="G141" s="84">
        <v>7170</v>
      </c>
    </row>
    <row r="142" spans="1:7" s="73" customFormat="1" ht="14.25" customHeight="1">
      <c r="A142" s="84" t="s">
        <v>295</v>
      </c>
      <c r="B142" s="84" t="s">
        <v>2391</v>
      </c>
      <c r="C142" s="84">
        <v>10780</v>
      </c>
      <c r="D142" s="84">
        <v>10730</v>
      </c>
      <c r="E142" s="84">
        <v>13540</v>
      </c>
      <c r="F142" s="84">
        <v>2280</v>
      </c>
      <c r="G142" s="84">
        <v>6900</v>
      </c>
    </row>
    <row r="143" spans="1:7" s="73" customFormat="1" ht="14.25" customHeight="1">
      <c r="A143" s="84" t="s">
        <v>295</v>
      </c>
      <c r="B143" s="84" t="s">
        <v>2392</v>
      </c>
      <c r="C143" s="84">
        <v>11550</v>
      </c>
      <c r="D143" s="84">
        <v>11490</v>
      </c>
      <c r="E143" s="84">
        <v>14480</v>
      </c>
      <c r="F143" s="84">
        <v>2070</v>
      </c>
      <c r="G143" s="84">
        <v>7390</v>
      </c>
    </row>
    <row r="144" spans="1:7" s="73" customFormat="1" ht="14.25" customHeight="1">
      <c r="A144" s="84" t="s">
        <v>295</v>
      </c>
      <c r="B144" s="84" t="s">
        <v>2393</v>
      </c>
      <c r="C144" s="84">
        <v>10720</v>
      </c>
      <c r="D144" s="84">
        <v>10680</v>
      </c>
      <c r="E144" s="84">
        <v>13480</v>
      </c>
      <c r="F144" s="84">
        <v>2440</v>
      </c>
      <c r="G144" s="84">
        <v>6870</v>
      </c>
    </row>
    <row r="145" spans="1:7" s="73" customFormat="1" ht="14.25" customHeight="1">
      <c r="A145" s="84" t="s">
        <v>295</v>
      </c>
      <c r="B145" s="84" t="s">
        <v>2394</v>
      </c>
      <c r="C145" s="84">
        <v>10340</v>
      </c>
      <c r="D145" s="84">
        <v>10290</v>
      </c>
      <c r="E145" s="84">
        <v>12880</v>
      </c>
      <c r="F145" s="84">
        <v>2650</v>
      </c>
      <c r="G145" s="84">
        <v>6620</v>
      </c>
    </row>
    <row r="146" spans="1:7" s="73" customFormat="1" ht="14.25" customHeight="1">
      <c r="A146" s="84" t="s">
        <v>295</v>
      </c>
      <c r="B146" s="84" t="s">
        <v>2395</v>
      </c>
      <c r="C146" s="84">
        <v>11890</v>
      </c>
      <c r="D146" s="84">
        <v>11830</v>
      </c>
      <c r="E146" s="84">
        <v>14670</v>
      </c>
      <c r="F146" s="84"/>
      <c r="G146" s="84">
        <v>7610</v>
      </c>
    </row>
    <row r="147" spans="1:7" s="73" customFormat="1" ht="14.25" customHeight="1">
      <c r="A147" s="84" t="s">
        <v>295</v>
      </c>
      <c r="B147" s="84" t="s">
        <v>2396</v>
      </c>
      <c r="C147" s="84">
        <v>12650</v>
      </c>
      <c r="D147" s="84">
        <v>12600</v>
      </c>
      <c r="E147" s="84">
        <v>15440</v>
      </c>
      <c r="F147" s="84"/>
      <c r="G147" s="84">
        <v>8110</v>
      </c>
    </row>
    <row r="148" spans="1:7" s="73" customFormat="1" ht="14.25" customHeight="1">
      <c r="A148" s="84" t="s">
        <v>295</v>
      </c>
      <c r="B148" s="84" t="s">
        <v>2397</v>
      </c>
      <c r="C148" s="84">
        <v>10370</v>
      </c>
      <c r="D148" s="84">
        <v>10310</v>
      </c>
      <c r="E148" s="84">
        <v>12970</v>
      </c>
      <c r="F148" s="84"/>
      <c r="G148" s="84">
        <v>6630</v>
      </c>
    </row>
    <row r="149" spans="1:7" s="73" customFormat="1" ht="14.25" customHeight="1">
      <c r="A149" s="84" t="s">
        <v>295</v>
      </c>
      <c r="B149" s="84" t="s">
        <v>2398</v>
      </c>
      <c r="C149" s="84">
        <v>11600</v>
      </c>
      <c r="D149" s="84">
        <v>11560</v>
      </c>
      <c r="E149" s="84">
        <v>14540</v>
      </c>
      <c r="F149" s="84">
        <v>2390</v>
      </c>
      <c r="G149" s="84">
        <v>7430</v>
      </c>
    </row>
    <row r="150" spans="1:7" s="73" customFormat="1" ht="14.25" customHeight="1">
      <c r="A150" s="84" t="s">
        <v>295</v>
      </c>
      <c r="B150" s="84" t="s">
        <v>2399</v>
      </c>
      <c r="C150" s="84">
        <v>9950</v>
      </c>
      <c r="D150" s="84">
        <v>9890</v>
      </c>
      <c r="E150" s="84">
        <v>12590</v>
      </c>
      <c r="F150" s="84">
        <v>1970</v>
      </c>
      <c r="G150" s="84">
        <v>6360</v>
      </c>
    </row>
    <row r="151" spans="1:7" s="73" customFormat="1" ht="14.25" customHeight="1">
      <c r="A151" s="84" t="s">
        <v>295</v>
      </c>
      <c r="B151" s="84" t="s">
        <v>2400</v>
      </c>
      <c r="C151" s="84">
        <v>10700</v>
      </c>
      <c r="D151" s="84">
        <v>10650</v>
      </c>
      <c r="E151" s="84">
        <v>13420</v>
      </c>
      <c r="F151" s="84">
        <v>2020</v>
      </c>
      <c r="G151" s="84">
        <v>6850</v>
      </c>
    </row>
    <row r="152" spans="1:7" s="73" customFormat="1" ht="14.25" customHeight="1">
      <c r="A152" s="84" t="s">
        <v>295</v>
      </c>
      <c r="B152" s="84" t="s">
        <v>2401</v>
      </c>
      <c r="C152" s="84">
        <v>10310</v>
      </c>
      <c r="D152" s="84">
        <v>10260</v>
      </c>
      <c r="E152" s="84">
        <v>12820</v>
      </c>
      <c r="F152" s="84">
        <v>1980</v>
      </c>
      <c r="G152" s="84">
        <v>6600</v>
      </c>
    </row>
    <row r="153" spans="1:7" s="73" customFormat="1" ht="14.25" customHeight="1">
      <c r="A153" s="84" t="s">
        <v>295</v>
      </c>
      <c r="B153" s="84" t="s">
        <v>2402</v>
      </c>
      <c r="C153" s="84">
        <v>10880</v>
      </c>
      <c r="D153" s="84">
        <v>10820</v>
      </c>
      <c r="E153" s="84">
        <v>13660</v>
      </c>
      <c r="F153" s="84">
        <v>2260</v>
      </c>
      <c r="G153" s="84">
        <v>6970</v>
      </c>
    </row>
    <row r="154" spans="1:7" s="73" customFormat="1" ht="14.25" customHeight="1">
      <c r="A154" s="84" t="s">
        <v>295</v>
      </c>
      <c r="B154" s="84" t="s">
        <v>2403</v>
      </c>
      <c r="C154" s="84">
        <v>11220</v>
      </c>
      <c r="D154" s="84">
        <v>11160</v>
      </c>
      <c r="E154" s="84">
        <v>14130</v>
      </c>
      <c r="F154" s="84">
        <v>2230</v>
      </c>
      <c r="G154" s="84">
        <v>7180</v>
      </c>
    </row>
    <row r="155" spans="1:7" s="73" customFormat="1" ht="14.25" customHeight="1">
      <c r="A155" s="84" t="s">
        <v>295</v>
      </c>
      <c r="B155" s="84" t="s">
        <v>2404</v>
      </c>
      <c r="C155" s="84">
        <v>10430</v>
      </c>
      <c r="D155" s="84">
        <v>10380</v>
      </c>
      <c r="E155" s="84">
        <v>13140</v>
      </c>
      <c r="F155" s="84">
        <v>2080</v>
      </c>
      <c r="G155" s="84">
        <v>6650</v>
      </c>
    </row>
    <row r="156" spans="1:7" s="73" customFormat="1" ht="14.25" customHeight="1">
      <c r="A156" s="84" t="s">
        <v>295</v>
      </c>
      <c r="B156" s="84" t="s">
        <v>2405</v>
      </c>
      <c r="C156" s="84">
        <v>10440</v>
      </c>
      <c r="D156" s="84">
        <v>10400</v>
      </c>
      <c r="E156" s="84">
        <v>13150</v>
      </c>
      <c r="F156" s="84">
        <v>2490</v>
      </c>
      <c r="G156" s="84">
        <v>6690</v>
      </c>
    </row>
    <row r="157" spans="1:7" s="73" customFormat="1" ht="14.25" customHeight="1">
      <c r="A157" s="84" t="s">
        <v>295</v>
      </c>
      <c r="B157" s="84" t="s">
        <v>2406</v>
      </c>
      <c r="C157" s="84">
        <v>10970</v>
      </c>
      <c r="D157" s="84">
        <v>10920</v>
      </c>
      <c r="E157" s="84">
        <v>13840</v>
      </c>
      <c r="F157" s="84">
        <v>2420</v>
      </c>
      <c r="G157" s="84">
        <v>7020</v>
      </c>
    </row>
    <row r="158" spans="1:7" s="73" customFormat="1" ht="14.25" customHeight="1">
      <c r="A158" s="84" t="s">
        <v>295</v>
      </c>
      <c r="B158" s="84" t="s">
        <v>2407</v>
      </c>
      <c r="C158" s="84">
        <v>9590</v>
      </c>
      <c r="D158" s="84">
        <v>9540</v>
      </c>
      <c r="E158" s="84">
        <v>12210</v>
      </c>
      <c r="F158" s="84">
        <v>2100</v>
      </c>
      <c r="G158" s="84">
        <v>6130</v>
      </c>
    </row>
    <row r="159" spans="1:7" s="73" customFormat="1" ht="14.25" customHeight="1">
      <c r="A159" s="84" t="s">
        <v>295</v>
      </c>
      <c r="B159" s="84" t="s">
        <v>2408</v>
      </c>
      <c r="C159" s="84">
        <v>11190</v>
      </c>
      <c r="D159" s="84">
        <v>11140</v>
      </c>
      <c r="E159" s="84">
        <v>14090</v>
      </c>
      <c r="F159" s="84">
        <v>2470</v>
      </c>
      <c r="G159" s="84">
        <v>7170</v>
      </c>
    </row>
    <row r="160" spans="1:7" s="73" customFormat="1" ht="14.25" customHeight="1">
      <c r="A160" s="84" t="s">
        <v>295</v>
      </c>
      <c r="B160" s="84" t="s">
        <v>2409</v>
      </c>
      <c r="C160" s="84">
        <v>11180</v>
      </c>
      <c r="D160" s="84">
        <v>11140</v>
      </c>
      <c r="E160" s="84">
        <v>14050</v>
      </c>
      <c r="F160" s="84">
        <v>2270</v>
      </c>
      <c r="G160" s="84">
        <v>7170</v>
      </c>
    </row>
    <row r="161" spans="1:7" s="73" customFormat="1" ht="14.25" customHeight="1">
      <c r="A161" s="84" t="s">
        <v>295</v>
      </c>
      <c r="B161" s="84" t="s">
        <v>2410</v>
      </c>
      <c r="C161" s="84">
        <v>11160</v>
      </c>
      <c r="D161" s="84">
        <v>11120</v>
      </c>
      <c r="E161" s="84">
        <v>14020</v>
      </c>
      <c r="F161" s="84">
        <v>2150</v>
      </c>
      <c r="G161" s="84">
        <v>7160</v>
      </c>
    </row>
    <row r="162" spans="1:7" s="73" customFormat="1" ht="14.25" customHeight="1">
      <c r="A162" s="84" t="s">
        <v>295</v>
      </c>
      <c r="B162" s="84" t="s">
        <v>2411</v>
      </c>
      <c r="C162" s="84">
        <v>9620</v>
      </c>
      <c r="D162" s="84">
        <v>9570</v>
      </c>
      <c r="E162" s="84">
        <v>12320</v>
      </c>
      <c r="F162" s="84">
        <v>2010</v>
      </c>
      <c r="G162" s="84">
        <v>6160</v>
      </c>
    </row>
    <row r="163" spans="1:7" s="73" customFormat="1" ht="14.25" customHeight="1">
      <c r="A163" s="84" t="s">
        <v>295</v>
      </c>
      <c r="B163" s="84" t="s">
        <v>2412</v>
      </c>
      <c r="C163" s="84">
        <v>9320</v>
      </c>
      <c r="D163" s="84">
        <v>9270</v>
      </c>
      <c r="E163" s="84">
        <v>11790</v>
      </c>
      <c r="F163" s="84">
        <v>1920</v>
      </c>
      <c r="G163" s="84">
        <v>5960</v>
      </c>
    </row>
    <row r="164" spans="1:7" s="73" customFormat="1" ht="14.25" customHeight="1">
      <c r="A164" s="84" t="s">
        <v>295</v>
      </c>
      <c r="B164" s="84" t="s">
        <v>2413</v>
      </c>
      <c r="C164" s="84"/>
      <c r="D164" s="84"/>
      <c r="E164" s="84"/>
      <c r="F164" s="84">
        <v>1980</v>
      </c>
      <c r="G164" s="84"/>
    </row>
    <row r="165" spans="1:7" s="73" customFormat="1" ht="14.25" customHeight="1">
      <c r="A165" s="84" t="s">
        <v>295</v>
      </c>
      <c r="B165" s="84" t="s">
        <v>2414</v>
      </c>
      <c r="C165" s="84">
        <v>11060</v>
      </c>
      <c r="D165" s="84">
        <v>11030</v>
      </c>
      <c r="E165" s="84">
        <v>13850</v>
      </c>
      <c r="F165" s="84">
        <v>2170</v>
      </c>
      <c r="G165" s="84">
        <v>7090</v>
      </c>
    </row>
    <row r="166" spans="1:7" s="73" customFormat="1" ht="14.25" customHeight="1">
      <c r="A166" s="84" t="s">
        <v>295</v>
      </c>
      <c r="B166" s="84" t="s">
        <v>2415</v>
      </c>
      <c r="C166" s="84">
        <v>11050</v>
      </c>
      <c r="D166" s="84">
        <v>11010</v>
      </c>
      <c r="E166" s="84">
        <v>13920</v>
      </c>
      <c r="F166" s="84">
        <v>2140</v>
      </c>
      <c r="G166" s="84">
        <v>7080</v>
      </c>
    </row>
    <row r="167" spans="1:7" s="73" customFormat="1" ht="14.25" customHeight="1">
      <c r="A167" s="84" t="s">
        <v>295</v>
      </c>
      <c r="B167" s="84" t="s">
        <v>2416</v>
      </c>
      <c r="C167" s="84">
        <v>10930</v>
      </c>
      <c r="D167" s="84">
        <v>10890</v>
      </c>
      <c r="E167" s="84">
        <v>13790</v>
      </c>
      <c r="F167" s="84">
        <v>2010</v>
      </c>
      <c r="G167" s="84">
        <v>7000</v>
      </c>
    </row>
    <row r="168" spans="1:7" s="73" customFormat="1" ht="14.25" customHeight="1">
      <c r="A168" s="84" t="s">
        <v>295</v>
      </c>
      <c r="B168" s="84" t="s">
        <v>2417</v>
      </c>
      <c r="C168" s="84">
        <v>9420</v>
      </c>
      <c r="D168" s="84">
        <v>9380</v>
      </c>
      <c r="E168" s="84">
        <v>11970</v>
      </c>
      <c r="F168" s="84"/>
      <c r="G168" s="84">
        <v>6040</v>
      </c>
    </row>
    <row r="169" spans="1:7" s="73" customFormat="1" ht="14.25" customHeight="1">
      <c r="A169" s="84" t="s">
        <v>295</v>
      </c>
      <c r="B169" s="84" t="s">
        <v>2418</v>
      </c>
      <c r="C169" s="84"/>
      <c r="D169" s="84"/>
      <c r="E169" s="84"/>
      <c r="F169" s="84">
        <v>2880</v>
      </c>
      <c r="G169" s="84"/>
    </row>
    <row r="170" spans="1:7" s="73" customFormat="1" ht="14.25" customHeight="1">
      <c r="A170" s="84" t="s">
        <v>295</v>
      </c>
      <c r="B170" s="84" t="s">
        <v>2419</v>
      </c>
      <c r="C170" s="84"/>
      <c r="D170" s="84"/>
      <c r="E170" s="84"/>
      <c r="F170" s="84">
        <v>2880</v>
      </c>
      <c r="G170" s="84"/>
    </row>
    <row r="171" spans="1:7" s="73" customFormat="1" ht="14.25" customHeight="1">
      <c r="A171" s="84" t="s">
        <v>295</v>
      </c>
      <c r="B171" s="84" t="s">
        <v>2420</v>
      </c>
      <c r="C171" s="84"/>
      <c r="D171" s="84"/>
      <c r="E171" s="84"/>
      <c r="F171" s="84">
        <v>2880</v>
      </c>
      <c r="G171" s="84"/>
    </row>
    <row r="172" spans="1:7" s="73" customFormat="1" ht="14.25" customHeight="1">
      <c r="A172" s="84" t="s">
        <v>295</v>
      </c>
      <c r="B172" s="84" t="s">
        <v>2421</v>
      </c>
      <c r="C172" s="84"/>
      <c r="D172" s="84"/>
      <c r="E172" s="84"/>
      <c r="F172" s="84">
        <v>2880</v>
      </c>
      <c r="G172" s="84"/>
    </row>
    <row r="173" spans="1:7" s="73" customFormat="1" ht="14.25" customHeight="1">
      <c r="A173" s="84" t="s">
        <v>295</v>
      </c>
      <c r="B173" s="84" t="s">
        <v>2422</v>
      </c>
      <c r="C173" s="84"/>
      <c r="D173" s="84"/>
      <c r="E173" s="84"/>
      <c r="F173" s="84">
        <v>2150</v>
      </c>
      <c r="G173" s="84"/>
    </row>
    <row r="174" spans="1:7" s="73" customFormat="1" ht="14.25" customHeight="1">
      <c r="A174" s="84" t="s">
        <v>295</v>
      </c>
      <c r="B174" s="84" t="s">
        <v>2423</v>
      </c>
      <c r="C174" s="84"/>
      <c r="D174" s="84"/>
      <c r="E174" s="84"/>
      <c r="F174" s="84">
        <v>2030</v>
      </c>
      <c r="G174" s="84"/>
    </row>
    <row r="175" spans="1:7" s="73" customFormat="1" ht="14.25" customHeight="1">
      <c r="A175" s="84" t="s">
        <v>295</v>
      </c>
      <c r="B175" s="84" t="s">
        <v>2424</v>
      </c>
      <c r="C175" s="84"/>
      <c r="D175" s="84"/>
      <c r="E175" s="84"/>
      <c r="F175" s="84">
        <v>2780</v>
      </c>
      <c r="G175" s="84"/>
    </row>
    <row r="176" spans="1:7" s="73" customFormat="1" ht="14.25" customHeight="1">
      <c r="A176" s="84" t="s">
        <v>295</v>
      </c>
      <c r="B176" s="84" t="s">
        <v>2425</v>
      </c>
      <c r="C176" s="84"/>
      <c r="D176" s="84"/>
      <c r="E176" s="84"/>
      <c r="F176" s="84">
        <v>2780</v>
      </c>
      <c r="G176" s="84"/>
    </row>
    <row r="177" spans="1:7" s="73" customFormat="1" ht="14.25" customHeight="1">
      <c r="A177" s="84" t="s">
        <v>295</v>
      </c>
      <c r="B177" s="84" t="s">
        <v>2426</v>
      </c>
      <c r="C177" s="84"/>
      <c r="D177" s="84"/>
      <c r="E177" s="84"/>
      <c r="F177" s="84">
        <v>2780</v>
      </c>
      <c r="G177" s="84"/>
    </row>
    <row r="178" spans="1:7" s="73" customFormat="1" ht="14.25" customHeight="1">
      <c r="A178" s="84" t="s">
        <v>295</v>
      </c>
      <c r="B178" s="84" t="s">
        <v>2427</v>
      </c>
      <c r="C178" s="84"/>
      <c r="D178" s="84"/>
      <c r="E178" s="84"/>
      <c r="F178" s="84">
        <v>2060</v>
      </c>
      <c r="G178" s="84"/>
    </row>
    <row r="179" spans="1:7" s="73" customFormat="1" ht="14.25" customHeight="1">
      <c r="A179" s="84" t="s">
        <v>295</v>
      </c>
      <c r="B179" s="84" t="s">
        <v>2428</v>
      </c>
      <c r="C179" s="84"/>
      <c r="D179" s="84"/>
      <c r="E179" s="84"/>
      <c r="F179" s="84">
        <v>2120</v>
      </c>
      <c r="G179" s="84"/>
    </row>
    <row r="180" spans="1:7" s="73" customFormat="1" ht="14.25" customHeight="1">
      <c r="A180" s="84" t="s">
        <v>295</v>
      </c>
      <c r="B180" s="84" t="s">
        <v>2429</v>
      </c>
      <c r="C180" s="84"/>
      <c r="D180" s="84"/>
      <c r="E180" s="84"/>
      <c r="F180" s="84">
        <v>2340</v>
      </c>
      <c r="G180" s="84"/>
    </row>
    <row r="181" spans="1:7" s="73" customFormat="1" ht="14.25" customHeight="1">
      <c r="A181" s="84" t="s">
        <v>295</v>
      </c>
      <c r="B181" s="84" t="s">
        <v>2430</v>
      </c>
      <c r="C181" s="84"/>
      <c r="D181" s="84"/>
      <c r="E181" s="84"/>
      <c r="F181" s="84">
        <v>2340</v>
      </c>
      <c r="G181" s="84"/>
    </row>
    <row r="182" spans="1:7" s="73" customFormat="1" ht="14.25" customHeight="1">
      <c r="A182" s="84" t="s">
        <v>295</v>
      </c>
      <c r="B182" s="84" t="s">
        <v>2431</v>
      </c>
      <c r="C182" s="84"/>
      <c r="D182" s="84"/>
      <c r="E182" s="84"/>
      <c r="F182" s="84">
        <v>2340</v>
      </c>
      <c r="G182" s="84"/>
    </row>
    <row r="183" spans="1:7" s="73" customFormat="1" ht="14.25" customHeight="1">
      <c r="A183" s="84" t="s">
        <v>295</v>
      </c>
      <c r="B183" s="84" t="s">
        <v>2432</v>
      </c>
      <c r="C183" s="84"/>
      <c r="D183" s="84"/>
      <c r="E183" s="84"/>
      <c r="F183" s="84">
        <v>2340</v>
      </c>
      <c r="G183" s="84"/>
    </row>
    <row r="184" spans="1:7" s="73" customFormat="1" ht="14.25" customHeight="1">
      <c r="A184" s="84" t="s">
        <v>295</v>
      </c>
      <c r="B184" s="84" t="s">
        <v>2433</v>
      </c>
      <c r="C184" s="84"/>
      <c r="D184" s="84"/>
      <c r="E184" s="84"/>
      <c r="F184" s="84">
        <v>2340</v>
      </c>
      <c r="G184" s="84"/>
    </row>
    <row r="185" spans="1:7" s="73" customFormat="1" ht="14.25" customHeight="1">
      <c r="A185" s="84" t="s">
        <v>295</v>
      </c>
      <c r="B185" s="84" t="s">
        <v>2434</v>
      </c>
      <c r="C185" s="84"/>
      <c r="D185" s="84"/>
      <c r="E185" s="84"/>
      <c r="F185" s="84">
        <v>2530</v>
      </c>
      <c r="G185" s="84"/>
    </row>
    <row r="186" spans="1:7" s="73" customFormat="1" ht="14.25" customHeight="1">
      <c r="A186" s="84" t="s">
        <v>295</v>
      </c>
      <c r="B186" s="84" t="s">
        <v>2435</v>
      </c>
      <c r="C186" s="84"/>
      <c r="D186" s="84"/>
      <c r="E186" s="84"/>
      <c r="F186" s="84">
        <v>2550</v>
      </c>
      <c r="G186" s="84"/>
    </row>
    <row r="187" spans="1:7" s="73" customFormat="1" ht="14.25" customHeight="1">
      <c r="A187" s="84" t="s">
        <v>295</v>
      </c>
      <c r="B187" s="84" t="s">
        <v>2436</v>
      </c>
      <c r="C187" s="84"/>
      <c r="D187" s="84"/>
      <c r="E187" s="84"/>
      <c r="F187" s="84">
        <v>2070</v>
      </c>
      <c r="G187" s="84"/>
    </row>
    <row r="188" spans="1:7" s="73" customFormat="1" ht="14.25" customHeight="1">
      <c r="A188" s="84" t="s">
        <v>295</v>
      </c>
      <c r="B188" s="84" t="s">
        <v>2437</v>
      </c>
      <c r="C188" s="84"/>
      <c r="D188" s="84"/>
      <c r="E188" s="84"/>
      <c r="F188" s="84">
        <v>2340</v>
      </c>
      <c r="G188" s="84"/>
    </row>
    <row r="189" spans="1:7" s="73" customFormat="1" ht="14.25" customHeight="1">
      <c r="A189" s="91" t="s">
        <v>295</v>
      </c>
      <c r="B189" s="94" t="s">
        <v>2438</v>
      </c>
      <c r="C189" s="94"/>
      <c r="D189" s="94"/>
      <c r="E189" s="94"/>
      <c r="F189" s="94">
        <v>2050</v>
      </c>
      <c r="G189" s="94"/>
    </row>
    <row r="190" spans="1:7" s="73" customFormat="1" ht="14.25" customHeight="1">
      <c r="A190" s="88" t="s">
        <v>303</v>
      </c>
      <c r="B190" s="80" t="s">
        <v>2439</v>
      </c>
      <c r="C190" s="80">
        <v>8830</v>
      </c>
      <c r="D190" s="80">
        <v>8790</v>
      </c>
      <c r="E190" s="80">
        <v>11630</v>
      </c>
      <c r="F190" s="80">
        <v>1790</v>
      </c>
      <c r="G190" s="95">
        <v>5550</v>
      </c>
    </row>
    <row r="191" spans="1:7" s="73" customFormat="1" ht="14.25" customHeight="1">
      <c r="A191" s="84" t="s">
        <v>303</v>
      </c>
      <c r="B191" s="84" t="s">
        <v>2440</v>
      </c>
      <c r="C191" s="84">
        <v>9780</v>
      </c>
      <c r="D191" s="84">
        <v>9710</v>
      </c>
      <c r="E191" s="84">
        <v>12550</v>
      </c>
      <c r="F191" s="84">
        <v>1980</v>
      </c>
      <c r="G191" s="96">
        <v>6130</v>
      </c>
    </row>
    <row r="192" spans="1:7" s="73" customFormat="1" ht="14.25" customHeight="1">
      <c r="A192" s="84" t="s">
        <v>303</v>
      </c>
      <c r="B192" s="84" t="s">
        <v>2441</v>
      </c>
      <c r="C192" s="84">
        <v>8180</v>
      </c>
      <c r="D192" s="84">
        <v>8140</v>
      </c>
      <c r="E192" s="84">
        <v>10870</v>
      </c>
      <c r="F192" s="84">
        <v>1690</v>
      </c>
      <c r="G192" s="96">
        <v>5140</v>
      </c>
    </row>
    <row r="193" spans="1:7" s="73" customFormat="1" ht="14.25" customHeight="1">
      <c r="A193" s="84" t="s">
        <v>303</v>
      </c>
      <c r="B193" s="84" t="s">
        <v>2442</v>
      </c>
      <c r="C193" s="84">
        <v>8440</v>
      </c>
      <c r="D193" s="84">
        <v>8390</v>
      </c>
      <c r="E193" s="84">
        <v>11210</v>
      </c>
      <c r="F193" s="84">
        <v>1600</v>
      </c>
      <c r="G193" s="96">
        <v>5300</v>
      </c>
    </row>
    <row r="194" spans="1:7" s="73" customFormat="1" ht="14.25" customHeight="1">
      <c r="A194" s="84" t="s">
        <v>303</v>
      </c>
      <c r="B194" s="84" t="s">
        <v>2443</v>
      </c>
      <c r="C194" s="84">
        <v>8780</v>
      </c>
      <c r="D194" s="84">
        <v>8730</v>
      </c>
      <c r="E194" s="84">
        <v>11550</v>
      </c>
      <c r="F194" s="84">
        <v>1660</v>
      </c>
      <c r="G194" s="96">
        <v>5520</v>
      </c>
    </row>
    <row r="195" spans="1:7" s="73" customFormat="1" ht="14.25" customHeight="1">
      <c r="A195" s="84" t="s">
        <v>303</v>
      </c>
      <c r="B195" s="84" t="s">
        <v>2444</v>
      </c>
      <c r="C195" s="84">
        <v>8720</v>
      </c>
      <c r="D195" s="84">
        <v>8670</v>
      </c>
      <c r="E195" s="84">
        <v>11450</v>
      </c>
      <c r="F195" s="84">
        <v>1720</v>
      </c>
      <c r="G195" s="96">
        <v>5480</v>
      </c>
    </row>
    <row r="196" spans="1:7" s="73" customFormat="1" ht="14.25" customHeight="1">
      <c r="A196" s="84" t="s">
        <v>303</v>
      </c>
      <c r="B196" s="84" t="s">
        <v>2445</v>
      </c>
      <c r="C196" s="84">
        <v>8460</v>
      </c>
      <c r="D196" s="84">
        <v>8410</v>
      </c>
      <c r="E196" s="84">
        <v>11230</v>
      </c>
      <c r="F196" s="84">
        <v>1730</v>
      </c>
      <c r="G196" s="96">
        <v>5310</v>
      </c>
    </row>
    <row r="197" spans="1:7" s="73" customFormat="1" ht="14.25" customHeight="1">
      <c r="A197" s="84" t="s">
        <v>303</v>
      </c>
      <c r="B197" s="84" t="s">
        <v>2446</v>
      </c>
      <c r="C197" s="84">
        <v>8790</v>
      </c>
      <c r="D197" s="84">
        <v>8730</v>
      </c>
      <c r="E197" s="84">
        <v>11560</v>
      </c>
      <c r="F197" s="84">
        <v>1750</v>
      </c>
      <c r="G197" s="96">
        <v>5520</v>
      </c>
    </row>
    <row r="198" spans="1:7" s="73" customFormat="1" ht="14.25" customHeight="1">
      <c r="A198" s="84" t="s">
        <v>303</v>
      </c>
      <c r="B198" s="84" t="s">
        <v>2447</v>
      </c>
      <c r="C198" s="84">
        <v>8720</v>
      </c>
      <c r="D198" s="84">
        <v>8680</v>
      </c>
      <c r="E198" s="84">
        <v>11470</v>
      </c>
      <c r="F198" s="84"/>
      <c r="G198" s="96">
        <v>5480</v>
      </c>
    </row>
    <row r="199" spans="1:7" s="73" customFormat="1" ht="14.25" customHeight="1">
      <c r="A199" s="84" t="s">
        <v>303</v>
      </c>
      <c r="B199" s="84" t="s">
        <v>2448</v>
      </c>
      <c r="C199" s="84">
        <v>8690</v>
      </c>
      <c r="D199" s="84">
        <v>8630</v>
      </c>
      <c r="E199" s="84">
        <v>11350</v>
      </c>
      <c r="F199" s="84">
        <v>1600</v>
      </c>
      <c r="G199" s="96">
        <v>5450</v>
      </c>
    </row>
    <row r="200" spans="1:7" s="73" customFormat="1" ht="14.25" customHeight="1">
      <c r="A200" s="84" t="s">
        <v>303</v>
      </c>
      <c r="B200" s="84" t="s">
        <v>2449</v>
      </c>
      <c r="C200" s="84"/>
      <c r="D200" s="84"/>
      <c r="E200" s="84"/>
      <c r="F200" s="84">
        <v>1510</v>
      </c>
      <c r="G200" s="96"/>
    </row>
    <row r="201" spans="1:7" s="73" customFormat="1" ht="14.25" customHeight="1">
      <c r="A201" s="84" t="s">
        <v>303</v>
      </c>
      <c r="B201" s="84" t="s">
        <v>2450</v>
      </c>
      <c r="C201" s="84">
        <v>8440</v>
      </c>
      <c r="D201" s="84">
        <v>8390</v>
      </c>
      <c r="E201" s="84">
        <v>10930</v>
      </c>
      <c r="F201" s="84">
        <v>1500</v>
      </c>
      <c r="G201" s="96">
        <v>5300</v>
      </c>
    </row>
    <row r="202" spans="1:7" s="73" customFormat="1" ht="14.25" customHeight="1">
      <c r="A202" s="84" t="s">
        <v>303</v>
      </c>
      <c r="B202" s="84" t="s">
        <v>2451</v>
      </c>
      <c r="C202" s="84">
        <v>8530</v>
      </c>
      <c r="D202" s="84">
        <v>8490</v>
      </c>
      <c r="E202" s="84">
        <v>11160</v>
      </c>
      <c r="F202" s="84">
        <v>1580</v>
      </c>
      <c r="G202" s="96">
        <v>5360</v>
      </c>
    </row>
    <row r="203" spans="1:7" s="73" customFormat="1" ht="14.25" customHeight="1">
      <c r="A203" s="84" t="s">
        <v>303</v>
      </c>
      <c r="B203" s="84" t="s">
        <v>2452</v>
      </c>
      <c r="C203" s="84">
        <v>8130</v>
      </c>
      <c r="D203" s="84">
        <v>8070</v>
      </c>
      <c r="E203" s="84">
        <v>10820</v>
      </c>
      <c r="F203" s="84">
        <v>1690</v>
      </c>
      <c r="G203" s="96">
        <v>5100</v>
      </c>
    </row>
    <row r="204" spans="1:7" s="73" customFormat="1" ht="14.25" customHeight="1">
      <c r="A204" s="84" t="s">
        <v>303</v>
      </c>
      <c r="B204" s="84" t="s">
        <v>2453</v>
      </c>
      <c r="C204" s="84">
        <v>8350</v>
      </c>
      <c r="D204" s="84">
        <v>8290</v>
      </c>
      <c r="E204" s="84">
        <v>11080</v>
      </c>
      <c r="F204" s="84">
        <v>1450</v>
      </c>
      <c r="G204" s="96">
        <v>5240</v>
      </c>
    </row>
    <row r="205" spans="1:7" s="73" customFormat="1" ht="14.25" customHeight="1">
      <c r="A205" s="84" t="s">
        <v>303</v>
      </c>
      <c r="B205" s="84" t="s">
        <v>2454</v>
      </c>
      <c r="C205" s="84">
        <v>7190</v>
      </c>
      <c r="D205" s="84">
        <v>7130</v>
      </c>
      <c r="E205" s="84">
        <v>9490</v>
      </c>
      <c r="F205" s="84">
        <v>1470</v>
      </c>
      <c r="G205" s="96">
        <v>4510</v>
      </c>
    </row>
    <row r="206" spans="1:7" s="73" customFormat="1" ht="14.25" customHeight="1">
      <c r="A206" s="84" t="s">
        <v>303</v>
      </c>
      <c r="B206" s="84" t="s">
        <v>2455</v>
      </c>
      <c r="C206" s="84">
        <v>7000</v>
      </c>
      <c r="D206" s="84">
        <v>6950</v>
      </c>
      <c r="E206" s="84">
        <v>9170</v>
      </c>
      <c r="F206" s="84">
        <v>1400</v>
      </c>
      <c r="G206" s="96">
        <v>4380</v>
      </c>
    </row>
    <row r="207" spans="1:7" s="73" customFormat="1" ht="14.25" customHeight="1">
      <c r="A207" s="84" t="s">
        <v>303</v>
      </c>
      <c r="B207" s="84" t="s">
        <v>2456</v>
      </c>
      <c r="C207" s="84">
        <v>6950</v>
      </c>
      <c r="D207" s="84">
        <v>6900</v>
      </c>
      <c r="E207" s="84">
        <v>9110</v>
      </c>
      <c r="F207" s="84">
        <v>1790</v>
      </c>
      <c r="G207" s="96">
        <v>4360</v>
      </c>
    </row>
    <row r="208" spans="1:7" s="73" customFormat="1" ht="14.25" customHeight="1">
      <c r="A208" s="84" t="s">
        <v>303</v>
      </c>
      <c r="B208" s="84" t="s">
        <v>2457</v>
      </c>
      <c r="C208" s="84">
        <v>9470</v>
      </c>
      <c r="D208" s="84">
        <v>9410</v>
      </c>
      <c r="E208" s="84">
        <v>12330</v>
      </c>
      <c r="F208" s="84">
        <v>1770</v>
      </c>
      <c r="G208" s="96">
        <v>5940</v>
      </c>
    </row>
    <row r="209" spans="1:7" s="73" customFormat="1" ht="14.25" customHeight="1">
      <c r="A209" s="84" t="s">
        <v>303</v>
      </c>
      <c r="B209" s="84" t="s">
        <v>2458</v>
      </c>
      <c r="C209" s="84">
        <v>8740</v>
      </c>
      <c r="D209" s="84">
        <v>8700</v>
      </c>
      <c r="E209" s="84">
        <v>11500</v>
      </c>
      <c r="F209" s="84">
        <v>1730</v>
      </c>
      <c r="G209" s="96">
        <v>5490</v>
      </c>
    </row>
    <row r="210" spans="1:7" s="73" customFormat="1" ht="14.25" customHeight="1">
      <c r="A210" s="84" t="s">
        <v>303</v>
      </c>
      <c r="B210" s="84" t="s">
        <v>2459</v>
      </c>
      <c r="C210" s="84">
        <v>8710</v>
      </c>
      <c r="D210" s="84">
        <v>8660</v>
      </c>
      <c r="E210" s="84">
        <v>11440</v>
      </c>
      <c r="F210" s="84">
        <v>1740</v>
      </c>
      <c r="G210" s="96">
        <v>5470</v>
      </c>
    </row>
    <row r="211" spans="1:7" s="73" customFormat="1" ht="14.25" customHeight="1">
      <c r="A211" s="84" t="s">
        <v>303</v>
      </c>
      <c r="B211" s="84" t="s">
        <v>2460</v>
      </c>
      <c r="C211" s="84">
        <v>9480</v>
      </c>
      <c r="D211" s="84">
        <v>9430</v>
      </c>
      <c r="E211" s="84">
        <v>12360</v>
      </c>
      <c r="F211" s="84">
        <v>1820</v>
      </c>
      <c r="G211" s="96">
        <v>5950</v>
      </c>
    </row>
    <row r="212" spans="1:7" s="73" customFormat="1" ht="14.25" customHeight="1">
      <c r="A212" s="84" t="s">
        <v>303</v>
      </c>
      <c r="B212" s="84" t="s">
        <v>2461</v>
      </c>
      <c r="C212" s="84">
        <v>9070</v>
      </c>
      <c r="D212" s="84">
        <v>9020</v>
      </c>
      <c r="E212" s="84">
        <v>11720</v>
      </c>
      <c r="F212" s="84">
        <v>1850</v>
      </c>
      <c r="G212" s="96">
        <v>5700</v>
      </c>
    </row>
    <row r="213" spans="1:7" s="73" customFormat="1" ht="14.25" customHeight="1">
      <c r="A213" s="84" t="s">
        <v>303</v>
      </c>
      <c r="B213" s="84" t="s">
        <v>2462</v>
      </c>
      <c r="C213" s="84">
        <v>9030</v>
      </c>
      <c r="D213" s="84">
        <v>8980</v>
      </c>
      <c r="E213" s="84">
        <v>11670</v>
      </c>
      <c r="F213" s="84">
        <v>1690</v>
      </c>
      <c r="G213" s="96">
        <v>5670</v>
      </c>
    </row>
    <row r="214" spans="1:7" s="73" customFormat="1" ht="14.25" customHeight="1">
      <c r="A214" s="84" t="s">
        <v>303</v>
      </c>
      <c r="B214" s="84" t="s">
        <v>2463</v>
      </c>
      <c r="C214" s="84">
        <v>8090</v>
      </c>
      <c r="D214" s="84">
        <v>8030</v>
      </c>
      <c r="E214" s="84">
        <v>10780</v>
      </c>
      <c r="F214" s="84">
        <v>1570</v>
      </c>
      <c r="G214" s="96">
        <v>5070</v>
      </c>
    </row>
    <row r="215" spans="1:7" s="73" customFormat="1" ht="14.25" customHeight="1">
      <c r="A215" s="84" t="s">
        <v>303</v>
      </c>
      <c r="B215" s="84" t="s">
        <v>2464</v>
      </c>
      <c r="C215" s="84">
        <v>7950</v>
      </c>
      <c r="D215" s="84">
        <v>7900</v>
      </c>
      <c r="E215" s="84">
        <v>10560</v>
      </c>
      <c r="F215" s="84">
        <v>1630</v>
      </c>
      <c r="G215" s="96">
        <v>4990</v>
      </c>
    </row>
    <row r="216" spans="1:7" s="73" customFormat="1" ht="14.25" customHeight="1">
      <c r="A216" s="84" t="s">
        <v>303</v>
      </c>
      <c r="B216" s="84" t="s">
        <v>2465</v>
      </c>
      <c r="C216" s="84">
        <v>8490</v>
      </c>
      <c r="D216" s="84">
        <v>8440</v>
      </c>
      <c r="E216" s="84">
        <v>11260</v>
      </c>
      <c r="F216" s="84">
        <v>1690</v>
      </c>
      <c r="G216" s="96">
        <v>5330</v>
      </c>
    </row>
    <row r="217" spans="1:7" s="73" customFormat="1" ht="14.25" customHeight="1">
      <c r="A217" s="84" t="s">
        <v>303</v>
      </c>
      <c r="B217" s="84" t="s">
        <v>2466</v>
      </c>
      <c r="C217" s="84">
        <v>8200</v>
      </c>
      <c r="D217" s="84">
        <v>8150</v>
      </c>
      <c r="E217" s="84">
        <v>10910</v>
      </c>
      <c r="F217" s="84">
        <v>1670</v>
      </c>
      <c r="G217" s="96">
        <v>5150</v>
      </c>
    </row>
    <row r="218" spans="1:7" s="73" customFormat="1" ht="14.25" customHeight="1">
      <c r="A218" s="84" t="s">
        <v>303</v>
      </c>
      <c r="B218" s="84" t="s">
        <v>2467</v>
      </c>
      <c r="C218" s="84"/>
      <c r="D218" s="84"/>
      <c r="E218" s="84"/>
      <c r="F218" s="84">
        <v>2040</v>
      </c>
      <c r="G218" s="96"/>
    </row>
    <row r="219" spans="1:7" s="73" customFormat="1" ht="14.25" customHeight="1">
      <c r="A219" s="84" t="s">
        <v>303</v>
      </c>
      <c r="B219" s="84" t="s">
        <v>2468</v>
      </c>
      <c r="C219" s="84"/>
      <c r="D219" s="84"/>
      <c r="E219" s="84"/>
      <c r="F219" s="84">
        <v>2040</v>
      </c>
      <c r="G219" s="96"/>
    </row>
    <row r="220" spans="1:7" s="73" customFormat="1" ht="14.25" customHeight="1">
      <c r="A220" s="84" t="s">
        <v>303</v>
      </c>
      <c r="B220" s="84" t="s">
        <v>2469</v>
      </c>
      <c r="C220" s="84"/>
      <c r="D220" s="84"/>
      <c r="E220" s="84"/>
      <c r="F220" s="84">
        <v>2040</v>
      </c>
      <c r="G220" s="96"/>
    </row>
    <row r="221" spans="1:7" s="73" customFormat="1" ht="14.25" customHeight="1">
      <c r="A221" s="84" t="s">
        <v>303</v>
      </c>
      <c r="B221" s="84" t="s">
        <v>2470</v>
      </c>
      <c r="C221" s="84"/>
      <c r="D221" s="84"/>
      <c r="E221" s="84"/>
      <c r="F221" s="84">
        <v>2040</v>
      </c>
      <c r="G221" s="96"/>
    </row>
    <row r="222" spans="1:7" s="73" customFormat="1" ht="14.25" customHeight="1">
      <c r="A222" s="84" t="s">
        <v>303</v>
      </c>
      <c r="B222" s="84" t="s">
        <v>2471</v>
      </c>
      <c r="C222" s="84"/>
      <c r="D222" s="84"/>
      <c r="E222" s="84"/>
      <c r="F222" s="84">
        <v>2040</v>
      </c>
      <c r="G222" s="96"/>
    </row>
    <row r="223" spans="1:7" s="73" customFormat="1" ht="14.25" customHeight="1">
      <c r="A223" s="84" t="s">
        <v>303</v>
      </c>
      <c r="B223" s="84" t="s">
        <v>2472</v>
      </c>
      <c r="C223" s="84"/>
      <c r="D223" s="84"/>
      <c r="E223" s="84"/>
      <c r="F223" s="84">
        <v>1930</v>
      </c>
      <c r="G223" s="96"/>
    </row>
    <row r="224" spans="1:7" s="73" customFormat="1" ht="14.25" customHeight="1">
      <c r="A224" s="84" t="s">
        <v>303</v>
      </c>
      <c r="B224" s="84" t="s">
        <v>2473</v>
      </c>
      <c r="C224" s="84"/>
      <c r="D224" s="84"/>
      <c r="E224" s="84"/>
      <c r="F224" s="84">
        <v>1930</v>
      </c>
      <c r="G224" s="96"/>
    </row>
    <row r="225" spans="1:7" s="73" customFormat="1" ht="14.25" customHeight="1">
      <c r="A225" s="84" t="s">
        <v>303</v>
      </c>
      <c r="B225" s="84" t="s">
        <v>2474</v>
      </c>
      <c r="C225" s="84"/>
      <c r="D225" s="84"/>
      <c r="E225" s="84"/>
      <c r="F225" s="84">
        <v>1930</v>
      </c>
      <c r="G225" s="96"/>
    </row>
    <row r="226" spans="1:7" s="73" customFormat="1" ht="14.25" customHeight="1">
      <c r="A226" s="84" t="s">
        <v>303</v>
      </c>
      <c r="B226" s="84" t="s">
        <v>2475</v>
      </c>
      <c r="C226" s="84"/>
      <c r="D226" s="84"/>
      <c r="E226" s="84"/>
      <c r="F226" s="84">
        <v>1700</v>
      </c>
      <c r="G226" s="96"/>
    </row>
    <row r="227" spans="1:7" s="73" customFormat="1" ht="14.25" customHeight="1">
      <c r="A227" s="84" t="s">
        <v>303</v>
      </c>
      <c r="B227" s="84" t="s">
        <v>2763</v>
      </c>
      <c r="C227" s="84"/>
      <c r="D227" s="84"/>
      <c r="E227" s="84"/>
      <c r="F227" s="84">
        <v>1520</v>
      </c>
      <c r="G227" s="96"/>
    </row>
    <row r="228" spans="1:7" s="73" customFormat="1" ht="14.25" customHeight="1">
      <c r="A228" s="84" t="s">
        <v>303</v>
      </c>
      <c r="B228" s="84" t="s">
        <v>2764</v>
      </c>
      <c r="C228" s="84"/>
      <c r="D228" s="84"/>
      <c r="E228" s="84"/>
      <c r="F228" s="84">
        <v>1520</v>
      </c>
      <c r="G228" s="96"/>
    </row>
    <row r="229" spans="1:7" s="73" customFormat="1" ht="14.25" customHeight="1">
      <c r="A229" s="84" t="s">
        <v>303</v>
      </c>
      <c r="B229" s="84" t="s">
        <v>2765</v>
      </c>
      <c r="C229" s="84"/>
      <c r="D229" s="84"/>
      <c r="E229" s="84"/>
      <c r="F229" s="84">
        <v>1520</v>
      </c>
      <c r="G229" s="96"/>
    </row>
    <row r="230" spans="1:7" s="73" customFormat="1" ht="14.25" customHeight="1">
      <c r="A230" s="84" t="s">
        <v>303</v>
      </c>
      <c r="B230" s="84" t="s">
        <v>2479</v>
      </c>
      <c r="C230" s="84"/>
      <c r="D230" s="84"/>
      <c r="E230" s="84"/>
      <c r="F230" s="84">
        <v>1820</v>
      </c>
      <c r="G230" s="96"/>
    </row>
    <row r="231" spans="1:7" s="73" customFormat="1" ht="14.25" customHeight="1">
      <c r="A231" s="84" t="s">
        <v>303</v>
      </c>
      <c r="B231" s="84" t="s">
        <v>2480</v>
      </c>
      <c r="C231" s="84"/>
      <c r="D231" s="84"/>
      <c r="E231" s="84"/>
      <c r="F231" s="84">
        <v>1760</v>
      </c>
      <c r="G231" s="96"/>
    </row>
    <row r="232" spans="1:7" s="73" customFormat="1" ht="14.25" customHeight="1">
      <c r="A232" s="84" t="s">
        <v>303</v>
      </c>
      <c r="B232" s="84" t="s">
        <v>2766</v>
      </c>
      <c r="C232" s="84"/>
      <c r="D232" s="84"/>
      <c r="E232" s="84"/>
      <c r="F232" s="84">
        <v>1840</v>
      </c>
      <c r="G232" s="96"/>
    </row>
    <row r="233" spans="1:7" s="73" customFormat="1" ht="14.25" customHeight="1">
      <c r="A233" s="97" t="s">
        <v>303</v>
      </c>
      <c r="B233" s="90" t="s">
        <v>2482</v>
      </c>
      <c r="C233" s="90"/>
      <c r="D233" s="90"/>
      <c r="E233" s="90"/>
      <c r="F233" s="90">
        <v>1770</v>
      </c>
      <c r="G233" s="98"/>
    </row>
    <row r="234" spans="1:7" s="73" customFormat="1" ht="14.25" customHeight="1">
      <c r="A234" s="88" t="s">
        <v>311</v>
      </c>
      <c r="B234" s="80" t="s">
        <v>2483</v>
      </c>
      <c r="C234" s="84">
        <v>6980</v>
      </c>
      <c r="D234" s="84">
        <v>6970</v>
      </c>
      <c r="E234" s="84">
        <v>8720</v>
      </c>
      <c r="F234" s="84">
        <v>1350</v>
      </c>
      <c r="G234" s="84">
        <v>4280</v>
      </c>
    </row>
    <row r="235" spans="1:7" s="73" customFormat="1" ht="14.25" customHeight="1">
      <c r="A235" s="84" t="s">
        <v>311</v>
      </c>
      <c r="B235" s="84" t="s">
        <v>2484</v>
      </c>
      <c r="C235" s="84">
        <v>7620</v>
      </c>
      <c r="D235" s="84">
        <v>7580</v>
      </c>
      <c r="E235" s="84">
        <v>9360</v>
      </c>
      <c r="F235" s="84">
        <v>1490</v>
      </c>
      <c r="G235" s="84">
        <v>4650</v>
      </c>
    </row>
    <row r="236" spans="1:7" s="73" customFormat="1" ht="14.25" customHeight="1">
      <c r="A236" s="84" t="s">
        <v>311</v>
      </c>
      <c r="B236" s="84" t="s">
        <v>2485</v>
      </c>
      <c r="C236" s="84">
        <v>6650</v>
      </c>
      <c r="D236" s="84">
        <v>6630</v>
      </c>
      <c r="E236" s="84">
        <v>8330</v>
      </c>
      <c r="F236" s="84">
        <v>1250</v>
      </c>
      <c r="G236" s="84">
        <v>4070</v>
      </c>
    </row>
    <row r="237" spans="1:7" s="73" customFormat="1" ht="14.25" customHeight="1">
      <c r="A237" s="84" t="s">
        <v>311</v>
      </c>
      <c r="B237" s="84" t="s">
        <v>2486</v>
      </c>
      <c r="C237" s="84">
        <v>5850</v>
      </c>
      <c r="D237" s="84">
        <v>5820</v>
      </c>
      <c r="E237" s="84">
        <v>7260</v>
      </c>
      <c r="F237" s="84">
        <v>1140</v>
      </c>
      <c r="G237" s="84">
        <v>3570</v>
      </c>
    </row>
    <row r="238" spans="1:7" s="73" customFormat="1" ht="14.25" customHeight="1">
      <c r="A238" s="84" t="s">
        <v>311</v>
      </c>
      <c r="B238" s="84" t="s">
        <v>2487</v>
      </c>
      <c r="C238" s="84">
        <v>6920</v>
      </c>
      <c r="D238" s="84">
        <v>6890</v>
      </c>
      <c r="E238" s="84">
        <v>8640</v>
      </c>
      <c r="F238" s="84">
        <v>1310</v>
      </c>
      <c r="G238" s="84">
        <v>4230</v>
      </c>
    </row>
    <row r="239" spans="1:7" s="73" customFormat="1" ht="14.25" customHeight="1">
      <c r="A239" s="84" t="s">
        <v>311</v>
      </c>
      <c r="B239" s="84" t="s">
        <v>2488</v>
      </c>
      <c r="C239" s="84">
        <v>6780</v>
      </c>
      <c r="D239" s="84">
        <v>6750</v>
      </c>
      <c r="E239" s="84">
        <v>8440</v>
      </c>
      <c r="F239" s="84">
        <v>1160</v>
      </c>
      <c r="G239" s="84">
        <v>4140</v>
      </c>
    </row>
    <row r="240" spans="1:7" s="73" customFormat="1" ht="14.25" customHeight="1">
      <c r="A240" s="84" t="s">
        <v>311</v>
      </c>
      <c r="B240" s="84" t="s">
        <v>2489</v>
      </c>
      <c r="C240" s="84">
        <v>5420</v>
      </c>
      <c r="D240" s="84">
        <v>5380</v>
      </c>
      <c r="E240" s="84">
        <v>6640</v>
      </c>
      <c r="F240" s="84">
        <v>1020</v>
      </c>
      <c r="G240" s="84">
        <v>3300</v>
      </c>
    </row>
    <row r="241" spans="1:7" s="73" customFormat="1" ht="14.25" customHeight="1">
      <c r="A241" s="84" t="s">
        <v>311</v>
      </c>
      <c r="B241" s="84" t="s">
        <v>2490</v>
      </c>
      <c r="C241" s="84">
        <v>6660</v>
      </c>
      <c r="D241" s="84">
        <v>6640</v>
      </c>
      <c r="E241" s="84">
        <v>8340</v>
      </c>
      <c r="F241" s="84">
        <v>1130</v>
      </c>
      <c r="G241" s="84">
        <v>4080</v>
      </c>
    </row>
    <row r="242" spans="1:7" s="73" customFormat="1" ht="14.25" customHeight="1">
      <c r="A242" s="84" t="s">
        <v>311</v>
      </c>
      <c r="B242" s="84" t="s">
        <v>2491</v>
      </c>
      <c r="C242" s="84">
        <v>6580</v>
      </c>
      <c r="D242" s="84">
        <v>6550</v>
      </c>
      <c r="E242" s="84">
        <v>8090</v>
      </c>
      <c r="F242" s="84">
        <v>1240</v>
      </c>
      <c r="G242" s="84">
        <v>4020</v>
      </c>
    </row>
    <row r="243" spans="1:7" s="73" customFormat="1" ht="14.25" customHeight="1">
      <c r="A243" s="84" t="s">
        <v>311</v>
      </c>
      <c r="B243" s="84" t="s">
        <v>2492</v>
      </c>
      <c r="C243" s="84">
        <v>6000</v>
      </c>
      <c r="D243" s="84">
        <v>5970</v>
      </c>
      <c r="E243" s="84">
        <v>7370</v>
      </c>
      <c r="F243" s="84">
        <v>1070</v>
      </c>
      <c r="G243" s="84">
        <v>3670</v>
      </c>
    </row>
    <row r="244" spans="1:7" s="73" customFormat="1" ht="14.25" customHeight="1">
      <c r="A244" s="84" t="s">
        <v>311</v>
      </c>
      <c r="B244" s="84" t="s">
        <v>2493</v>
      </c>
      <c r="C244" s="84">
        <v>5840</v>
      </c>
      <c r="D244" s="84">
        <v>5810</v>
      </c>
      <c r="E244" s="84">
        <v>7240</v>
      </c>
      <c r="F244" s="84">
        <v>1100</v>
      </c>
      <c r="G244" s="84">
        <v>3560</v>
      </c>
    </row>
    <row r="245" spans="1:7" s="73" customFormat="1" ht="14.25" customHeight="1">
      <c r="A245" s="84" t="s">
        <v>311</v>
      </c>
      <c r="B245" s="84" t="s">
        <v>2494</v>
      </c>
      <c r="C245" s="84">
        <v>6040</v>
      </c>
      <c r="D245" s="84">
        <v>6000</v>
      </c>
      <c r="E245" s="84">
        <v>7420</v>
      </c>
      <c r="F245" s="84">
        <v>1140</v>
      </c>
      <c r="G245" s="84">
        <v>3690</v>
      </c>
    </row>
    <row r="246" spans="1:7" s="73" customFormat="1" ht="14.25" customHeight="1">
      <c r="A246" s="84" t="s">
        <v>311</v>
      </c>
      <c r="B246" s="84" t="s">
        <v>2495</v>
      </c>
      <c r="C246" s="84">
        <v>5890</v>
      </c>
      <c r="D246" s="84">
        <v>5860</v>
      </c>
      <c r="E246" s="84">
        <v>7300</v>
      </c>
      <c r="F246" s="84">
        <v>1110</v>
      </c>
      <c r="G246" s="84">
        <v>3590</v>
      </c>
    </row>
    <row r="247" spans="1:7" s="73" customFormat="1" ht="14.25" customHeight="1">
      <c r="A247" s="84" t="s">
        <v>311</v>
      </c>
      <c r="B247" s="84" t="s">
        <v>2496</v>
      </c>
      <c r="C247" s="84">
        <v>6480</v>
      </c>
      <c r="D247" s="84">
        <v>6450</v>
      </c>
      <c r="E247" s="84">
        <v>8010</v>
      </c>
      <c r="F247" s="84">
        <v>1170</v>
      </c>
      <c r="G247" s="84">
        <v>3960</v>
      </c>
    </row>
    <row r="248" spans="1:7" s="73" customFormat="1" ht="14.25" customHeight="1">
      <c r="A248" s="84" t="s">
        <v>311</v>
      </c>
      <c r="B248" s="84" t="s">
        <v>2497</v>
      </c>
      <c r="C248" s="84">
        <v>6860</v>
      </c>
      <c r="D248" s="84">
        <v>6840</v>
      </c>
      <c r="E248" s="84">
        <v>8520</v>
      </c>
      <c r="F248" s="84">
        <v>1240</v>
      </c>
      <c r="G248" s="84">
        <v>4200</v>
      </c>
    </row>
    <row r="249" spans="1:7" s="73" customFormat="1" ht="14.25" customHeight="1">
      <c r="A249" s="84" t="s">
        <v>311</v>
      </c>
      <c r="B249" s="84" t="s">
        <v>2498</v>
      </c>
      <c r="C249" s="84">
        <v>7180</v>
      </c>
      <c r="D249" s="84">
        <v>7140</v>
      </c>
      <c r="E249" s="84">
        <v>8900</v>
      </c>
      <c r="F249" s="84">
        <v>1350</v>
      </c>
      <c r="G249" s="84">
        <v>4380</v>
      </c>
    </row>
    <row r="250" spans="1:7" s="73" customFormat="1" ht="14.25" customHeight="1">
      <c r="A250" s="84" t="s">
        <v>311</v>
      </c>
      <c r="B250" s="84" t="s">
        <v>2499</v>
      </c>
      <c r="C250" s="84">
        <v>6880</v>
      </c>
      <c r="D250" s="84">
        <v>6860</v>
      </c>
      <c r="E250" s="84">
        <v>8550</v>
      </c>
      <c r="F250" s="84">
        <v>1220</v>
      </c>
      <c r="G250" s="84">
        <v>4210</v>
      </c>
    </row>
    <row r="251" spans="1:7" s="73" customFormat="1" ht="14.25" customHeight="1">
      <c r="A251" s="84" t="s">
        <v>311</v>
      </c>
      <c r="B251" s="84" t="s">
        <v>2500</v>
      </c>
      <c r="C251" s="84"/>
      <c r="D251" s="84"/>
      <c r="E251" s="84"/>
      <c r="F251" s="84">
        <v>1100</v>
      </c>
      <c r="G251" s="84"/>
    </row>
    <row r="252" spans="1:7" s="73" customFormat="1" ht="14.25" customHeight="1">
      <c r="A252" s="84" t="s">
        <v>311</v>
      </c>
      <c r="B252" s="84" t="s">
        <v>2501</v>
      </c>
      <c r="C252" s="84">
        <v>7240</v>
      </c>
      <c r="D252" s="84">
        <v>7200</v>
      </c>
      <c r="E252" s="84">
        <v>9040</v>
      </c>
      <c r="F252" s="84">
        <v>1380</v>
      </c>
      <c r="G252" s="84">
        <v>4420</v>
      </c>
    </row>
    <row r="253" spans="1:7" s="73" customFormat="1" ht="14.25" customHeight="1">
      <c r="A253" s="84" t="s">
        <v>311</v>
      </c>
      <c r="B253" s="84" t="s">
        <v>2502</v>
      </c>
      <c r="C253" s="84">
        <v>6670</v>
      </c>
      <c r="D253" s="84">
        <v>6650</v>
      </c>
      <c r="E253" s="84">
        <v>8350</v>
      </c>
      <c r="F253" s="84">
        <v>1260</v>
      </c>
      <c r="G253" s="84">
        <v>4080</v>
      </c>
    </row>
    <row r="254" spans="1:7" s="73" customFormat="1" ht="14.25" customHeight="1">
      <c r="A254" s="84" t="s">
        <v>311</v>
      </c>
      <c r="B254" s="84" t="s">
        <v>2503</v>
      </c>
      <c r="C254" s="84">
        <v>7630</v>
      </c>
      <c r="D254" s="84">
        <v>7590</v>
      </c>
      <c r="E254" s="84">
        <v>9380</v>
      </c>
      <c r="F254" s="84">
        <v>1320</v>
      </c>
      <c r="G254" s="84">
        <v>4660</v>
      </c>
    </row>
    <row r="255" spans="1:7" s="73" customFormat="1" ht="14.25" customHeight="1">
      <c r="A255" s="84" t="s">
        <v>311</v>
      </c>
      <c r="B255" s="84" t="s">
        <v>2504</v>
      </c>
      <c r="C255" s="84">
        <v>6940</v>
      </c>
      <c r="D255" s="84">
        <v>6890</v>
      </c>
      <c r="E255" s="84">
        <v>8650</v>
      </c>
      <c r="F255" s="84">
        <v>1210</v>
      </c>
      <c r="G255" s="84">
        <v>4230</v>
      </c>
    </row>
    <row r="256" spans="1:7" s="73" customFormat="1" ht="14.25" customHeight="1">
      <c r="A256" s="84" t="s">
        <v>311</v>
      </c>
      <c r="B256" s="84" t="s">
        <v>2505</v>
      </c>
      <c r="C256" s="84">
        <v>7520</v>
      </c>
      <c r="D256" s="84">
        <v>7490</v>
      </c>
      <c r="E256" s="84">
        <v>9240</v>
      </c>
      <c r="F256" s="84">
        <v>1270</v>
      </c>
      <c r="G256" s="84">
        <v>4590</v>
      </c>
    </row>
    <row r="257" spans="1:7" s="73" customFormat="1" ht="14.25" customHeight="1">
      <c r="A257" s="84" t="s">
        <v>311</v>
      </c>
      <c r="B257" s="84" t="s">
        <v>2506</v>
      </c>
      <c r="C257" s="84">
        <v>6280</v>
      </c>
      <c r="D257" s="84">
        <v>6230</v>
      </c>
      <c r="E257" s="84">
        <v>7740</v>
      </c>
      <c r="F257" s="84">
        <v>1080</v>
      </c>
      <c r="G257" s="84">
        <v>3830</v>
      </c>
    </row>
    <row r="258" spans="1:7" s="73" customFormat="1" ht="14.25" customHeight="1">
      <c r="A258" s="84" t="s">
        <v>311</v>
      </c>
      <c r="B258" s="84" t="s">
        <v>2507</v>
      </c>
      <c r="C258" s="84">
        <v>6190</v>
      </c>
      <c r="D258" s="84">
        <v>6160</v>
      </c>
      <c r="E258" s="84">
        <v>7680</v>
      </c>
      <c r="F258" s="84">
        <v>1170</v>
      </c>
      <c r="G258" s="84">
        <v>3780</v>
      </c>
    </row>
    <row r="259" spans="1:7" s="73" customFormat="1" ht="14.25" customHeight="1">
      <c r="A259" s="84" t="s">
        <v>311</v>
      </c>
      <c r="B259" s="84" t="s">
        <v>2508</v>
      </c>
      <c r="C259" s="84">
        <v>7610</v>
      </c>
      <c r="D259" s="84">
        <v>7570</v>
      </c>
      <c r="E259" s="84">
        <v>9350</v>
      </c>
      <c r="F259" s="84">
        <v>1350</v>
      </c>
      <c r="G259" s="84">
        <v>4650</v>
      </c>
    </row>
    <row r="260" spans="1:7" s="73" customFormat="1" ht="14.25" customHeight="1">
      <c r="A260" s="84" t="s">
        <v>311</v>
      </c>
      <c r="B260" s="84" t="s">
        <v>2509</v>
      </c>
      <c r="C260" s="84">
        <v>6920</v>
      </c>
      <c r="D260" s="84">
        <v>6880</v>
      </c>
      <c r="E260" s="84">
        <v>8380</v>
      </c>
      <c r="F260" s="84">
        <v>1160</v>
      </c>
      <c r="G260" s="84">
        <v>4220</v>
      </c>
    </row>
    <row r="261" spans="1:7" s="73" customFormat="1" ht="14.25" customHeight="1">
      <c r="A261" s="84" t="s">
        <v>311</v>
      </c>
      <c r="B261" s="84" t="s">
        <v>2510</v>
      </c>
      <c r="C261" s="84">
        <v>6850</v>
      </c>
      <c r="D261" s="84">
        <v>6810</v>
      </c>
      <c r="E261" s="84">
        <v>8290</v>
      </c>
      <c r="F261" s="84">
        <v>1130</v>
      </c>
      <c r="G261" s="84">
        <v>4180</v>
      </c>
    </row>
    <row r="262" spans="1:7" s="73" customFormat="1" ht="14.25" customHeight="1">
      <c r="A262" s="84" t="s">
        <v>311</v>
      </c>
      <c r="B262" s="84" t="s">
        <v>2511</v>
      </c>
      <c r="C262" s="84">
        <v>5860</v>
      </c>
      <c r="D262" s="84">
        <v>5820</v>
      </c>
      <c r="E262" s="84">
        <v>7640</v>
      </c>
      <c r="F262" s="84">
        <v>1070</v>
      </c>
      <c r="G262" s="84">
        <v>3570</v>
      </c>
    </row>
    <row r="263" spans="1:7" s="73" customFormat="1" ht="14.25" customHeight="1">
      <c r="A263" s="84" t="s">
        <v>311</v>
      </c>
      <c r="B263" s="84" t="s">
        <v>2512</v>
      </c>
      <c r="C263" s="84">
        <v>5870</v>
      </c>
      <c r="D263" s="84">
        <v>5840</v>
      </c>
      <c r="E263" s="84">
        <v>7270</v>
      </c>
      <c r="F263" s="84">
        <v>1190</v>
      </c>
      <c r="G263" s="84">
        <v>3580</v>
      </c>
    </row>
    <row r="264" spans="1:7" s="73" customFormat="1" ht="14.25" customHeight="1">
      <c r="A264" s="84" t="s">
        <v>311</v>
      </c>
      <c r="B264" s="84" t="s">
        <v>2513</v>
      </c>
      <c r="C264" s="84">
        <v>6190</v>
      </c>
      <c r="D264" s="84">
        <v>6150</v>
      </c>
      <c r="E264" s="84">
        <v>7660</v>
      </c>
      <c r="F264" s="84">
        <v>1160</v>
      </c>
      <c r="G264" s="84">
        <v>3770</v>
      </c>
    </row>
    <row r="265" spans="1:7" s="73" customFormat="1" ht="14.25" customHeight="1">
      <c r="A265" s="84" t="s">
        <v>311</v>
      </c>
      <c r="B265" s="84" t="s">
        <v>2514</v>
      </c>
      <c r="C265" s="84"/>
      <c r="D265" s="84"/>
      <c r="E265" s="84"/>
      <c r="F265" s="84">
        <v>1500</v>
      </c>
      <c r="G265" s="84"/>
    </row>
    <row r="266" spans="1:7" s="73" customFormat="1" ht="14.25" customHeight="1">
      <c r="A266" s="84" t="s">
        <v>311</v>
      </c>
      <c r="B266" s="84" t="s">
        <v>2515</v>
      </c>
      <c r="C266" s="84"/>
      <c r="D266" s="84"/>
      <c r="E266" s="84"/>
      <c r="F266" s="84">
        <v>1500</v>
      </c>
      <c r="G266" s="84"/>
    </row>
    <row r="267" spans="1:7" s="73" customFormat="1" ht="14.25" customHeight="1">
      <c r="A267" s="84" t="s">
        <v>311</v>
      </c>
      <c r="B267" s="84" t="s">
        <v>2516</v>
      </c>
      <c r="C267" s="84"/>
      <c r="D267" s="84"/>
      <c r="E267" s="84"/>
      <c r="F267" s="84">
        <v>1500</v>
      </c>
      <c r="G267" s="84"/>
    </row>
    <row r="268" spans="1:7" s="73" customFormat="1" ht="14.25" customHeight="1">
      <c r="A268" s="84" t="s">
        <v>311</v>
      </c>
      <c r="B268" s="84" t="s">
        <v>2517</v>
      </c>
      <c r="C268" s="84"/>
      <c r="D268" s="84"/>
      <c r="E268" s="84"/>
      <c r="F268" s="84">
        <v>1290</v>
      </c>
      <c r="G268" s="84"/>
    </row>
    <row r="269" spans="1:7" s="73" customFormat="1" ht="14.25" customHeight="1">
      <c r="A269" s="84" t="s">
        <v>311</v>
      </c>
      <c r="B269" s="84" t="s">
        <v>2518</v>
      </c>
      <c r="C269" s="84"/>
      <c r="D269" s="84"/>
      <c r="E269" s="84"/>
      <c r="F269" s="84">
        <v>1150</v>
      </c>
      <c r="G269" s="84"/>
    </row>
    <row r="270" spans="1:7" s="73" customFormat="1" ht="14.25" customHeight="1">
      <c r="A270" s="84" t="s">
        <v>311</v>
      </c>
      <c r="B270" s="84" t="s">
        <v>2519</v>
      </c>
      <c r="C270" s="84"/>
      <c r="D270" s="84"/>
      <c r="E270" s="84"/>
      <c r="F270" s="84">
        <v>1380</v>
      </c>
      <c r="G270" s="84"/>
    </row>
    <row r="271" spans="1:7" s="73" customFormat="1" ht="14.25" customHeight="1">
      <c r="A271" s="84" t="s">
        <v>311</v>
      </c>
      <c r="B271" s="84" t="s">
        <v>2520</v>
      </c>
      <c r="C271" s="84"/>
      <c r="D271" s="84"/>
      <c r="E271" s="84"/>
      <c r="F271" s="84">
        <v>1460</v>
      </c>
      <c r="G271" s="84"/>
    </row>
    <row r="272" spans="1:7" s="73" customFormat="1" ht="14.25" customHeight="1">
      <c r="A272" s="84" t="s">
        <v>311</v>
      </c>
      <c r="B272" s="84" t="s">
        <v>2521</v>
      </c>
      <c r="C272" s="84"/>
      <c r="D272" s="84"/>
      <c r="E272" s="84"/>
      <c r="F272" s="84">
        <v>1460</v>
      </c>
      <c r="G272" s="84"/>
    </row>
    <row r="273" spans="1:7" s="73" customFormat="1" ht="14.25" customHeight="1">
      <c r="A273" s="84" t="s">
        <v>311</v>
      </c>
      <c r="B273" s="84" t="s">
        <v>2522</v>
      </c>
      <c r="C273" s="84"/>
      <c r="D273" s="84"/>
      <c r="E273" s="84"/>
      <c r="F273" s="84">
        <v>1490</v>
      </c>
      <c r="G273" s="84"/>
    </row>
    <row r="274" spans="1:7" s="73" customFormat="1" ht="14.25" customHeight="1">
      <c r="A274" s="84" t="s">
        <v>311</v>
      </c>
      <c r="B274" s="84" t="s">
        <v>2523</v>
      </c>
      <c r="C274" s="84"/>
      <c r="D274" s="84"/>
      <c r="E274" s="84"/>
      <c r="F274" s="84">
        <v>1490</v>
      </c>
      <c r="G274" s="84"/>
    </row>
    <row r="275" spans="1:7" s="73" customFormat="1" ht="14.25" customHeight="1">
      <c r="A275" s="84" t="s">
        <v>311</v>
      </c>
      <c r="B275" s="84" t="s">
        <v>2524</v>
      </c>
      <c r="C275" s="84"/>
      <c r="D275" s="84"/>
      <c r="E275" s="84"/>
      <c r="F275" s="84">
        <v>1220</v>
      </c>
      <c r="G275" s="84"/>
    </row>
    <row r="276" spans="1:7" s="73" customFormat="1" ht="14.25" customHeight="1">
      <c r="A276" s="91" t="s">
        <v>311</v>
      </c>
      <c r="B276" s="93" t="s">
        <v>2525</v>
      </c>
      <c r="C276" s="94"/>
      <c r="D276" s="94"/>
      <c r="E276" s="94"/>
      <c r="F276" s="94">
        <v>1380</v>
      </c>
      <c r="G276" s="94"/>
    </row>
    <row r="277" spans="1:7" s="73" customFormat="1" ht="14.25" customHeight="1">
      <c r="A277" s="88" t="s">
        <v>318</v>
      </c>
      <c r="B277" s="80" t="s">
        <v>2526</v>
      </c>
      <c r="C277" s="80">
        <v>5790</v>
      </c>
      <c r="D277" s="80">
        <v>5740</v>
      </c>
      <c r="E277" s="80">
        <v>6730</v>
      </c>
      <c r="F277" s="80">
        <v>1110</v>
      </c>
      <c r="G277" s="95">
        <v>3460</v>
      </c>
    </row>
    <row r="278" spans="1:7" s="73" customFormat="1" ht="14.25" customHeight="1">
      <c r="A278" s="84" t="s">
        <v>318</v>
      </c>
      <c r="B278" s="84" t="s">
        <v>2527</v>
      </c>
      <c r="C278" s="84">
        <v>5740</v>
      </c>
      <c r="D278" s="84">
        <v>5670</v>
      </c>
      <c r="E278" s="84">
        <v>6680</v>
      </c>
      <c r="F278" s="84">
        <v>1070</v>
      </c>
      <c r="G278" s="96">
        <v>3420</v>
      </c>
    </row>
    <row r="279" spans="1:7" s="73" customFormat="1" ht="14.25" customHeight="1">
      <c r="A279" s="84" t="s">
        <v>318</v>
      </c>
      <c r="B279" s="84" t="s">
        <v>2528</v>
      </c>
      <c r="C279" s="84">
        <v>4760</v>
      </c>
      <c r="D279" s="84">
        <v>4720</v>
      </c>
      <c r="E279" s="84">
        <v>5540</v>
      </c>
      <c r="F279" s="84">
        <v>810</v>
      </c>
      <c r="G279" s="96">
        <v>2850</v>
      </c>
    </row>
    <row r="280" spans="1:7" s="73" customFormat="1" ht="14.25" customHeight="1">
      <c r="A280" s="84" t="s">
        <v>318</v>
      </c>
      <c r="B280" s="84" t="s">
        <v>2529</v>
      </c>
      <c r="C280" s="84">
        <v>4010</v>
      </c>
      <c r="D280" s="84">
        <v>3950</v>
      </c>
      <c r="E280" s="84">
        <v>4710</v>
      </c>
      <c r="F280" s="84">
        <v>800</v>
      </c>
      <c r="G280" s="96">
        <v>2390</v>
      </c>
    </row>
    <row r="281" spans="1:7" s="73" customFormat="1" ht="14.25" customHeight="1">
      <c r="A281" s="84" t="s">
        <v>318</v>
      </c>
      <c r="B281" s="84" t="s">
        <v>2530</v>
      </c>
      <c r="C281" s="84">
        <v>4480</v>
      </c>
      <c r="D281" s="84">
        <v>4420</v>
      </c>
      <c r="E281" s="84">
        <v>5230</v>
      </c>
      <c r="F281" s="84">
        <v>870</v>
      </c>
      <c r="G281" s="96">
        <v>2660</v>
      </c>
    </row>
    <row r="282" spans="1:7" s="73" customFormat="1" ht="14.25" customHeight="1">
      <c r="A282" s="84" t="s">
        <v>318</v>
      </c>
      <c r="B282" s="84" t="s">
        <v>2531</v>
      </c>
      <c r="C282" s="84">
        <v>5360</v>
      </c>
      <c r="D282" s="84">
        <v>5300</v>
      </c>
      <c r="E282" s="84">
        <v>6190</v>
      </c>
      <c r="F282" s="84">
        <v>950</v>
      </c>
      <c r="G282" s="96">
        <v>3190</v>
      </c>
    </row>
    <row r="283" spans="1:7" s="73" customFormat="1" ht="14.25" customHeight="1">
      <c r="A283" s="84" t="s">
        <v>318</v>
      </c>
      <c r="B283" s="84" t="s">
        <v>2532</v>
      </c>
      <c r="C283" s="84">
        <v>4950</v>
      </c>
      <c r="D283" s="84">
        <v>4900</v>
      </c>
      <c r="E283" s="84">
        <v>5720</v>
      </c>
      <c r="F283" s="84">
        <v>920</v>
      </c>
      <c r="G283" s="96">
        <v>2950</v>
      </c>
    </row>
    <row r="284" spans="1:7" s="73" customFormat="1" ht="14.25" customHeight="1">
      <c r="A284" s="84" t="s">
        <v>318</v>
      </c>
      <c r="B284" s="84" t="s">
        <v>2533</v>
      </c>
      <c r="C284" s="84">
        <v>5610</v>
      </c>
      <c r="D284" s="84">
        <v>5560</v>
      </c>
      <c r="E284" s="84">
        <v>6520</v>
      </c>
      <c r="F284" s="84">
        <v>1030</v>
      </c>
      <c r="G284" s="96">
        <v>3360</v>
      </c>
    </row>
    <row r="285" spans="1:7" s="73" customFormat="1" ht="14.25" customHeight="1">
      <c r="A285" s="84" t="s">
        <v>318</v>
      </c>
      <c r="B285" s="84" t="s">
        <v>2534</v>
      </c>
      <c r="C285" s="84">
        <v>5340</v>
      </c>
      <c r="D285" s="84">
        <v>5290</v>
      </c>
      <c r="E285" s="84">
        <v>6170</v>
      </c>
      <c r="F285" s="84">
        <v>1080</v>
      </c>
      <c r="G285" s="96">
        <v>3180</v>
      </c>
    </row>
    <row r="286" spans="1:7" s="73" customFormat="1" ht="14.25" customHeight="1">
      <c r="A286" s="84" t="s">
        <v>318</v>
      </c>
      <c r="B286" s="84" t="s">
        <v>2535</v>
      </c>
      <c r="C286" s="84">
        <v>4890</v>
      </c>
      <c r="D286" s="84">
        <v>4840</v>
      </c>
      <c r="E286" s="84">
        <v>5640</v>
      </c>
      <c r="F286" s="84">
        <v>960</v>
      </c>
      <c r="G286" s="96">
        <v>2910</v>
      </c>
    </row>
    <row r="287" spans="1:7" s="73" customFormat="1" ht="14.25" customHeight="1">
      <c r="A287" s="84" t="s">
        <v>318</v>
      </c>
      <c r="B287" s="84" t="s">
        <v>2536</v>
      </c>
      <c r="C287" s="84">
        <v>4960</v>
      </c>
      <c r="D287" s="84">
        <v>4920</v>
      </c>
      <c r="E287" s="84">
        <v>5730</v>
      </c>
      <c r="F287" s="84">
        <v>930</v>
      </c>
      <c r="G287" s="96">
        <v>2960</v>
      </c>
    </row>
    <row r="288" spans="1:7" s="73" customFormat="1" ht="14.25" customHeight="1">
      <c r="A288" s="84" t="s">
        <v>318</v>
      </c>
      <c r="B288" s="84" t="s">
        <v>2537</v>
      </c>
      <c r="C288" s="84">
        <v>4350</v>
      </c>
      <c r="D288" s="84">
        <v>4300</v>
      </c>
      <c r="E288" s="84">
        <v>4900</v>
      </c>
      <c r="F288" s="84">
        <v>820</v>
      </c>
      <c r="G288" s="96">
        <v>2590</v>
      </c>
    </row>
    <row r="289" spans="1:7" s="73" customFormat="1" ht="14.25" customHeight="1">
      <c r="A289" s="84" t="s">
        <v>318</v>
      </c>
      <c r="B289" s="84" t="s">
        <v>2538</v>
      </c>
      <c r="C289" s="84">
        <v>5230</v>
      </c>
      <c r="D289" s="84">
        <v>5170</v>
      </c>
      <c r="E289" s="84">
        <v>6060</v>
      </c>
      <c r="F289" s="84">
        <v>900</v>
      </c>
      <c r="G289" s="96">
        <v>3120</v>
      </c>
    </row>
    <row r="290" spans="1:7" s="73" customFormat="1" ht="14.25" customHeight="1">
      <c r="A290" s="84" t="s">
        <v>318</v>
      </c>
      <c r="B290" s="84" t="s">
        <v>2539</v>
      </c>
      <c r="C290" s="84">
        <v>5550</v>
      </c>
      <c r="D290" s="84">
        <v>5500</v>
      </c>
      <c r="E290" s="84">
        <v>6440</v>
      </c>
      <c r="F290" s="84">
        <v>960</v>
      </c>
      <c r="G290" s="96">
        <v>3320</v>
      </c>
    </row>
    <row r="291" spans="1:7" s="73" customFormat="1" ht="14.25" customHeight="1">
      <c r="A291" s="84" t="s">
        <v>318</v>
      </c>
      <c r="B291" s="84" t="s">
        <v>2540</v>
      </c>
      <c r="C291" s="84">
        <v>5440</v>
      </c>
      <c r="D291" s="84">
        <v>5400</v>
      </c>
      <c r="E291" s="84">
        <v>6320</v>
      </c>
      <c r="F291" s="84">
        <v>930</v>
      </c>
      <c r="G291" s="96">
        <v>3250</v>
      </c>
    </row>
    <row r="292" spans="1:7" s="73" customFormat="1" ht="14.25" customHeight="1">
      <c r="A292" s="84" t="s">
        <v>318</v>
      </c>
      <c r="B292" s="84" t="s">
        <v>2541</v>
      </c>
      <c r="C292" s="84">
        <v>5400</v>
      </c>
      <c r="D292" s="84">
        <v>5360</v>
      </c>
      <c r="E292" s="84">
        <v>6270</v>
      </c>
      <c r="F292" s="84">
        <v>1040</v>
      </c>
      <c r="G292" s="96">
        <v>3230</v>
      </c>
    </row>
    <row r="293" spans="1:7" s="73" customFormat="1" ht="14.25" customHeight="1">
      <c r="A293" s="84" t="s">
        <v>318</v>
      </c>
      <c r="B293" s="84" t="s">
        <v>2542</v>
      </c>
      <c r="C293" s="84">
        <v>5320</v>
      </c>
      <c r="D293" s="84">
        <v>5270</v>
      </c>
      <c r="E293" s="84">
        <v>6160</v>
      </c>
      <c r="F293" s="84">
        <v>990</v>
      </c>
      <c r="G293" s="96">
        <v>3170</v>
      </c>
    </row>
    <row r="294" spans="1:7" s="73" customFormat="1" ht="14.25" customHeight="1">
      <c r="A294" s="84" t="s">
        <v>318</v>
      </c>
      <c r="B294" s="84" t="s">
        <v>2543</v>
      </c>
      <c r="C294" s="84">
        <v>5260</v>
      </c>
      <c r="D294" s="84">
        <v>5210</v>
      </c>
      <c r="E294" s="84">
        <v>6100</v>
      </c>
      <c r="F294" s="84">
        <v>950</v>
      </c>
      <c r="G294" s="96">
        <v>3150</v>
      </c>
    </row>
    <row r="295" spans="1:7" s="73" customFormat="1" ht="14.25" customHeight="1">
      <c r="A295" s="84" t="s">
        <v>318</v>
      </c>
      <c r="B295" s="84" t="s">
        <v>2544</v>
      </c>
      <c r="C295" s="84">
        <v>5610</v>
      </c>
      <c r="D295" s="84">
        <v>5570</v>
      </c>
      <c r="E295" s="84">
        <v>6530</v>
      </c>
      <c r="F295" s="84">
        <v>960</v>
      </c>
      <c r="G295" s="96">
        <v>3360</v>
      </c>
    </row>
    <row r="296" spans="1:7" s="73" customFormat="1" ht="14.25" customHeight="1">
      <c r="A296" s="84" t="s">
        <v>318</v>
      </c>
      <c r="B296" s="84" t="s">
        <v>2545</v>
      </c>
      <c r="C296" s="84">
        <v>5540</v>
      </c>
      <c r="D296" s="84">
        <v>5490</v>
      </c>
      <c r="E296" s="84">
        <v>6430</v>
      </c>
      <c r="F296" s="84">
        <v>980</v>
      </c>
      <c r="G296" s="96">
        <v>3310</v>
      </c>
    </row>
    <row r="297" spans="1:7" s="73" customFormat="1" ht="14.25" customHeight="1">
      <c r="A297" s="84" t="s">
        <v>318</v>
      </c>
      <c r="B297" s="84" t="s">
        <v>2546</v>
      </c>
      <c r="C297" s="84">
        <v>5480</v>
      </c>
      <c r="D297" s="84">
        <v>5420</v>
      </c>
      <c r="E297" s="84">
        <v>6370</v>
      </c>
      <c r="F297" s="84">
        <v>990</v>
      </c>
      <c r="G297" s="96">
        <v>3270</v>
      </c>
    </row>
    <row r="298" spans="1:7" s="73" customFormat="1" ht="14.25" customHeight="1">
      <c r="A298" s="84" t="s">
        <v>318</v>
      </c>
      <c r="B298" s="84" t="s">
        <v>2547</v>
      </c>
      <c r="C298" s="84">
        <v>5090</v>
      </c>
      <c r="D298" s="84">
        <v>5050</v>
      </c>
      <c r="E298" s="84">
        <v>5910</v>
      </c>
      <c r="F298" s="84">
        <v>900</v>
      </c>
      <c r="G298" s="96">
        <v>3040</v>
      </c>
    </row>
    <row r="299" spans="1:7" s="73" customFormat="1" ht="14.25" customHeight="1">
      <c r="A299" s="84" t="s">
        <v>318</v>
      </c>
      <c r="B299" s="92" t="s">
        <v>2548</v>
      </c>
      <c r="C299" s="84">
        <v>5430</v>
      </c>
      <c r="D299" s="84">
        <v>5380</v>
      </c>
      <c r="E299" s="84">
        <v>6280</v>
      </c>
      <c r="F299" s="84">
        <v>1000</v>
      </c>
      <c r="G299" s="96">
        <v>3240</v>
      </c>
    </row>
    <row r="300" spans="1:7" s="73" customFormat="1" ht="14.25" customHeight="1">
      <c r="A300" s="84" t="s">
        <v>318</v>
      </c>
      <c r="B300" s="92" t="s">
        <v>2549</v>
      </c>
      <c r="C300" s="84">
        <v>4740</v>
      </c>
      <c r="D300" s="84">
        <v>4680</v>
      </c>
      <c r="E300" s="84">
        <v>5450</v>
      </c>
      <c r="F300" s="84">
        <v>900</v>
      </c>
      <c r="G300" s="96">
        <v>2830</v>
      </c>
    </row>
    <row r="301" spans="1:7" s="73" customFormat="1" ht="14.25" customHeight="1">
      <c r="A301" s="84" t="s">
        <v>318</v>
      </c>
      <c r="B301" s="92" t="s">
        <v>2550</v>
      </c>
      <c r="C301" s="84">
        <v>4870</v>
      </c>
      <c r="D301" s="84">
        <v>4810</v>
      </c>
      <c r="E301" s="84">
        <v>5560</v>
      </c>
      <c r="F301" s="84">
        <v>990</v>
      </c>
      <c r="G301" s="96">
        <v>2910</v>
      </c>
    </row>
    <row r="302" spans="1:7" s="73" customFormat="1" ht="14.25" customHeight="1">
      <c r="A302" s="84" t="s">
        <v>318</v>
      </c>
      <c r="B302" s="84" t="s">
        <v>2551</v>
      </c>
      <c r="C302" s="84">
        <v>5520</v>
      </c>
      <c r="D302" s="84">
        <v>5470</v>
      </c>
      <c r="E302" s="84">
        <v>6410</v>
      </c>
      <c r="F302" s="84">
        <v>950</v>
      </c>
      <c r="G302" s="96">
        <v>3300</v>
      </c>
    </row>
    <row r="303" spans="1:7" s="73" customFormat="1" ht="14.25" customHeight="1">
      <c r="A303" s="84" t="s">
        <v>318</v>
      </c>
      <c r="B303" s="84" t="s">
        <v>2552</v>
      </c>
      <c r="C303" s="84">
        <v>5630</v>
      </c>
      <c r="D303" s="84">
        <v>5590</v>
      </c>
      <c r="E303" s="84">
        <v>6550</v>
      </c>
      <c r="F303" s="84">
        <v>1010</v>
      </c>
      <c r="G303" s="96">
        <v>3370</v>
      </c>
    </row>
    <row r="304" spans="1:7" s="73" customFormat="1" ht="14.25" customHeight="1">
      <c r="A304" s="84" t="s">
        <v>318</v>
      </c>
      <c r="B304" s="84" t="s">
        <v>2553</v>
      </c>
      <c r="C304" s="84">
        <v>5680</v>
      </c>
      <c r="D304" s="84">
        <v>5620</v>
      </c>
      <c r="E304" s="84">
        <v>6620</v>
      </c>
      <c r="F304" s="84">
        <v>1050</v>
      </c>
      <c r="G304" s="96">
        <v>3390</v>
      </c>
    </row>
    <row r="305" spans="1:7" s="73" customFormat="1" ht="14.25" customHeight="1">
      <c r="A305" s="84" t="s">
        <v>318</v>
      </c>
      <c r="B305" s="84" t="s">
        <v>2554</v>
      </c>
      <c r="C305" s="84">
        <v>5590</v>
      </c>
      <c r="D305" s="84">
        <v>5530</v>
      </c>
      <c r="E305" s="84">
        <v>6460</v>
      </c>
      <c r="F305" s="84">
        <v>900</v>
      </c>
      <c r="G305" s="96">
        <v>3340</v>
      </c>
    </row>
    <row r="306" spans="1:7" s="73" customFormat="1" ht="14.25" customHeight="1">
      <c r="A306" s="84" t="s">
        <v>318</v>
      </c>
      <c r="B306" s="84" t="s">
        <v>2555</v>
      </c>
      <c r="C306" s="84">
        <v>5560</v>
      </c>
      <c r="D306" s="84">
        <v>5510</v>
      </c>
      <c r="E306" s="84">
        <v>6440</v>
      </c>
      <c r="F306" s="84">
        <v>900</v>
      </c>
      <c r="G306" s="96">
        <v>3320</v>
      </c>
    </row>
    <row r="307" spans="1:7" s="73" customFormat="1" ht="14.25" customHeight="1">
      <c r="A307" s="84" t="s">
        <v>318</v>
      </c>
      <c r="B307" s="84" t="s">
        <v>2556</v>
      </c>
      <c r="C307" s="84">
        <v>5650</v>
      </c>
      <c r="D307" s="84">
        <v>5600</v>
      </c>
      <c r="E307" s="84">
        <v>6590</v>
      </c>
      <c r="F307" s="84">
        <v>930</v>
      </c>
      <c r="G307" s="96">
        <v>3380</v>
      </c>
    </row>
    <row r="308" spans="1:7" s="73" customFormat="1" ht="14.25" customHeight="1">
      <c r="A308" s="84" t="s">
        <v>318</v>
      </c>
      <c r="B308" s="84" t="s">
        <v>2557</v>
      </c>
      <c r="C308" s="84">
        <v>5620</v>
      </c>
      <c r="D308" s="84">
        <v>5580</v>
      </c>
      <c r="E308" s="84">
        <v>6540</v>
      </c>
      <c r="F308" s="84">
        <v>910</v>
      </c>
      <c r="G308" s="96">
        <v>3370</v>
      </c>
    </row>
    <row r="309" spans="1:7" s="73" customFormat="1" ht="14.25" customHeight="1">
      <c r="A309" s="84" t="s">
        <v>318</v>
      </c>
      <c r="B309" s="84" t="s">
        <v>2558</v>
      </c>
      <c r="C309" s="84">
        <v>5060</v>
      </c>
      <c r="D309" s="84">
        <v>5020</v>
      </c>
      <c r="E309" s="84">
        <v>6370</v>
      </c>
      <c r="F309" s="84">
        <v>800</v>
      </c>
      <c r="G309" s="96">
        <v>3020</v>
      </c>
    </row>
    <row r="310" spans="1:7" s="73" customFormat="1" ht="14.25" customHeight="1">
      <c r="A310" s="84" t="s">
        <v>318</v>
      </c>
      <c r="B310" s="84" t="s">
        <v>2559</v>
      </c>
      <c r="C310" s="84">
        <v>5150</v>
      </c>
      <c r="D310" s="84">
        <v>5110</v>
      </c>
      <c r="E310" s="84">
        <v>6500</v>
      </c>
      <c r="F310" s="84">
        <v>880</v>
      </c>
      <c r="G310" s="96">
        <v>3080</v>
      </c>
    </row>
    <row r="311" spans="1:7" s="73" customFormat="1" ht="14.25" customHeight="1">
      <c r="A311" s="84" t="s">
        <v>318</v>
      </c>
      <c r="B311" s="84" t="s">
        <v>2560</v>
      </c>
      <c r="C311" s="84">
        <v>4750</v>
      </c>
      <c r="D311" s="84">
        <v>4710</v>
      </c>
      <c r="E311" s="84">
        <v>5510</v>
      </c>
      <c r="F311" s="84">
        <v>880</v>
      </c>
      <c r="G311" s="96">
        <v>2840</v>
      </c>
    </row>
    <row r="312" spans="1:7" s="73" customFormat="1" ht="14.25" customHeight="1">
      <c r="A312" s="84" t="s">
        <v>318</v>
      </c>
      <c r="B312" s="84" t="s">
        <v>2561</v>
      </c>
      <c r="C312" s="84">
        <v>4690</v>
      </c>
      <c r="D312" s="84">
        <v>4640</v>
      </c>
      <c r="E312" s="84">
        <v>5420</v>
      </c>
      <c r="F312" s="84">
        <v>800</v>
      </c>
      <c r="G312" s="96">
        <v>2800</v>
      </c>
    </row>
    <row r="313" spans="1:7" s="73" customFormat="1" ht="14.25" customHeight="1">
      <c r="A313" s="84" t="s">
        <v>318</v>
      </c>
      <c r="B313" s="84" t="s">
        <v>2562</v>
      </c>
      <c r="C313" s="84">
        <v>4810</v>
      </c>
      <c r="D313" s="84">
        <v>4760</v>
      </c>
      <c r="E313" s="84">
        <v>5550</v>
      </c>
      <c r="F313" s="84">
        <v>920</v>
      </c>
      <c r="G313" s="96">
        <v>2870</v>
      </c>
    </row>
    <row r="314" spans="1:7" s="73" customFormat="1" ht="14.25" customHeight="1">
      <c r="A314" s="84" t="s">
        <v>318</v>
      </c>
      <c r="B314" s="84" t="s">
        <v>2563</v>
      </c>
      <c r="C314" s="84"/>
      <c r="D314" s="84"/>
      <c r="E314" s="84"/>
      <c r="F314" s="84">
        <v>1020</v>
      </c>
      <c r="G314" s="96"/>
    </row>
    <row r="315" spans="1:7" s="73" customFormat="1" ht="14.25" customHeight="1">
      <c r="A315" s="84" t="s">
        <v>318</v>
      </c>
      <c r="B315" s="84" t="s">
        <v>2564</v>
      </c>
      <c r="C315" s="84"/>
      <c r="D315" s="84"/>
      <c r="E315" s="84"/>
      <c r="F315" s="84">
        <v>1050</v>
      </c>
      <c r="G315" s="96"/>
    </row>
    <row r="316" spans="1:7" s="73" customFormat="1" ht="14.25" customHeight="1">
      <c r="A316" s="84" t="s">
        <v>318</v>
      </c>
      <c r="B316" s="84" t="s">
        <v>2565</v>
      </c>
      <c r="C316" s="84"/>
      <c r="D316" s="84"/>
      <c r="E316" s="84"/>
      <c r="F316" s="84">
        <v>900</v>
      </c>
      <c r="G316" s="96"/>
    </row>
    <row r="317" spans="1:7" s="73" customFormat="1" ht="14.25" customHeight="1">
      <c r="A317" s="84" t="s">
        <v>318</v>
      </c>
      <c r="B317" s="84" t="s">
        <v>2566</v>
      </c>
      <c r="C317" s="84"/>
      <c r="D317" s="84"/>
      <c r="E317" s="84"/>
      <c r="F317" s="84">
        <v>920</v>
      </c>
      <c r="G317" s="96"/>
    </row>
    <row r="318" spans="1:7" s="73" customFormat="1" ht="14.25" customHeight="1">
      <c r="A318" s="84" t="s">
        <v>318</v>
      </c>
      <c r="B318" s="84" t="s">
        <v>2567</v>
      </c>
      <c r="C318" s="84"/>
      <c r="D318" s="84"/>
      <c r="E318" s="84"/>
      <c r="F318" s="84">
        <v>1080</v>
      </c>
      <c r="G318" s="96"/>
    </row>
    <row r="319" spans="1:7" s="73" customFormat="1" ht="14.25" customHeight="1">
      <c r="A319" s="84" t="s">
        <v>318</v>
      </c>
      <c r="B319" s="84" t="s">
        <v>2568</v>
      </c>
      <c r="C319" s="84"/>
      <c r="D319" s="84"/>
      <c r="E319" s="84"/>
      <c r="F319" s="84">
        <v>1020</v>
      </c>
      <c r="G319" s="96"/>
    </row>
    <row r="320" spans="1:7" s="73" customFormat="1" ht="14.25" customHeight="1">
      <c r="A320" s="84" t="s">
        <v>318</v>
      </c>
      <c r="B320" s="84" t="s">
        <v>2569</v>
      </c>
      <c r="C320" s="84"/>
      <c r="D320" s="84"/>
      <c r="E320" s="84"/>
      <c r="F320" s="84">
        <v>1050</v>
      </c>
      <c r="G320" s="96"/>
    </row>
    <row r="321" spans="1:7" s="73" customFormat="1" ht="14.25" customHeight="1">
      <c r="A321" s="84" t="s">
        <v>318</v>
      </c>
      <c r="B321" s="84" t="s">
        <v>2570</v>
      </c>
      <c r="C321" s="84"/>
      <c r="D321" s="84"/>
      <c r="E321" s="84"/>
      <c r="F321" s="84">
        <v>960</v>
      </c>
      <c r="G321" s="96"/>
    </row>
    <row r="322" spans="1:7" s="73" customFormat="1" ht="14.25" customHeight="1">
      <c r="A322" s="84" t="s">
        <v>318</v>
      </c>
      <c r="B322" s="84" t="s">
        <v>2571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381</v>
      </c>
      <c r="C1" s="8">
        <f>项目基本情况!D3</f>
        <v>45981</v>
      </c>
      <c r="D1" s="7" t="s">
        <v>2767</v>
      </c>
      <c r="E1" s="9">
        <f>'数据-取费表'!B22</f>
        <v>2</v>
      </c>
      <c r="F1" s="7" t="s">
        <v>2768</v>
      </c>
      <c r="G1" s="10">
        <f ca="1">IF(OR(C1&lt;C27,E1&lt;=1),INDIRECT("d"&amp;$K$1)/100,ROUND((D5+(E1-C5)*(D7-D5)/(C7-C5))/100,4))</f>
        <v>3.1300000000000001E-2</v>
      </c>
      <c r="H1" s="7" t="s">
        <v>2769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L45" sqref="L45"/>
    </sheetView>
  </sheetViews>
  <sheetFormatPr defaultColWidth="9" defaultRowHeight="13.5"/>
  <cols>
    <col min="1" max="1" width="15.25" customWidth="1"/>
  </cols>
  <sheetData>
    <row r="1" spans="1:15">
      <c r="A1" t="s">
        <v>2796</v>
      </c>
      <c r="B1" t="s">
        <v>2797</v>
      </c>
      <c r="C1" t="s">
        <v>2798</v>
      </c>
      <c r="D1" t="s">
        <v>2799</v>
      </c>
      <c r="E1" t="s">
        <v>2800</v>
      </c>
      <c r="F1" t="s">
        <v>2801</v>
      </c>
      <c r="G1" t="s">
        <v>2802</v>
      </c>
      <c r="H1" t="s">
        <v>2803</v>
      </c>
      <c r="I1" t="s">
        <v>2804</v>
      </c>
      <c r="J1" t="s">
        <v>2805</v>
      </c>
      <c r="K1" t="s">
        <v>1475</v>
      </c>
      <c r="L1" t="s">
        <v>2806</v>
      </c>
      <c r="M1" t="s">
        <v>2807</v>
      </c>
      <c r="N1" t="s">
        <v>2808</v>
      </c>
      <c r="O1" t="s">
        <v>2809</v>
      </c>
    </row>
    <row r="2" spans="1:15">
      <c r="A2" s="1">
        <v>45904</v>
      </c>
      <c r="D2" t="s">
        <v>2810</v>
      </c>
      <c r="E2">
        <v>1</v>
      </c>
      <c r="F2">
        <v>15</v>
      </c>
      <c r="G2">
        <v>3</v>
      </c>
      <c r="H2">
        <v>312</v>
      </c>
      <c r="I2" t="s">
        <v>2811</v>
      </c>
      <c r="J2" t="s">
        <v>230</v>
      </c>
      <c r="K2" t="s">
        <v>2812</v>
      </c>
      <c r="L2">
        <v>1</v>
      </c>
      <c r="M2">
        <v>139.5</v>
      </c>
      <c r="N2">
        <v>473.92</v>
      </c>
      <c r="O2">
        <v>33973</v>
      </c>
    </row>
    <row r="3" spans="1:15">
      <c r="A3" s="1">
        <v>45904</v>
      </c>
      <c r="D3" t="s">
        <v>2810</v>
      </c>
      <c r="E3">
        <v>1</v>
      </c>
      <c r="F3">
        <v>15</v>
      </c>
      <c r="G3">
        <v>3</v>
      </c>
      <c r="H3">
        <v>301</v>
      </c>
      <c r="I3" t="s">
        <v>2811</v>
      </c>
      <c r="J3" t="s">
        <v>230</v>
      </c>
      <c r="K3" t="s">
        <v>2812</v>
      </c>
      <c r="L3">
        <v>1</v>
      </c>
      <c r="M3">
        <v>137.13999999999999</v>
      </c>
      <c r="N3">
        <v>465.91</v>
      </c>
      <c r="O3">
        <v>33973</v>
      </c>
    </row>
    <row r="4" spans="1:15">
      <c r="A4" s="1">
        <v>45904</v>
      </c>
      <c r="D4" t="s">
        <v>2810</v>
      </c>
      <c r="E4">
        <v>1</v>
      </c>
      <c r="F4">
        <v>15</v>
      </c>
      <c r="G4">
        <v>3</v>
      </c>
      <c r="H4">
        <v>302</v>
      </c>
      <c r="I4" t="s">
        <v>2811</v>
      </c>
      <c r="J4" t="s">
        <v>230</v>
      </c>
      <c r="K4" t="s">
        <v>2812</v>
      </c>
      <c r="L4">
        <v>1</v>
      </c>
      <c r="M4">
        <v>130.02000000000001</v>
      </c>
      <c r="N4">
        <v>441.72</v>
      </c>
      <c r="O4">
        <v>33973</v>
      </c>
    </row>
    <row r="5" spans="1:15">
      <c r="A5" s="1">
        <v>45904</v>
      </c>
      <c r="D5" t="s">
        <v>2810</v>
      </c>
      <c r="E5">
        <v>1</v>
      </c>
      <c r="F5">
        <v>15</v>
      </c>
      <c r="G5">
        <v>3</v>
      </c>
      <c r="H5">
        <v>306</v>
      </c>
      <c r="I5" t="s">
        <v>2811</v>
      </c>
      <c r="J5" t="s">
        <v>230</v>
      </c>
      <c r="K5" t="s">
        <v>2812</v>
      </c>
      <c r="L5">
        <v>1</v>
      </c>
      <c r="M5">
        <v>139.5</v>
      </c>
      <c r="N5">
        <v>473.92</v>
      </c>
      <c r="O5">
        <v>33973</v>
      </c>
    </row>
    <row r="6" spans="1:15">
      <c r="A6" s="1">
        <v>45904</v>
      </c>
      <c r="D6" t="s">
        <v>2810</v>
      </c>
      <c r="E6">
        <v>1</v>
      </c>
      <c r="F6">
        <v>15</v>
      </c>
      <c r="G6">
        <v>3</v>
      </c>
      <c r="H6">
        <v>303</v>
      </c>
      <c r="I6" t="s">
        <v>2811</v>
      </c>
      <c r="J6" t="s">
        <v>230</v>
      </c>
      <c r="K6" t="s">
        <v>2812</v>
      </c>
      <c r="L6">
        <v>1</v>
      </c>
      <c r="M6">
        <v>130.02000000000001</v>
      </c>
      <c r="N6">
        <v>441.72</v>
      </c>
      <c r="O6">
        <v>33973</v>
      </c>
    </row>
    <row r="7" spans="1:15">
      <c r="A7" s="1">
        <v>45904</v>
      </c>
      <c r="D7" t="s">
        <v>2810</v>
      </c>
      <c r="E7">
        <v>1</v>
      </c>
      <c r="F7">
        <v>15</v>
      </c>
      <c r="G7">
        <v>3</v>
      </c>
      <c r="H7">
        <v>305</v>
      </c>
      <c r="I7" t="s">
        <v>2811</v>
      </c>
      <c r="J7" t="s">
        <v>230</v>
      </c>
      <c r="K7" t="s">
        <v>2812</v>
      </c>
      <c r="L7">
        <v>1</v>
      </c>
      <c r="M7">
        <v>137.13999999999999</v>
      </c>
      <c r="N7">
        <v>465.91</v>
      </c>
      <c r="O7">
        <v>33973</v>
      </c>
    </row>
    <row r="8" spans="1:15">
      <c r="A8" s="1">
        <v>45904</v>
      </c>
      <c r="D8" t="s">
        <v>2810</v>
      </c>
      <c r="E8">
        <v>1</v>
      </c>
      <c r="F8">
        <v>15</v>
      </c>
      <c r="G8">
        <v>3</v>
      </c>
      <c r="H8">
        <v>304</v>
      </c>
      <c r="I8" t="s">
        <v>2811</v>
      </c>
      <c r="J8" t="s">
        <v>230</v>
      </c>
      <c r="K8" t="s">
        <v>2812</v>
      </c>
      <c r="L8">
        <v>1</v>
      </c>
      <c r="M8">
        <v>130.02000000000001</v>
      </c>
      <c r="N8">
        <v>441.72</v>
      </c>
      <c r="O8">
        <v>33973</v>
      </c>
    </row>
    <row r="9" spans="1:15">
      <c r="A9" s="1">
        <v>45836</v>
      </c>
      <c r="D9" t="s">
        <v>2813</v>
      </c>
      <c r="E9">
        <v>1</v>
      </c>
      <c r="F9">
        <v>17</v>
      </c>
      <c r="G9">
        <v>8</v>
      </c>
      <c r="H9">
        <v>801</v>
      </c>
      <c r="I9" t="s">
        <v>2814</v>
      </c>
      <c r="J9" t="s">
        <v>230</v>
      </c>
      <c r="K9" t="s">
        <v>2812</v>
      </c>
      <c r="L9">
        <v>1</v>
      </c>
      <c r="M9">
        <v>2470.44</v>
      </c>
      <c r="N9">
        <v>7374.78</v>
      </c>
      <c r="O9">
        <v>29852</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15">
      <c r="A4" s="3126" t="str">
        <f>项目基本情况!S2</f>
        <v>北京市房地产</v>
      </c>
      <c r="B4" s="3125">
        <f>项目基本情况!C17</f>
        <v>296</v>
      </c>
      <c r="C4" s="3125">
        <f>项目基本情况!C18</f>
        <v>0</v>
      </c>
      <c r="D4" s="3125">
        <f>结果表!D118</f>
        <v>0</v>
      </c>
      <c r="E4" s="3125">
        <f>结果表!E118</f>
        <v>0</v>
      </c>
      <c r="F4" s="3125">
        <f>结果表!F118</f>
        <v>0</v>
      </c>
      <c r="G4" s="3125">
        <f>结果表!G118</f>
        <v>0</v>
      </c>
      <c r="H4" s="3125">
        <f ca="1">结果表!H118</f>
        <v>762</v>
      </c>
      <c r="I4" s="3125">
        <f ca="1">结果表!I118</f>
        <v>25738</v>
      </c>
    </row>
    <row r="5" spans="1:9" ht="30" customHeight="1">
      <c r="A5" s="3190" t="s">
        <v>112</v>
      </c>
      <c r="B5" s="3190"/>
      <c r="C5" s="3190"/>
      <c r="D5" s="3190" t="str">
        <f>结果表!D119</f>
        <v>零元整</v>
      </c>
      <c r="E5" s="3190"/>
      <c r="F5" s="3190" t="str">
        <f>结果表!F119</f>
        <v>零元整</v>
      </c>
      <c r="G5" s="3190"/>
      <c r="H5" s="3190" t="str">
        <f ca="1">结果表!H119</f>
        <v>柒佰陆拾贰万元整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762</v>
      </c>
      <c r="E8" s="3191"/>
      <c r="F8" s="3191"/>
      <c r="G8" s="3191"/>
      <c r="H8" s="3191"/>
      <c r="I8" s="3191"/>
    </row>
    <row r="9" spans="1:9" ht="15">
      <c r="A9" s="3190" t="s">
        <v>112</v>
      </c>
      <c r="B9" s="3190"/>
      <c r="C9" s="3190"/>
      <c r="D9" s="3190" t="str">
        <f ca="1">结果表!D123</f>
        <v>柒佰陆拾贰万元整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t="str">
        <f>项目基本情况!B4</f>
        <v>.</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45981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4"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2025-11-20T09:23:22Z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