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05" yWindow="45" windowWidth="14310" windowHeight="140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22" i="1" l="1"/>
  <c r="U6" i="1" s="1"/>
  <c r="T22" i="1"/>
  <c r="Y6" i="1" l="1"/>
  <c r="N19" i="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c r="H121" i="33"/>
  <c r="I121" i="33"/>
  <c r="J121" i="33"/>
  <c r="K121" i="33"/>
  <c r="L121" i="33"/>
  <c r="M121" i="33"/>
  <c r="U42" i="33"/>
  <c r="F36" i="33"/>
  <c r="AA36" i="33" s="1"/>
  <c r="G111" i="33"/>
  <c r="G108" i="33"/>
  <c r="H108" i="33"/>
  <c r="I108" i="33"/>
  <c r="J108" i="33"/>
  <c r="K108" i="33"/>
  <c r="L108" i="33"/>
  <c r="M108" i="33"/>
  <c r="J35" i="33"/>
  <c r="W35" i="33" s="1"/>
  <c r="S37" i="33"/>
  <c r="AA37" i="33"/>
  <c r="S39" i="33"/>
  <c r="F101" i="33"/>
  <c r="G101" i="33"/>
  <c r="H101" i="33"/>
  <c r="I101" i="33"/>
  <c r="J101" i="33"/>
  <c r="K101" i="33"/>
  <c r="L101" i="33"/>
  <c r="M101" i="33"/>
  <c r="J32" i="33"/>
  <c r="AC32" i="33" s="1"/>
  <c r="S46" i="33"/>
  <c r="W43" i="33"/>
  <c r="S43"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S36"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F27" i="33" l="1"/>
  <c r="AA27" i="33" s="1"/>
  <c r="F91" i="33"/>
  <c r="AB36" i="33"/>
  <c r="F87" i="33"/>
  <c r="F25" i="33"/>
  <c r="S27" i="33"/>
  <c r="S26" i="33"/>
  <c r="AB26" i="33"/>
  <c r="S28" i="33"/>
  <c r="W32" i="33"/>
  <c r="S32" i="33"/>
  <c r="U32" i="33"/>
  <c r="AB34" i="33"/>
  <c r="AA34" i="33"/>
  <c r="AC35" i="33"/>
  <c r="AA35" i="33"/>
  <c r="S38" i="33"/>
  <c r="S42" i="33"/>
  <c r="C21" i="68"/>
  <c r="C40" i="69"/>
  <c r="G5" i="3"/>
  <c r="B3" i="3" s="1"/>
  <c r="E13" i="3" s="1"/>
  <c r="G28" i="6"/>
  <c r="E28" i="6" s="1"/>
  <c r="K14" i="1" s="1"/>
  <c r="F29" i="6"/>
  <c r="H69" i="43"/>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H27" i="33" l="1"/>
  <c r="G91" i="33"/>
  <c r="H91" i="33" s="1"/>
  <c r="I91" i="33" s="1"/>
  <c r="J91" i="33" s="1"/>
  <c r="K91" i="33" s="1"/>
  <c r="L91" i="33" s="1"/>
  <c r="M91" i="33" s="1"/>
  <c r="J27" i="33"/>
  <c r="AA25" i="33"/>
  <c r="S25" i="33"/>
  <c r="H25" i="33"/>
  <c r="G87" i="33"/>
  <c r="H87" i="33" s="1"/>
  <c r="I87" i="33" s="1"/>
  <c r="J87" i="33" s="1"/>
  <c r="K87" i="33" s="1"/>
  <c r="L87" i="33" s="1"/>
  <c r="M87" i="33" s="1"/>
  <c r="J25" i="33"/>
  <c r="N94" i="46"/>
  <c r="J26" i="43"/>
  <c r="E156"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34" i="3"/>
  <c r="E275" i="3"/>
  <c r="E219" i="3"/>
  <c r="E235" i="3"/>
  <c r="E299" i="3"/>
  <c r="E324" i="3"/>
  <c r="E339" i="3"/>
  <c r="E383" i="3"/>
  <c r="E325" i="3"/>
  <c r="E342" i="3"/>
  <c r="E392" i="3"/>
  <c r="E522" i="3"/>
  <c r="E35" i="3"/>
  <c r="E86" i="3"/>
  <c r="E36" i="3"/>
  <c r="E112" i="3"/>
  <c r="E123" i="3"/>
  <c r="E232" i="3"/>
  <c r="E251" i="3"/>
  <c r="E370" i="3"/>
  <c r="AF6" i="3"/>
  <c r="E102" i="3"/>
  <c r="E80" i="3"/>
  <c r="E113"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0" i="3"/>
  <c r="AQ6" i="3"/>
  <c r="E52" i="3"/>
  <c r="E34" i="3"/>
  <c r="E49" i="3"/>
  <c r="E206" i="3"/>
  <c r="E147" i="3"/>
  <c r="E289" i="3"/>
  <c r="E340" i="3"/>
  <c r="E364" i="3"/>
  <c r="E50" i="3"/>
  <c r="E20" i="3"/>
  <c r="E62" i="3"/>
  <c r="E176" i="3"/>
  <c r="E158" i="3"/>
  <c r="E287" i="3"/>
  <c r="E308" i="3"/>
  <c r="E326" i="3"/>
  <c r="E22" i="3"/>
  <c r="E83" i="3"/>
  <c r="N370" i="46"/>
  <c r="G26" i="43"/>
  <c r="D26" i="43" s="1"/>
  <c r="C25" i="43"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s="1"/>
  <c r="AC27" i="33" l="1"/>
  <c r="W27" i="33"/>
  <c r="U27" i="33"/>
  <c r="AB27" i="33"/>
  <c r="W25" i="33"/>
  <c r="AC25" i="33"/>
  <c r="U25" i="33"/>
  <c r="AB25"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C19" i="9"/>
  <c r="D2" i="36"/>
  <c r="D2" i="34"/>
  <c r="D2" i="37"/>
  <c r="L51" i="15"/>
  <c r="D2" i="35"/>
  <c r="D102" i="9" l="1"/>
  <c r="D21" i="9"/>
  <c r="C102" i="9"/>
  <c r="D22" i="9"/>
  <c r="G19" i="9"/>
  <c r="C21" i="9"/>
  <c r="B3" i="33"/>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D20" i="9"/>
  <c r="AO12" i="1"/>
  <c r="AO6" i="1"/>
  <c r="AO8" i="1"/>
  <c r="AO11" i="1"/>
  <c r="C20" i="9"/>
  <c r="AO7" i="1"/>
  <c r="AO9" i="1"/>
  <c r="G21" i="9" l="1"/>
  <c r="W22" i="1"/>
  <c r="D103" i="9"/>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35" i="9" s="1"/>
  <c r="V22" i="1"/>
  <c r="V20" i="1"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W20" i="1" l="1"/>
  <c r="W21" i="1" s="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4" i="52" s="1"/>
  <c r="B51" i="72" s="1"/>
  <c r="D118" i="9"/>
  <c r="D119" i="9" s="1"/>
  <c r="D5" i="52" s="1"/>
  <c r="B49" i="72" s="1"/>
  <c r="H118" i="9"/>
  <c r="H4" i="52" l="1"/>
  <c r="D14" i="74"/>
  <c r="F119" i="9"/>
  <c r="F5" i="52" s="1"/>
  <c r="B53" i="72" s="1"/>
  <c r="G118" i="9"/>
  <c r="G4" i="52" s="1"/>
  <c r="B52" i="72" s="1"/>
  <c r="D4" i="52"/>
  <c r="B47" i="72" s="1"/>
  <c r="H101" i="9"/>
  <c r="I118" i="9"/>
  <c r="H119" i="9"/>
  <c r="H5" i="52" s="1"/>
  <c r="C104" i="9"/>
  <c r="F14" i="74" l="1"/>
  <c r="E14" i="74"/>
  <c r="B5" i="74"/>
  <c r="D5" i="74" s="1"/>
  <c r="D45" i="9"/>
  <c r="M48" i="9"/>
  <c r="D5" i="53"/>
  <c r="H107" i="9"/>
  <c r="C105" i="9"/>
  <c r="I4" i="52"/>
  <c r="E118" i="9"/>
  <c r="E4" i="52" s="1"/>
  <c r="B48" i="72" s="1"/>
  <c r="H102" i="9"/>
  <c r="B20" i="72" l="1"/>
  <c r="D6" i="53"/>
  <c r="B22" i="72" s="1"/>
  <c r="D53" i="9"/>
  <c r="D52" i="9"/>
  <c r="C78" i="9"/>
  <c r="C73" i="9" s="1"/>
  <c r="C72" i="9"/>
  <c r="C85" i="9"/>
  <c r="C93" i="9"/>
  <c r="C86" i="9" s="1"/>
  <c r="C64" i="9"/>
  <c r="C63" i="9" s="1"/>
  <c r="C67" i="9" s="1"/>
  <c r="D55" i="9"/>
  <c r="M53" i="9" s="1"/>
  <c r="C5" i="74"/>
  <c r="D7" i="53"/>
  <c r="B21" i="72" s="1"/>
  <c r="D122" i="9"/>
  <c r="H108" i="9"/>
  <c r="M49" i="9"/>
  <c r="D13" i="53"/>
  <c r="C79" i="9" l="1"/>
  <c r="C80" i="9" s="1"/>
  <c r="C6" i="74"/>
  <c r="D15" i="53"/>
  <c r="B31" i="72" s="1"/>
  <c r="D14" i="53"/>
  <c r="B32" i="72" s="1"/>
  <c r="B30" i="72"/>
  <c r="L64" i="9"/>
  <c r="M64" i="9" s="1"/>
  <c r="L67" i="9"/>
  <c r="M67" i="9" s="1"/>
  <c r="L66" i="9"/>
  <c r="M66" i="9" s="1"/>
  <c r="L68" i="9"/>
  <c r="M68" i="9" s="1"/>
  <c r="L65" i="9"/>
  <c r="M65" i="9" s="1"/>
  <c r="L63" i="9"/>
  <c r="M63" i="9" s="1"/>
  <c r="D8" i="52"/>
  <c r="D123" i="9"/>
  <c r="D9" i="52" s="1"/>
  <c r="D59" i="9"/>
  <c r="M55" i="9" s="1"/>
  <c r="C68" i="9"/>
  <c r="D54" i="9" s="1"/>
  <c r="C95" i="9"/>
  <c r="E80" i="9" l="1"/>
  <c r="E81" i="9" s="1"/>
  <c r="C81" i="9"/>
  <c r="M69" i="9"/>
  <c r="N69" i="9" s="1"/>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<sst xmlns="http://schemas.openxmlformats.org/spreadsheetml/2006/main" count="7859" uniqueCount="3443">
  <si>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</si>
  <si>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</si>
  <si>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</si>
  <si>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</si>
  <si>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</si>
  <si>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</si>
  <si>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</si>
  <si>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</si>
  <si>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</si>
  <si>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</si>
  <si>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</si>
  <si>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</si>
  <si>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</si>
  <si>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</si>
  <si>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</si>
  <si>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</si>
  <si>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</si>
  <si>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</si>
  <si>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</si>
  <si>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</si>
  <si>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</si>
  <si>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</si>
  <si>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</si>
  <si>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</si>
  <si>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</si>
  <si>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</si>
  <si>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</si>
  <si>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</si>
  <si>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</si>
  <si>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</si>
  <si>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</si>
  <si>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</si>
  <si>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</si>
  <si>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</si>
  <si>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</si>
  <si>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</si>
  <si>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</si>
  <si>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</si>
  <si>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</si>
  <si>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</si>
  <si>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</si>
  <si>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</si>
  <si>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</si>
  <si>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</si>
  <si>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</si>
  <si>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</si>
  <si>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</si>
  <si>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</si>
  <si>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</si>
  <si>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</si>
  <si>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</si>
  <si>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</si>
  <si>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</si>
  <si>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</si>
  <si>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</si>
  <si>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</si>
  <si>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</si>
  <si>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</si>
  <si>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</si>
  <si>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</si>
  <si>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</si>
  <si>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</si>
  <si>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</si>
  <si>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</si>
  <si>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</si>
  <si>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</si>
  <si>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</si>
  <si>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</si>
  <si>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</si>
  <si>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</si>
  <si>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</si>
  <si>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</si>
  <si>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</si>
  <si>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</si>
  <si>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</si>
  <si>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</si>
  <si>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</si>
  <si>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</si>
  <si>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</si>
  <si>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</si>
  <si>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</si>
  <si>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</si>
  <si>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</si>
  <si>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</si>
  <si>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</si>
  <si>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</si>
  <si>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</si>
  <si>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</si>
  <si>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</si>
  <si>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</si>
  <si>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</si>
  <si>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</si>
  <si>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</si>
  <si>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</si>
  <si>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</si>
  <si>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</si>
  <si>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</si>
  <si>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</si>
  <si>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</si>
  <si>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</si>
  <si>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</si>
  <si>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</si>
  <si>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</si>
  <si>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</si>
  <si>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</si>
  <si>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</si>
  <si>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</si>
  <si>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</si>
  <si>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</si>
  <si>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</si>
  <si>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</si>
  <si>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</si>
  <si>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</si>
  <si>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</si>
  <si>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</si>
  <si>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</si>
  <si>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</si>
  <si>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</si>
  <si>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</si>
  <si>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</si>
  <si>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</si>
  <si>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</si>
  <si>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</si>
  <si>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</si>
  <si>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</si>
  <si>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</si>
  <si>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</si>
  <si>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</si>
  <si>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</si>
  <si>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</si>
  <si>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</si>
  <si>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</si>
  <si>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</si>
  <si>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</si>
  <si>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</si>
  <si>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</si>
  <si>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</si>
  <si>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</si>
  <si>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</si>
  <si>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</si>
  <si>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</si>
  <si>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</si>
  <si>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</si>
  <si>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</si>
  <si>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</si>
  <si>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</si>
  <si>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</si>
  <si>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</si>
  <si>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</si>
  <si>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</si>
  <si>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</si>
  <si>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</si>
  <si>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</si>
  <si>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</si>
  <si>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</si>
  <si>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</si>
  <si>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</si>
  <si>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</si>
  <si>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</si>
  <si>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</si>
  <si>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</si>
  <si>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</si>
  <si>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</si>
  <si>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</si>
  <si>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</si>
  <si>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</si>
  <si>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</si>
  <si>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</si>
  <si>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</si>
  <si>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</si>
  <si>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</si>
  <si>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</si>
  <si>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</si>
  <si>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</si>
  <si>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</si>
  <si>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</si>
  <si>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</si>
  <si>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</si>
  <si>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</si>
  <si>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</si>
  <si>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</si>
  <si>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</si>
  <si>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</si>
  <si>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</si>
  <si>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</si>
  <si>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</si>
  <si>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</si>
  <si>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</si>
  <si>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</si>
  <si>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</si>
  <si>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</si>
  <si>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</si>
  <si>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</si>
  <si>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</si>
  <si>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</si>
  <si>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</si>
  <si>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</si>
  <si>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</si>
  <si>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</si>
  <si>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</si>
  <si>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</si>
  <si>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</si>
  <si>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</si>
  <si>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</si>
  <si>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</si>
  <si>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</si>
  <si>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</si>
  <si>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</si>
  <si>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</si>
  <si>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</si>
  <si>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</si>
  <si>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</si>
  <si>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</si>
  <si>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</si>
  <si>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</si>
  <si>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</si>
  <si>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</si>
  <si>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</si>
  <si>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</si>
  <si>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</si>
  <si>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</si>
  <si>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</si>
  <si>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</si>
  <si>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</si>
  <si>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</si>
  <si>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</si>
  <si>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</si>
  <si>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</si>
  <si>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</si>
  <si>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</si>
  <si>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</si>
  <si>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</si>
  <si>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</si>
  <si>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</si>
  <si>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</si>
  <si>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</si>
  <si>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</si>
  <si>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</si>
  <si>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</si>
  <si>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</si>
  <si>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</si>
  <si>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</si>
  <si>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</si>
  <si>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</si>
  <si>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</si>
  <si>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</si>
  <si>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</si>
  <si>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</si>
  <si>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</si>
  <si>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</si>
  <si>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</si>
  <si>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</si>
  <si>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</si>
  <si>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</si>
  <si>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</si>
  <si>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</si>
  <si>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</si>
  <si>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</si>
  <si>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</si>
  <si>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</si>
  <si>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</si>
  <si>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</si>
  <si>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</si>
  <si>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</si>
  <si>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</si>
  <si>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</si>
  <si>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</si>
  <si>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</si>
  <si>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</si>
  <si>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</si>
  <si>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</si>
  <si>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</si>
  <si>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</si>
  <si>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</si>
  <si>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</si>
  <si>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</si>
  <si>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</si>
  <si>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</si>
  <si>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</si>
  <si>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</si>
  <si>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</si>
  <si>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</si>
  <si>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</si>
  <si>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</si>
  <si>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</si>
  <si>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</si>
  <si>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</si>
  <si>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</si>
  <si>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</si>
  <si>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</si>
  <si>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</si>
  <si>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</si>
  <si>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</si>
  <si>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</si>
  <si>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</si>
  <si>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</si>
  <si>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</si>
  <si>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</si>
  <si>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</si>
  <si>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</si>
  <si>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</si>
  <si>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</si>
  <si>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</si>
  <si>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</si>
  <si>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</si>
  <si>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</si>
  <si>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</si>
  <si>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</si>
  <si>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</si>
  <si>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</si>
  <si>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</si>
  <si>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</si>
  <si>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</si>
  <si>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</si>
  <si>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</si>
  <si>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</si>
  <si>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</si>
  <si>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</si>
  <si>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</si>
  <si>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</si>
  <si>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</si>
  <si>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</si>
  <si>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</si>
  <si>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</si>
  <si>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</si>
  <si>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</si>
  <si>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</si>
  <si>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</si>
  <si>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</si>
  <si>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</si>
  <si>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</si>
  <si>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</si>
  <si>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</si>
  <si>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</si>
  <si>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</si>
  <si>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</si>
  <si>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</si>
  <si>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</si>
  <si>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</si>
  <si>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</si>
  <si>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</si>
  <si>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</si>
  <si>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</si>
  <si>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</si>
  <si>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</si>
  <si>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</si>
  <si>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</si>
  <si>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</si>
  <si>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</si>
  <si>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</si>
  <si>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</si>
  <si>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</si>
  <si>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</si>
  <si>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</si>
  <si>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</si>
  <si>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</si>
  <si>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</si>
  <si>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</si>
  <si>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</si>
  <si>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</si>
  <si>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</si>
  <si>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</si>
  <si>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</si>
  <si>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</si>
  <si>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</si>
  <si>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</si>
  <si>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</si>
  <si>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</si>
  <si>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</si>
  <si>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</si>
  <si>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</si>
  <si>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</si>
  <si>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</si>
  <si>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</si>
  <si>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</si>
  <si>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</si>
  <si>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</si>
  <si>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</si>
  <si>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</si>
  <si>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</si>
  <si>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</si>
  <si>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</si>
  <si>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</si>
  <si>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</si>
  <si>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</si>
  <si>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</si>
  <si>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</si>
  <si>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</si>
  <si>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</si>
  <si>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</si>
  <si>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</si>
  <si>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</si>
  <si>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</si>
  <si>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</si>
  <si>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</si>
  <si>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</si>
  <si>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</si>
  <si>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</si>
  <si>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</si>
  <si>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</si>
  <si>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</si>
  <si>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</si>
  <si>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</si>
  <si>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</si>
  <si>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</si>
  <si>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</si>
  <si>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</si>
  <si>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</si>
  <si>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</si>
  <si>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</si>
  <si>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</si>
  <si>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</si>
  <si>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</si>
  <si>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</si>
  <si>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</si>
  <si>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</si>
  <si>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</si>
  <si>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</si>
  <si>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</si>
  <si>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</si>
  <si>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</si>
  <si>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</si>
  <si>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</si>
  <si>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</si>
  <si>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</si>
  <si>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</si>
  <si>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</si>
  <si>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</si>
  <si>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</si>
  <si>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</si>
  <si>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</si>
  <si>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</si>
  <si>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</si>
  <si>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</si>
  <si>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</si>
  <si>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</si>
  <si>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</si>
  <si>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</si>
  <si>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</si>
  <si>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</si>
  <si>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</si>
  <si>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</si>
  <si>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</si>
  <si>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</si>
  <si>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</si>
  <si>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</si>
  <si>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</si>
  <si>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</si>
  <si>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</si>
  <si>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</si>
  <si>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</si>
  <si>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</si>
  <si>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</si>
  <si>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</si>
  <si>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</si>
  <si>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</si>
  <si>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</si>
  <si>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</si>
  <si>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</si>
  <si>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</si>
  <si>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</si>
  <si>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</si>
  <si>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</si>
  <si>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</si>
  <si>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</si>
  <si>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</si>
  <si>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</si>
  <si>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</si>
  <si>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</si>
  <si>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</si>
  <si>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</si>
  <si>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</si>
  <si>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</si>
  <si>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</si>
  <si>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</si>
  <si>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</si>
  <si>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</si>
  <si>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</si>
  <si>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</si>
  <si>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</si>
  <si>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</si>
  <si>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</si>
  <si>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</si>
  <si>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</si>
  <si>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</si>
  <si>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</si>
  <si>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</si>
  <si>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</si>
  <si>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</si>
  <si>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</si>
  <si>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</si>
  <si>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</si>
  <si>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</si>
  <si>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</si>
  <si>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</si>
  <si>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</si>
  <si>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</si>
  <si>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</si>
  <si>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</si>
  <si>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</si>
  <si>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</si>
  <si>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</si>
  <si>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</si>
  <si>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</si>
  <si>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</si>
  <si>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</si>
  <si>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</si>
  <si>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</si>
  <si>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</si>
  <si>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</si>
  <si>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</si>
  <si>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</si>
  <si>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</si>
  <si>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</si>
  <si>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</si>
  <si>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</si>
  <si>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</si>
  <si>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</si>
  <si>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</si>
  <si>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</si>
  <si>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</si>
  <si>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</si>
  <si>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</si>
  <si>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</si>
  <si>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</si>
  <si>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</si>
  <si>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</si>
  <si>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</si>
  <si>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</si>
  <si>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</si>
  <si>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</si>
  <si>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</si>
  <si>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</si>
  <si>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</si>
  <si>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</si>
  <si>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</si>
  <si>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</si>
  <si>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</si>
  <si>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</si>
  <si>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</si>
  <si>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</si>
  <si>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</si>
  <si>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</si>
  <si>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</si>
  <si>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</si>
  <si>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</si>
  <si>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</si>
  <si>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</si>
  <si>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</si>
  <si>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</si>
  <si>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</si>
  <si>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</si>
  <si>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</si>
  <si>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</si>
  <si>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</si>
  <si>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</si>
  <si>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</si>
  <si>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</si>
  <si>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</si>
  <si>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</si>
  <si>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</si>
  <si>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</si>
  <si>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</si>
  <si>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</si>
  <si>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</si>
  <si>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</si>
  <si>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</si>
  <si>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</si>
  <si>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</si>
  <si>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</si>
  <si>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</si>
  <si>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</si>
  <si>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</si>
  <si>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</si>
  <si>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</si>
  <si>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</si>
  <si>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</si>
  <si>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</si>
  <si>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</si>
  <si>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</si>
  <si>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</si>
  <si>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</si>
  <si>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</si>
  <si>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</si>
  <si>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</si>
  <si>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</si>
  <si>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</si>
  <si>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</si>
  <si>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</si>
  <si>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</si>
  <si>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</si>
  <si>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</si>
  <si>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</si>
  <si>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</si>
  <si>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</si>
  <si>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</si>
  <si>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</si>
  <si>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</si>
  <si>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</si>
  <si>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</si>
  <si>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</si>
  <si>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</si>
  <si>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</si>
  <si>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</si>
  <si>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</si>
  <si>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</si>
  <si>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</si>
  <si>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</si>
  <si>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</si>
  <si>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</si>
  <si>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</si>
  <si>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</si>
  <si>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</si>
  <si>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</si>
  <si>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</si>
  <si>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</si>
  <si>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</si>
  <si>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</si>
  <si>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</si>
  <si>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</si>
  <si>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</si>
  <si>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</si>
  <si>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</si>
  <si>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</si>
  <si>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</si>
  <si>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</si>
  <si>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</si>
  <si>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</si>
  <si>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</si>
  <si>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</si>
  <si>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</si>
  <si>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</si>
  <si>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</si>
  <si>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</si>
  <si>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</si>
  <si>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</si>
  <si>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</si>
  <si>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</si>
  <si>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</si>
  <si>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</si>
  <si>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</si>
  <si>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</si>
  <si>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</si>
  <si>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</si>
  <si>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</si>
  <si>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</si>
  <si>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</si>
  <si>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</si>
  <si>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</si>
  <si>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</si>
  <si>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</si>
  <si>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</si>
  <si>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</si>
  <si>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</si>
  <si>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</si>
  <si>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</si>
  <si>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</si>
  <si>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</si>
  <si>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</si>
  <si>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</si>
  <si>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</si>
  <si>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</si>
  <si>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</si>
  <si>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</si>
  <si>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</si>
  <si>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</si>
  <si>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</si>
  <si>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</si>
  <si>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</si>
  <si>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</si>
  <si>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</si>
  <si>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</si>
  <si>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</si>
  <si>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</si>
  <si>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</si>
  <si>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</si>
  <si>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</si>
  <si>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</si>
  <si>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</si>
  <si>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</si>
  <si>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</si>
  <si>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</si>
  <si>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</si>
  <si>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</si>
  <si>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</si>
  <si>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</si>
  <si>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</si>
  <si>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</si>
  <si>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</si>
  <si>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</si>
  <si>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</si>
  <si>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</si>
  <si>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</si>
  <si>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</si>
  <si>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</si>
  <si>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</si>
  <si>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</si>
  <si>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</si>
  <si>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</si>
  <si>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</si>
  <si>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</si>
  <si>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</si>
  <si>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</si>
  <si>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</si>
  <si>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</si>
  <si>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</si>
  <si>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</si>
  <si>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</si>
  <si>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</si>
  <si>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</si>
  <si>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</si>
  <si>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</si>
  <si>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</si>
  <si>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</si>
  <si>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</si>
  <si>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</si>
  <si>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</si>
  <si>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</si>
  <si>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</si>
  <si>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</si>
  <si>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</si>
  <si>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</si>
  <si>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</si>
  <si>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</si>
  <si>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</si>
  <si>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</si>
  <si>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</si>
  <si>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</si>
  <si>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</si>
  <si>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</si>
  <si>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</si>
  <si>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</si>
  <si>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</si>
  <si>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</si>
  <si>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</si>
  <si>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</si>
  <si>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</si>
  <si>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</si>
  <si>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</si>
  <si>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</si>
  <si>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</si>
  <si>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</si>
  <si>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</si>
  <si>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</si>
  <si>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</si>
  <si>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</si>
  <si>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</si>
  <si>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</si>
  <si>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</si>
  <si>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</si>
  <si>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</si>
  <si>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</si>
  <si>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</si>
  <si>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</si>
  <si>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</si>
  <si>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</si>
  <si>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</si>
  <si>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</si>
  <si>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</si>
  <si>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</si>
  <si>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</si>
  <si>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</si>
  <si>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</si>
  <si>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</si>
  <si>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</si>
  <si>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</si>
  <si>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</si>
  <si>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</si>
  <si>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</si>
  <si>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</si>
  <si>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</si>
  <si>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</si>
  <si>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</si>
  <si>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</si>
  <si>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</si>
  <si>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</si>
  <si>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</si>
  <si>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</si>
  <si>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</si>
  <si>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</si>
  <si>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</si>
  <si>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</si>
  <si>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</si>
  <si>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</si>
  <si>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</si>
  <si>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</si>
  <si>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</si>
  <si>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</si>
  <si>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</si>
  <si>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</si>
  <si>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</si>
  <si>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</si>
  <si>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</si>
  <si>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</si>
  <si>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</si>
  <si>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</si>
  <si>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</si>
  <si>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</si>
  <si>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</si>
  <si>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</si>
  <si>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</si>
  <si>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</si>
  <si>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</si>
  <si>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</si>
  <si>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</si>
  <si>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</si>
  <si>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</si>
  <si>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</si>
  <si>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</si>
  <si>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</si>
  <si>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</si>
  <si>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</si>
  <si>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</si>
  <si>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</si>
  <si>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</si>
  <si>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</si>
  <si>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</si>
  <si>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</si>
  <si>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</si>
  <si>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</si>
  <si>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</si>
  <si>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</si>
  <si>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</si>
  <si>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</si>
  <si>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</si>
  <si>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</si>
  <si>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</si>
  <si>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</si>
  <si>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</si>
  <si>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</si>
  <si>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</si>
  <si>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</si>
  <si>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</si>
  <si>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</si>
  <si>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</si>
  <si>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</si>
  <si>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</si>
  <si>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</si>
  <si>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</si>
  <si>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</si>
  <si>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</si>
  <si>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</si>
  <si>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</si>
  <si>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</si>
  <si>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</si>
  <si>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</si>
  <si>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</si>
  <si>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</si>
  <si>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</si>
  <si>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</si>
  <si>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</si>
  <si>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</si>
  <si>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</si>
  <si>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</si>
  <si>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</si>
  <si>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</si>
  <si>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</si>
  <si>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</si>
  <si>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</si>
  <si>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</si>
  <si>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</si>
  <si>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</si>
  <si>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</si>
  <si>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</si>
  <si>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</si>
  <si>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</si>
  <si>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</si>
  <si>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</si>
  <si>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</si>
  <si>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</si>
  <si>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</si>
  <si>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</si>
  <si>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</si>
  <si>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</si>
  <si>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</si>
  <si>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</si>
  <si>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</si>
  <si>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</si>
  <si>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</si>
  <si>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</si>
  <si>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</si>
  <si>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</si>
  <si>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</si>
  <si>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</si>
  <si>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</si>
  <si>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</si>
  <si>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</si>
  <si>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</si>
  <si>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</si>
  <si>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</si>
  <si>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</si>
  <si>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</si>
  <si>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</si>
  <si>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</si>
  <si>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</si>
  <si>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</si>
  <si>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</si>
  <si>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</si>
  <si>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</si>
  <si>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</si>
  <si>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</si>
  <si>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</si>
  <si>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</si>
  <si>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</si>
  <si>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</si>
  <si>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</si>
  <si>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</si>
  <si>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</si>
  <si>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</si>
  <si>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</si>
  <si>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</si>
  <si>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</si>
  <si>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</si>
  <si>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</si>
  <si>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</si>
  <si>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</si>
  <si>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</si>
  <si>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</si>
  <si>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</si>
  <si>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</si>
  <si>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</si>
  <si>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</si>
  <si>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</si>
  <si>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</si>
  <si>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</si>
  <si>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</si>
  <si>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</si>
  <si>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</si>
  <si>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</si>
  <si>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</si>
  <si>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</si>
  <si>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</si>
  <si>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</si>
  <si>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</si>
  <si>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</si>
  <si>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</si>
  <si>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</si>
  <si>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</si>
  <si>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</si>
  <si>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</si>
  <si>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</si>
  <si>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</si>
  <si>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</si>
  <si>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</si>
  <si>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</si>
  <si>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</si>
  <si>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</si>
  <si>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</si>
  <si>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</si>
  <si>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</si>
  <si>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</si>
  <si>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</si>
  <si>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</si>
  <si>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</si>
  <si>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</si>
  <si>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</si>
  <si>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</si>
  <si>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</si>
  <si>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</si>
  <si>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</si>
  <si>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</si>
  <si>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</si>
  <si>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</si>
  <si>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</si>
  <si>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</si>
  <si>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</si>
  <si>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</si>
  <si>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</si>
  <si>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</si>
  <si>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</si>
  <si>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</si>
  <si>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</si>
  <si>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</si>
  <si>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</si>
  <si>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</si>
  <si>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</si>
  <si>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</si>
  <si>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</si>
  <si>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</si>
  <si>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</si>
  <si>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</si>
  <si>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</si>
  <si>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</si>
  <si>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</si>
  <si>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</si>
  <si>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</si>
  <si>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</si>
  <si>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</si>
  <si>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</si>
  <si>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</si>
  <si>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</si>
  <si>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</si>
  <si>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</si>
  <si>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</si>
  <si>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</si>
  <si>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</si>
  <si>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</si>
  <si>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</si>
  <si>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</si>
  <si>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</si>
  <si>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</si>
  <si>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</si>
  <si>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</si>
  <si>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</si>
  <si>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</si>
  <si>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</si>
  <si>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</si>
  <si>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</si>
  <si>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</si>
  <si>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</si>
  <si>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</si>
  <si>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</si>
  <si>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</si>
  <si>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</si>
  <si>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</si>
  <si>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</si>
  <si>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</si>
  <si>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</si>
  <si>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</si>
  <si>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</si>
  <si>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</si>
  <si>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</si>
  <si>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</si>
  <si>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</si>
  <si>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</si>
  <si>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</si>
  <si>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</si>
  <si>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</si>
  <si>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</si>
  <si>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</si>
  <si>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</si>
  <si>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</si>
  <si>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</si>
  <si>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</si>
  <si>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</si>
  <si>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</si>
  <si>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</si>
  <si>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</si>
  <si>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</si>
  <si>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</si>
  <si>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</si>
  <si>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</si>
  <si>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</si>
  <si>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</si>
  <si>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</si>
  <si>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</si>
  <si>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</si>
  <si>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</si>
  <si>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</si>
  <si>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</si>
  <si>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</si>
  <si>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</si>
  <si>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</si>
  <si>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</si>
  <si>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</si>
  <si>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</si>
  <si>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</si>
  <si>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</si>
  <si>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</si>
  <si>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</si>
  <si>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</si>
  <si>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</si>
  <si>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</si>
  <si>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</si>
  <si>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</si>
  <si>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</si>
  <si>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</si>
  <si>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</si>
  <si>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</si>
  <si>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</si>
  <si>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</si>
  <si>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</si>
  <si>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</si>
  <si>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</si>
  <si>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</si>
  <si>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</si>
  <si>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</si>
  <si>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</si>
  <si>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</si>
  <si>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</si>
  <si>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</si>
  <si>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</si>
  <si>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</si>
  <si>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</si>
  <si>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</si>
  <si>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</si>
  <si>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</si>
  <si>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</si>
  <si>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</si>
  <si>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</si>
  <si>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</si>
  <si>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</si>
  <si>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</si>
  <si>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</si>
  <si>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</si>
  <si>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</si>
  <si>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</si>
  <si>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</si>
  <si>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</si>
  <si>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</si>
  <si>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</si>
  <si>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</si>
  <si>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</si>
  <si>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</si>
  <si>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</si>
  <si>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</si>
  <si>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</si>
  <si>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</si>
  <si>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</si>
  <si>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</si>
  <si>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</si>
  <si>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</si>
  <si>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</si>
  <si>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</si>
  <si>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</si>
  <si>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</si>
  <si>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</si>
  <si>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</si>
  <si>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</si>
  <si>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</si>
  <si>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</si>
  <si>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</si>
  <si>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</si>
  <si>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</si>
  <si>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</si>
  <si>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</si>
  <si>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</si>
  <si>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</si>
  <si>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</si>
  <si>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</si>
  <si>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</si>
  <si>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</si>
  <si>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</si>
  <si>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</si>
  <si>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</si>
  <si>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</si>
  <si>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</si>
  <si>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</si>
  <si>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</si>
  <si>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</si>
  <si>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</si>
  <si>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</si>
  <si>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</si>
  <si>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</si>
  <si>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</si>
  <si>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</si>
  <si>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</si>
  <si>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</si>
  <si>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</si>
  <si>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</si>
  <si>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</si>
  <si>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</si>
  <si>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</si>
  <si>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</si>
  <si>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</si>
  <si>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</si>
  <si>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</si>
  <si>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</si>
  <si>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</si>
  <si>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</si>
  <si>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</si>
  <si>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</si>
  <si>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</si>
  <si>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</si>
  <si>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</si>
  <si>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</si>
  <si>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</si>
  <si>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</si>
  <si>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</si>
  <si>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</si>
  <si>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</si>
  <si>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</si>
  <si>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</si>
  <si>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</si>
  <si>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</si>
  <si>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</si>
  <si>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</si>
  <si>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</si>
  <si>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</si>
  <si>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</si>
  <si>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</si>
  <si>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</si>
  <si>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</si>
  <si>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</si>
  <si>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</si>
  <si>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</si>
  <si>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</si>
  <si>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</si>
  <si>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</si>
  <si>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</si>
  <si>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</si>
  <si>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</si>
  <si>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</si>
  <si>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</si>
  <si>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</si>
  <si>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</si>
  <si>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</si>
  <si>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</si>
  <si>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</si>
  <si>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</si>
  <si>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</si>
  <si>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</si>
  <si>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</si>
  <si>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</si>
  <si>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</si>
  <si>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</si>
  <si>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</si>
  <si>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</si>
  <si>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</si>
  <si>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</si>
  <si>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</si>
  <si>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</si>
  <si>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</si>
  <si>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</si>
  <si>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</si>
  <si>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</si>
  <si>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</si>
  <si>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</si>
  <si>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</si>
  <si>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</si>
  <si>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</si>
  <si>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</si>
  <si>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</si>
  <si>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</si>
  <si>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</si>
  <si>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</si>
  <si>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</si>
  <si>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</si>
  <si>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</si>
  <si>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</si>
  <si>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</si>
  <si>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</si>
  <si>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</si>
  <si>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</si>
  <si>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</si>
  <si>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</si>
  <si>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</si>
  <si>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</si>
  <si>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</si>
  <si>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</si>
  <si>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</si>
  <si>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</si>
  <si>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</si>
  <si>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</si>
  <si>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</si>
  <si>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</si>
  <si>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</si>
  <si>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</si>
  <si>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</si>
  <si>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</si>
  <si>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</si>
  <si>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</si>
  <si>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</si>
  <si>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</si>
  <si>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</si>
  <si>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</si>
  <si>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</si>
  <si>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</si>
  <si>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</si>
  <si>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</si>
  <si>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</si>
  <si>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</si>
  <si>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</si>
  <si>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</si>
  <si>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</si>
  <si>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</si>
  <si>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</si>
  <si>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</si>
  <si>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</si>
  <si>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</si>
  <si>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</si>
  <si>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</si>
  <si>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</si>
  <si>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</si>
  <si>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</si>
  <si>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</si>
  <si>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</si>
  <si>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</si>
  <si>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</si>
  <si>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</si>
  <si>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</si>
  <si>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</si>
  <si>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</si>
  <si>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</si>
  <si>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</si>
  <si>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</si>
  <si>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</si>
  <si>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</si>
  <si>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</si>
  <si>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</si>
  <si>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</si>
  <si>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</si>
  <si>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</si>
  <si>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</si>
  <si>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</si>
  <si>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</si>
  <si>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</si>
  <si>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</si>
  <si>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</si>
  <si>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</si>
  <si>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</si>
  <si>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</si>
  <si>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</si>
  <si>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</si>
  <si>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</si>
  <si>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</si>
  <si>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</si>
  <si>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</si>
  <si>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</si>
  <si>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</si>
  <si>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</si>
  <si>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</si>
  <si>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</si>
  <si>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</si>
  <si>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</si>
  <si>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</si>
  <si>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</si>
  <si>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</si>
  <si>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</si>
  <si>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</si>
  <si>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</si>
  <si>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</si>
  <si>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</si>
  <si>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</si>
  <si>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</si>
  <si>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</si>
  <si>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</si>
  <si>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</si>
  <si>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</si>
  <si>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</si>
  <si>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</si>
  <si>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</si>
  <si>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</si>
  <si>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</si>
  <si>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</si>
  <si>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</si>
  <si>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</si>
  <si>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</si>
  <si>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</si>
  <si>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</si>
  <si>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</si>
  <si>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</si>
  <si>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</si>
  <si>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</si>
  <si>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</si>
  <si>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</si>
  <si>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</si>
  <si>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</si>
  <si>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</si>
  <si>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</si>
  <si>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</si>
  <si>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</si>
  <si>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</si>
  <si>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</si>
  <si>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</si>
  <si>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</si>
  <si>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</si>
  <si>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</si>
  <si>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</si>
  <si>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</si>
  <si>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</si>
  <si>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</si>
  <si>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</si>
  <si>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</si>
  <si>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</si>
  <si>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</si>
  <si>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</si>
  <si>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</si>
  <si>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</si>
  <si>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</si>
  <si>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</si>
  <si>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</si>
  <si>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</si>
  <si>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</si>
  <si>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</si>
  <si>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</si>
  <si>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</si>
  <si>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</si>
  <si>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</si>
  <si>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</si>
  <si>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</si>
  <si>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</si>
  <si>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</si>
  <si>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</si>
  <si>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</si>
  <si>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</si>
  <si>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</si>
  <si>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</si>
  <si>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</si>
  <si>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</si>
  <si>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</si>
  <si>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</si>
  <si>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</si>
  <si>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</si>
  <si>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</si>
  <si>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</si>
  <si>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</si>
  <si>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</si>
  <si>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</si>
  <si>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</si>
  <si>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</si>
  <si>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</si>
  <si>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</si>
  <si>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</si>
  <si>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</si>
  <si>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</si>
  <si>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</si>
  <si>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</si>
  <si>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</si>
  <si>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</si>
  <si>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</si>
  <si>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</si>
  <si>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</si>
  <si>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</si>
  <si>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</si>
  <si>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</si>
  <si>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</si>
  <si>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</si>
  <si>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</si>
  <si>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</si>
  <si>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</si>
  <si>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</si>
  <si>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</si>
  <si>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</si>
  <si>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</si>
  <si>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</si>
  <si>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</si>
  <si>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</si>
  <si>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</si>
  <si>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</si>
  <si>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</si>
  <si>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</si>
  <si>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</si>
  <si>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</si>
  <si>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</si>
  <si>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</si>
  <si>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</si>
  <si>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</si>
  <si>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</si>
  <si>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</si>
  <si>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</si>
  <si>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</si>
  <si>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</si>
  <si>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</si>
  <si>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</si>
  <si>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</si>
  <si>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</si>
  <si>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</si>
  <si>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</si>
  <si>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</si>
  <si>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</si>
  <si>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</si>
  <si>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</si>
  <si>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</si>
  <si>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</si>
  <si>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</si>
  <si>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</si>
  <si>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</si>
  <si>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</si>
  <si>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</si>
  <si>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</si>
  <si>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</si>
  <si>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</si>
  <si>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</si>
  <si>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</si>
  <si>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</si>
  <si>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</si>
  <si>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</si>
  <si>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</si>
  <si>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</si>
  <si>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</si>
  <si>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</si>
  <si>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</si>
  <si>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</si>
  <si>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</si>
  <si>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</si>
  <si>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</si>
  <si>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</si>
  <si>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</si>
  <si>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</si>
  <si>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</si>
  <si>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</si>
  <si>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</si>
  <si>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</si>
  <si>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</si>
  <si>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</si>
  <si>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</si>
  <si>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</si>
  <si>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</si>
  <si>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</si>
  <si>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</si>
  <si>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</si>
  <si>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</si>
  <si>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</si>
  <si>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</si>
  <si>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</si>
  <si>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</si>
  <si>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</si>
  <si>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</si>
  <si>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</si>
  <si>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</si>
  <si>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</si>
  <si>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</si>
  <si>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</si>
  <si>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</si>
  <si>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</si>
  <si>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</si>
  <si>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</si>
  <si>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</si>
  <si>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</si>
  <si>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</si>
  <si>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</si>
  <si>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</si>
  <si>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</si>
  <si>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</si>
  <si>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</si>
  <si>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</si>
  <si>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</si>
  <si>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</si>
  <si>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</si>
  <si>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</si>
  <si>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</si>
  <si>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</si>
  <si>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</si>
  <si>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</si>
  <si>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</si>
  <si>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</si>
  <si>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</si>
  <si>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</si>
  <si>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</si>
  <si>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</si>
  <si>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</si>
  <si>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</si>
  <si>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</si>
  <si>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</si>
  <si>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</si>
  <si>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</si>
  <si>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</si>
  <si>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</si>
  <si>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</si>
  <si>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</si>
  <si>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</si>
  <si>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</si>
  <si>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</si>
  <si>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</si>
  <si>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</si>
  <si>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</si>
  <si>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</si>
  <si>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</si>
  <si>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</si>
  <si>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</si>
  <si>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</si>
  <si>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</si>
  <si>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</si>
  <si>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</si>
  <si>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</si>
  <si>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</si>
  <si>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</si>
  <si>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</si>
  <si>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</si>
  <si>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</si>
  <si>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</si>
  <si>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</si>
  <si>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</si>
  <si>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</si>
  <si>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</si>
  <si>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</si>
  <si>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</si>
  <si>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</si>
  <si>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</si>
  <si>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</si>
  <si>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</si>
  <si>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</si>
  <si>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</si>
  <si>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</si>
  <si>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</si>
  <si>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</si>
  <si>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</si>
  <si>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</si>
  <si>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</si>
  <si>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</si>
  <si>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</si>
  <si>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</si>
  <si>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</si>
  <si>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</si>
  <si>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</si>
  <si>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</si>
  <si>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</si>
  <si>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</si>
  <si>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</si>
  <si>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</si>
  <si>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</si>
  <si>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</si>
  <si>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</si>
  <si>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</si>
  <si>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</si>
  <si>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</si>
  <si>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</si>
  <si>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</si>
  <si>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</si>
  <si>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</si>
  <si>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</si>
  <si>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</si>
  <si>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</si>
  <si>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</si>
  <si>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</si>
  <si>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</si>
  <si>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</si>
  <si>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</si>
  <si>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</si>
  <si>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</si>
  <si>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</si>
  <si>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</si>
  <si>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</si>
  <si>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</si>
  <si>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</si>
  <si>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</si>
  <si>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</si>
  <si>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</si>
  <si>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</si>
  <si>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</si>
  <si>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</si>
  <si>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</si>
  <si>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</si>
  <si>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</si>
  <si>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</si>
  <si>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</si>
  <si>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</si>
  <si>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</si>
  <si>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</si>
  <si>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</si>
  <si>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</si>
  <si>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</si>
  <si>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</si>
  <si>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</si>
  <si>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</si>
  <si>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</si>
  <si>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</si>
  <si>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</si>
  <si>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</si>
  <si>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</si>
  <si>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</si>
  <si>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</si>
  <si>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</si>
  <si>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</si>
  <si>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</si>
  <si>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</si>
  <si>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</si>
  <si>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</si>
  <si>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</si>
  <si>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</si>
  <si>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</si>
  <si>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</si>
  <si>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</si>
  <si>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</si>
  <si>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</si>
  <si>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</si>
  <si>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</si>
  <si>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</si>
  <si>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</si>
  <si>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</si>
  <si>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</si>
  <si>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</si>
  <si>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</si>
  <si>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</si>
  <si>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</si>
  <si>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</si>
  <si>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</si>
  <si>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</si>
  <si>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</si>
  <si>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</si>
  <si>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</si>
  <si>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</si>
  <si>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</si>
  <si>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</si>
  <si>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</si>
  <si>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</si>
  <si>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</si>
  <si>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</si>
  <si>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</si>
  <si>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</si>
  <si>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</si>
  <si>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</si>
  <si>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</si>
  <si>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</si>
  <si>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</si>
  <si>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</si>
  <si>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</si>
  <si>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</si>
  <si>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</si>
  <si>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</si>
  <si>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</si>
  <si>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</si>
  <si>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</si>
  <si>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</si>
  <si>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</si>
  <si>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</si>
  <si>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</si>
  <si>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</si>
  <si>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</si>
  <si>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</si>
  <si>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</si>
  <si>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</si>
  <si>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</si>
  <si>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</si>
  <si>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</si>
  <si>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</si>
  <si>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</si>
  <si>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</si>
  <si>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</si>
  <si>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</si>
  <si>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</si>
  <si>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</si>
  <si>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</si>
  <si>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</si>
  <si>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</si>
  <si>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</si>
  <si>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</si>
  <si>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</si>
  <si>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</si>
  <si>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</si>
  <si>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</si>
  <si>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</si>
  <si>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</si>
  <si>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</si>
  <si>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</si>
  <si>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</si>
  <si>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</si>
  <si>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</si>
  <si>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</si>
  <si>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</si>
  <si>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</si>
  <si>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</si>
  <si>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</si>
  <si>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</si>
  <si>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</si>
  <si>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</si>
  <si>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</si>
  <si>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</si>
  <si>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</si>
  <si>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</si>
  <si>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</si>
  <si>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</si>
  <si>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</si>
  <si>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</si>
  <si>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</si>
  <si>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</si>
  <si>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</si>
  <si>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</si>
  <si>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</si>
  <si>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</si>
  <si>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</si>
  <si>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</si>
  <si>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</si>
  <si>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</si>
  <si>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</si>
  <si>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</si>
  <si>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</si>
  <si>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</si>
  <si>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</si>
  <si>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</si>
  <si>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</si>
  <si>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</si>
  <si>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</si>
  <si>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</si>
  <si>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</si>
  <si>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</si>
  <si>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</si>
  <si>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</si>
  <si>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</si>
  <si>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</si>
  <si>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</si>
  <si>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</si>
  <si>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</si>
  <si>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</si>
  <si>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</si>
  <si>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</si>
  <si>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</si>
  <si>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</si>
  <si>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</si>
  <si>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</si>
  <si>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</si>
  <si>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</si>
  <si>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</si>
  <si>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</si>
  <si>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</si>
  <si>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</si>
  <si>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</si>
  <si>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</si>
  <si>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</si>
  <si>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</si>
  <si>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</si>
  <si>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</si>
  <si>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</si>
  <si>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</si>
  <si>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</si>
  <si>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</si>
  <si>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</si>
  <si>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</si>
  <si>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</si>
  <si>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</si>
  <si>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</si>
  <si>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</si>
  <si>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</si>
  <si>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</si>
  <si>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</si>
  <si>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</si>
  <si>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</si>
  <si>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</si>
  <si>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</si>
  <si>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</si>
  <si>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</si>
  <si>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</si>
  <si>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</si>
  <si>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</si>
  <si>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</si>
  <si>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</si>
  <si>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</si>
  <si>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</si>
  <si>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</si>
  <si>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</si>
  <si>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</si>
  <si>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</si>
  <si>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</si>
  <si>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</si>
  <si>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</si>
  <si>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</si>
  <si>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</si>
  <si>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</si>
  <si>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</si>
  <si>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</si>
  <si>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</si>
  <si>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</si>
  <si>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</si>
  <si>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</si>
  <si>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</si>
  <si>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</si>
  <si>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</si>
  <si>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</si>
  <si>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</si>
  <si>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</si>
  <si>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</si>
  <si>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</si>
  <si>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</si>
  <si>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</si>
  <si>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</si>
  <si>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</si>
  <si>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</si>
  <si>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</si>
  <si>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</si>
  <si>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</si>
  <si>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</si>
  <si>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</si>
  <si>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</si>
  <si>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</si>
  <si>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</si>
  <si>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</si>
  <si>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</si>
  <si>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</si>
  <si>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</si>
  <si>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</si>
  <si>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</si>
  <si>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</si>
  <si>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</si>
  <si>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</si>
  <si>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</si>
  <si>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</si>
  <si>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</si>
  <si>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</si>
  <si>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</si>
  <si>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</si>
  <si>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</si>
  <si>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</si>
  <si>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</si>
  <si>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</si>
  <si>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</si>
  <si>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</si>
  <si>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</si>
  <si>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</si>
  <si>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</si>
  <si>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</si>
  <si>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</si>
  <si>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</si>
  <si>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</si>
  <si>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</si>
  <si>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</si>
  <si>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</si>
  <si>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</si>
  <si>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</si>
  <si>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</si>
  <si>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</si>
  <si>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</si>
  <si>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</si>
  <si>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</si>
  <si>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</si>
  <si>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</si>
  <si>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</si>
  <si>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</si>
  <si>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</si>
  <si>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</si>
  <si>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</si>
  <si>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</si>
  <si>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</si>
  <si>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</si>
  <si>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</si>
  <si>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</si>
  <si>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</si>
  <si>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</si>
  <si>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</si>
  <si>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</si>
  <si>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</si>
  <si>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</si>
  <si>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</si>
  <si>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</si>
  <si>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</si>
  <si>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</si>
  <si>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</si>
  <si>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</si>
  <si>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</si>
  <si>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</si>
  <si>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</si>
  <si>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</si>
  <si>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</si>
  <si>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</si>
  <si>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</si>
  <si>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</si>
  <si>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</si>
  <si>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</si>
  <si>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</si>
  <si>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</si>
  <si>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</si>
  <si>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</si>
  <si>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</si>
  <si>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</si>
  <si>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</si>
  <si>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</si>
  <si>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</si>
  <si>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</si>
  <si>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</si>
  <si>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</si>
  <si>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</si>
  <si>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</si>
  <si>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</si>
  <si>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</si>
  <si>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</si>
  <si>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</si>
  <si>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</si>
  <si>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</si>
  <si>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</si>
  <si>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</si>
  <si>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</si>
  <si>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</si>
  <si>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</si>
  <si>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</si>
  <si>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</si>
  <si>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</si>
  <si>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</si>
  <si>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</si>
  <si>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</si>
  <si>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</si>
  <si>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</si>
  <si>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</si>
  <si>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</si>
  <si>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</si>
  <si>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</si>
  <si>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</si>
  <si>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</si>
  <si>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</si>
  <si>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</si>
  <si>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</si>
  <si>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</si>
  <si>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</si>
  <si>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</si>
  <si>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</si>
  <si>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</si>
  <si>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</si>
  <si>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</si>
  <si>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</si>
  <si>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</si>
  <si>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</si>
  <si>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</si>
  <si>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</si>
  <si>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</si>
  <si>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</si>
  <si>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</si>
  <si>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</si>
  <si>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</si>
  <si>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</si>
  <si>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</si>
  <si>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</si>
  <si>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</si>
  <si>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</si>
  <si>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</si>
  <si>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</si>
  <si>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</si>
  <si>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</si>
  <si>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</si>
  <si>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</si>
  <si>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</si>
  <si>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</si>
  <si>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</si>
  <si>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</si>
  <si>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</si>
  <si>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</si>
  <si>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</si>
  <si>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</si>
  <si>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</si>
  <si>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</si>
  <si>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</si>
  <si>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</si>
  <si>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</si>
  <si>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</si>
  <si>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</si>
  <si>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</si>
  <si>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</si>
  <si>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</si>
  <si>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</si>
  <si>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</si>
  <si>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</si>
  <si>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</si>
  <si>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</si>
  <si>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</si>
  <si>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</si>
  <si>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</si>
  <si>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</si>
  <si>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</si>
  <si>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</si>
  <si>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</si>
  <si>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</si>
  <si>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</si>
  <si>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</si>
  <si>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</si>
  <si>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</si>
  <si>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</si>
  <si>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</si>
  <si>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</si>
  <si>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</si>
  <si>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</si>
  <si>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</si>
  <si>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</si>
  <si>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</si>
  <si>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</si>
  <si>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</si>
  <si>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</si>
  <si>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</si>
  <si>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</si>
  <si>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</si>
  <si>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</si>
  <si>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</si>
  <si>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</si>
  <si>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</si>
  <si>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</si>
  <si>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</si>
  <si>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</si>
  <si>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</si>
  <si>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</si>
  <si>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</si>
  <si>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</si>
  <si>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</si>
  <si>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</si>
  <si>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</si>
  <si>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</si>
  <si>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</si>
  <si>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</si>
  <si>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</si>
  <si>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</si>
  <si>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</si>
  <si>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</si>
  <si>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</si>
  <si>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</si>
  <si>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</si>
  <si>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</si>
  <si>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</si>
  <si>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</si>
  <si>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</si>
  <si>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</si>
  <si>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</si>
  <si>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</si>
  <si>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</si>
  <si>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</si>
  <si>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</si>
  <si>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</si>
  <si>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</si>
  <si>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</si>
  <si>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</si>
  <si>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</si>
  <si>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</si>
  <si>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</si>
  <si>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</si>
  <si>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</si>
  <si>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</si>
  <si>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</si>
  <si>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</si>
  <si>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</si>
  <si>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</si>
  <si>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</si>
  <si>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</si>
  <si>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</si>
  <si>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</si>
  <si>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</si>
  <si>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</si>
  <si>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</si>
  <si>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</si>
  <si>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</si>
  <si>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</si>
  <si>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</si>
  <si>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</si>
  <si>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</si>
  <si>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</si>
  <si>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</si>
  <si>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</si>
  <si>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</si>
  <si>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</si>
  <si>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</si>
  <si>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</si>
  <si>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</si>
  <si>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</si>
  <si>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</si>
  <si>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</si>
  <si>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</si>
  <si>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</si>
  <si>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</si>
  <si>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</si>
  <si>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</si>
  <si>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</si>
  <si>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</si>
  <si>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</si>
  <si>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</si>
  <si>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</si>
  <si>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</si>
  <si>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</si>
  <si>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</si>
  <si>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</si>
  <si>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</si>
  <si>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</si>
  <si>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</si>
  <si>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</si>
  <si>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</si>
  <si>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</si>
  <si>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</si>
  <si>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</si>
  <si>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</si>
  <si>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</si>
  <si>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</si>
  <si>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</si>
  <si>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</si>
  <si>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</si>
  <si>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</si>
  <si>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</si>
  <si>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</si>
  <si>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</si>
  <si>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</si>
  <si>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</si>
  <si>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</si>
  <si>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</si>
  <si>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</si>
  <si>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</si>
  <si>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</si>
  <si>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</si>
  <si>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</si>
  <si>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</si>
  <si>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</si>
  <si>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</si>
  <si>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</si>
  <si>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</si>
  <si>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</si>
  <si>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</si>
  <si>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</si>
  <si>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</si>
  <si>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</si>
  <si>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</si>
  <si>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</si>
  <si>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</si>
  <si>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</si>
  <si>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</si>
  <si>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</si>
  <si>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</si>
  <si>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</si>
  <si>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</si>
  <si>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</si>
  <si>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</si>
  <si>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</si>
  <si>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</si>
  <si>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</si>
  <si>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</si>
  <si>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</si>
  <si>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</si>
  <si>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</si>
  <si>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</si>
  <si>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</si>
  <si>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</si>
  <si>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</si>
  <si>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</si>
  <si>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</si>
  <si>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</si>
  <si>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</si>
  <si>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</si>
  <si>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</si>
  <si>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</si>
  <si>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</si>
  <si>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</si>
  <si>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</si>
  <si>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</si>
  <si>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</si>
  <si>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</si>
  <si>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</si>
  <si>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</si>
  <si>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</si>
  <si>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</si>
  <si>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</si>
  <si>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</si>
  <si>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</si>
  <si>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</si>
  <si>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</si>
  <si>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</si>
  <si>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</si>
  <si>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</si>
  <si>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</si>
  <si>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</si>
  <si>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</si>
  <si>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</si>
  <si>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</si>
  <si>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</si>
  <si>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</si>
  <si>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</si>
  <si>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</si>
  <si>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</si>
  <si>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</si>
  <si>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</si>
  <si>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</si>
  <si>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</si>
  <si>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</si>
  <si>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</si>
  <si>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</si>
  <si>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</si>
  <si>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</si>
  <si>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</si>
  <si>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</si>
  <si>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</si>
  <si>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</si>
  <si>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</si>
  <si>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</si>
  <si>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</si>
  <si>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</si>
  <si>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</si>
  <si>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</si>
  <si>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</si>
  <si>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</si>
  <si>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</si>
  <si>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</si>
  <si>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</si>
  <si>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</si>
  <si>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</si>
  <si>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</si>
  <si>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</si>
  <si>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</si>
  <si>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</si>
  <si>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</si>
  <si>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</si>
  <si>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</si>
  <si>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</si>
  <si>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</si>
  <si>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</si>
  <si>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</si>
  <si>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</si>
  <si>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</si>
  <si>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</si>
  <si>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</si>
  <si>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</si>
  <si>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</si>
  <si>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</si>
  <si>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</si>
  <si>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</si>
  <si>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</si>
  <si>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</si>
  <si>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</si>
  <si>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</si>
  <si>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</si>
  <si>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</si>
  <si>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</si>
  <si>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</si>
  <si>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</si>
  <si>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</si>
  <si>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</si>
  <si>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</si>
  <si>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</si>
  <si>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</si>
  <si>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</si>
  <si>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</si>
  <si>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</si>
  <si>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</si>
  <si>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</si>
  <si>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</si>
  <si>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</si>
  <si>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</si>
  <si>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</si>
  <si>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</si>
  <si>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</si>
  <si>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</si>
  <si>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</si>
  <si>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</si>
  <si>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</si>
  <si>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</si>
  <si>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</si>
  <si>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</si>
  <si>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</si>
  <si>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</si>
  <si>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</si>
  <si>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</si>
  <si>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</si>
  <si>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</si>
  <si>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</si>
  <si>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</si>
  <si>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</si>
  <si>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</si>
  <si>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</si>
  <si>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</si>
  <si>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</si>
  <si>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</si>
  <si>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</si>
  <si>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</si>
  <si>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</si>
  <si>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</si>
  <si>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</si>
  <si>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</si>
  <si>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</si>
  <si>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</si>
  <si>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</si>
  <si>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</si>
  <si>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</si>
  <si>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</si>
  <si>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</si>
  <si>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</si>
  <si>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</si>
  <si>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</si>
  <si>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</si>
  <si>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</si>
  <si>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</si>
  <si>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</si>
  <si>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</si>
  <si>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</si>
  <si>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</si>
  <si>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</si>
  <si>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</si>
  <si>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</si>
  <si>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</si>
  <si>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</si>
  <si>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</si>
  <si>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</si>
  <si>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</si>
  <si>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</si>
  <si>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</si>
  <si>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</si>
  <si>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</si>
  <si>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</si>
  <si>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</si>
  <si>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</si>
  <si>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</si>
  <si>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</si>
  <si>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</si>
  <si>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</si>
  <si>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</si>
  <si>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</si>
  <si>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</si>
  <si>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</si>
  <si>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</si>
  <si>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</si>
  <si>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</si>
  <si>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</si>
  <si>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</si>
  <si>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</si>
  <si>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</si>
  <si>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</si>
  <si>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</si>
  <si>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</si>
  <si>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</si>
  <si>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</si>
  <si>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</si>
  <si>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</si>
  <si>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</si>
  <si>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</si>
  <si>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</si>
  <si>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</si>
  <si>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</si>
  <si>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</si>
  <si>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</si>
  <si>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</si>
  <si>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</si>
  <si>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</si>
  <si>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</si>
  <si>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</si>
  <si>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</si>
  <si>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</si>
  <si>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</si>
  <si>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</si>
  <si>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</si>
  <si>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</si>
  <si>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</si>
  <si>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</si>
  <si>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</si>
  <si>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</si>
  <si>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</si>
  <si>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</si>
  <si>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</si>
  <si>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</si>
  <si>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</si>
  <si>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</si>
  <si>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</si>
  <si>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</si>
  <si>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</si>
  <si>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</si>
  <si>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</si>
  <si>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</si>
  <si>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</si>
  <si>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</si>
  <si>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</si>
  <si>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</si>
  <si>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</si>
  <si>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</si>
  <si>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</si>
  <si>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</si>
  <si>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</si>
  <si>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</si>
  <si>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</si>
  <si>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</si>
  <si>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</si>
  <si>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</si>
  <si>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</si>
  <si>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</si>
  <si>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</si>
  <si>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</si>
  <si>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</si>
  <si>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</si>
  <si>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</si>
  <si>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</si>
  <si>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</si>
  <si>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</si>
  <si>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</si>
  <si>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</si>
  <si>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</si>
  <si>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</si>
  <si>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</si>
  <si>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</si>
  <si>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</si>
  <si>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</si>
  <si>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</si>
  <si>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</si>
  <si>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</si>
  <si>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</si>
  <si>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</si>
  <si>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</si>
  <si>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</si>
  <si>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</si>
  <si>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</si>
  <si>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</si>
  <si>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</si>
  <si>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</si>
  <si>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</si>
  <si>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</si>
  <si>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</si>
  <si>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</si>
  <si>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</si>
  <si>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</si>
  <si>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</si>
  <si>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</si>
  <si>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</si>
  <si>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</si>
  <si>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</si>
  <si>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</si>
  <si>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</si>
  <si>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</si>
  <si>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</si>
  <si>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</si>
  <si>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</si>
  <si>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</si>
  <si>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</si>
  <si>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</si>
  <si>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</si>
  <si>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</si>
  <si>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</si>
  <si>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</si>
  <si>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</si>
  <si>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</si>
  <si>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</si>
  <si>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</si>
  <si>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</si>
  <si>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</si>
  <si>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</si>
  <si>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</si>
  <si>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</si>
  <si>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</si>
  <si>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</si>
  <si>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</si>
  <si>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</si>
  <si>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</si>
  <si>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</si>
  <si>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</si>
  <si>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</si>
  <si>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</si>
  <si>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</si>
  <si>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</si>
  <si>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</si>
  <si>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</si>
  <si>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</si>
  <si>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</si>
  <si>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</si>
  <si>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</si>
  <si>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</si>
  <si>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</si>
  <si>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</si>
  <si>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</si>
  <si>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</si>
  <si>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</si>
  <si>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</si>
  <si>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</si>
  <si>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</si>
  <si>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</si>
  <si>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</si>
  <si>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</si>
  <si>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</si>
  <si>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</si>
  <si>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</si>
  <si>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</si>
  <si>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</si>
  <si>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</si>
  <si>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</si>
  <si>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</si>
  <si>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</si>
  <si>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</si>
  <si>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</si>
  <si>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</si>
  <si>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</si>
  <si>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</si>
  <si>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</si>
  <si>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</si>
  <si>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</si>
  <si>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</si>
  <si>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</si>
  <si>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</si>
  <si>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</si>
  <si>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</si>
  <si>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</si>
  <si>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</si>
  <si>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</si>
  <si>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</si>
  <si>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</si>
  <si>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</si>
  <si>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</si>
  <si>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</si>
  <si>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</si>
  <si>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</si>
  <si>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</si>
  <si>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</si>
  <si>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</si>
  <si>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</si>
  <si>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</si>
  <si>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</si>
  <si>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</si>
  <si>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</si>
  <si>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</si>
  <si>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</si>
  <si>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</si>
  <si>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</si>
  <si>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</si>
  <si>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</si>
  <si>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</si>
  <si>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</si>
  <si>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</si>
  <si>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</si>
  <si>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</si>
  <si>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</si>
  <si>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</si>
  <si>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</si>
  <si>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</si>
  <si>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</si>
  <si>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</si>
  <si>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</si>
  <si>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</si>
  <si>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</si>
  <si>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</si>
  <si>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</si>
  <si>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</si>
  <si>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</si>
  <si>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</si>
  <si>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</si>
  <si>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</si>
  <si>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</si>
  <si>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</si>
  <si>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</si>
  <si>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</si>
  <si>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</si>
  <si>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</si>
  <si>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</si>
  <si>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</si>
  <si>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</si>
  <si>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</si>
  <si>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</si>
  <si>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</si>
  <si>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</si>
  <si>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</si>
  <si>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</si>
  <si>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</si>
  <si>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</si>
  <si>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</si>
  <si>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</si>
  <si>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</si>
  <si>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</si>
  <si>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</si>
  <si>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</si>
  <si>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</si>
  <si>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</si>
  <si>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</si>
  <si>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</si>
  <si>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</si>
  <si>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</si>
  <si>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</si>
  <si>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</si>
  <si>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</si>
  <si>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</si>
  <si>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</si>
  <si>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</si>
  <si>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</si>
  <si>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</si>
  <si>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</si>
  <si>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</si>
  <si>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</si>
  <si>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</si>
  <si>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</si>
  <si>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</si>
  <si>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</si>
  <si>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</si>
  <si>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</si>
  <si>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</si>
  <si>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</si>
  <si>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</si>
  <si>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</si>
  <si>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</si>
  <si>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</si>
  <si>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</si>
  <si>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</si>
  <si>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</si>
  <si>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</si>
  <si>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</si>
  <si>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</si>
  <si>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</si>
  <si>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</si>
  <si>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</si>
  <si>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</si>
  <si>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</si>
  <si>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</si>
  <si>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</si>
  <si>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</si>
  <si>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</si>
  <si>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</si>
  <si>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</si>
  <si>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</si>
  <si>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</si>
  <si>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</si>
  <si>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</si>
  <si>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</si>
  <si>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</si>
  <si>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</si>
  <si>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</si>
  <si>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</si>
  <si>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</si>
  <si>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</si>
  <si>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</si>
  <si>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</si>
  <si>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</si>
  <si>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</si>
  <si>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</si>
  <si>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</si>
  <si>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</si>
  <si>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</si>
  <si>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</si>
  <si>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</si>
  <si>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</si>
  <si>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</si>
  <si>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</si>
  <si>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</si>
  <si>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</si>
  <si>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</si>
  <si>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</si>
  <si>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</si>
  <si>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</si>
  <si>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</si>
  <si>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</si>
  <si>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</si>
  <si>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</si>
  <si>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</si>
  <si>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</si>
  <si>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</si>
  <si>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</si>
  <si>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</si>
  <si>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</si>
  <si>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</si>
  <si>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</si>
  <si>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</si>
  <si>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</si>
  <si>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</si>
  <si>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</si>
  <si>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</si>
  <si>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</si>
  <si>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</si>
  <si>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</si>
  <si>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</si>
  <si>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</si>
  <si>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</si>
  <si>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</si>
  <si>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</si>
  <si>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</si>
  <si>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</si>
  <si>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</si>
  <si>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</si>
  <si>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</si>
  <si>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</si>
  <si>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</si>
  <si>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</si>
  <si>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</si>
  <si>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</si>
  <si>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</si>
  <si>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</si>
  <si>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</si>
  <si>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</si>
  <si>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</si>
  <si>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</si>
  <si>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</si>
  <si>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</si>
  <si>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</si>
  <si>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</si>
  <si>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</si>
  <si>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</si>
  <si>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</si>
  <si>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</si>
  <si>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</si>
  <si>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</si>
  <si>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</si>
  <si>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</si>
  <si>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</si>
  <si>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</si>
  <si>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</si>
  <si>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</si>
  <si>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</si>
  <si>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</si>
  <si>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</si>
  <si>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</si>
  <si>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</si>
  <si>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</si>
  <si>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</si>
  <si>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</si>
  <si>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</si>
  <si>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</si>
  <si>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</si>
  <si>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</si>
  <si>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</si>
  <si>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</si>
  <si>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</si>
  <si>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</si>
  <si>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</si>
  <si>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</si>
  <si>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</si>
  <si>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</si>
  <si>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</si>
  <si>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</si>
  <si>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</si>
  <si>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</si>
  <si>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</si>
  <si>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</si>
  <si>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</si>
  <si>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</si>
  <si>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</si>
  <si>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</si>
  <si>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</si>
  <si>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</si>
  <si>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</si>
  <si>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</si>
  <si>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</si>
  <si>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</si>
  <si>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</si>
  <si>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</si>
  <si>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</si>
  <si>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</si>
  <si>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</si>
  <si>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</si>
  <si>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</si>
  <si>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</si>
  <si>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</si>
  <si>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</si>
  <si>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</si>
  <si>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</si>
  <si>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</si>
  <si>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</si>
  <si>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</si>
  <si>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</si>
  <si>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</si>
  <si>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</si>
  <si>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</si>
  <si>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</si>
  <si>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</si>
  <si>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</si>
  <si>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</si>
  <si>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</si>
  <si>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</si>
  <si>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</si>
  <si>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</si>
  <si>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</si>
  <si>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</si>
  <si>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</si>
  <si>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</si>
  <si>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</si>
  <si>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</si>
  <si>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</si>
  <si>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</si>
  <si>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</si>
  <si>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</si>
  <si>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</si>
  <si>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</si>
  <si>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</si>
  <si>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</si>
  <si>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</si>
  <si>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</si>
  <si>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</si>
  <si>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</si>
  <si>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</si>
  <si>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</si>
  <si>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</si>
  <si>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</si>
  <si>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</si>
  <si>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</si>
  <si>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</si>
  <si>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</si>
  <si>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</si>
  <si>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</si>
  <si>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</si>
  <si>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</si>
  <si>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</si>
  <si>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</si>
  <si>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</si>
  <si>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</si>
  <si>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</si>
  <si>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</si>
  <si>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</si>
  <si>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</si>
  <si>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</si>
  <si>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</si>
  <si>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</si>
  <si>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</si>
  <si>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</si>
  <si>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</si>
  <si>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</si>
  <si>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</si>
  <si>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</si>
  <si>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</si>
  <si>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</si>
  <si>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</si>
  <si>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</si>
  <si>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</si>
  <si>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</si>
  <si>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</si>
  <si>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</si>
  <si>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</si>
  <si>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</si>
  <si>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</si>
  <si>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</si>
  <si>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</si>
  <si>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</si>
  <si>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</si>
  <si>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</si>
  <si>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</si>
  <si>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</si>
  <si>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</si>
  <si>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</si>
  <si>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</si>
  <si>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</si>
  <si>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</si>
  <si>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</si>
  <si>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</si>
  <si>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</si>
  <si>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</si>
  <si>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</si>
  <si>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</si>
  <si>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</si>
  <si>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</si>
  <si>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</si>
  <si>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</si>
  <si>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</si>
  <si>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</si>
  <si>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</si>
  <si>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</si>
  <si>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</si>
  <si>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</si>
  <si>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</si>
  <si>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</si>
  <si>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</si>
  <si>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</si>
  <si>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</si>
  <si>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</si>
  <si>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</si>
  <si>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</si>
  <si>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</si>
  <si>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</si>
  <si>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</si>
  <si>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</si>
  <si>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</si>
  <si>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</si>
  <si>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</si>
  <si>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</si>
  <si>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</si>
  <si>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</si>
  <si>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</si>
  <si>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</si>
  <si>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</si>
  <si>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</si>
  <si>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</si>
  <si>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</si>
  <si>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</si>
  <si>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</si>
  <si>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</si>
  <si>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</si>
  <si>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</si>
  <si>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</si>
  <si>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</si>
  <si>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</si>
  <si>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</si>
  <si>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</si>
  <si>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</si>
  <si>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</si>
  <si>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</si>
  <si>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</si>
  <si>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</si>
  <si>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</si>
  <si>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</si>
  <si>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</si>
  <si>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</si>
  <si>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</si>
  <si>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</si>
  <si>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</si>
  <si>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</si>
  <si>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</si>
  <si>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</si>
  <si>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</si>
  <si>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</si>
  <si>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</si>
  <si>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</si>
  <si>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</si>
  <si>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</si>
  <si>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</si>
  <si>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</si>
  <si>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</si>
  <si>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</si>
  <si>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</si>
  <si>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</si>
  <si>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</si>
  <si>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</si>
  <si>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</si>
  <si>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</si>
  <si>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</si>
  <si>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</si>
  <si>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</si>
  <si>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</si>
  <si>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</si>
  <si>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</si>
  <si>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</si>
  <si>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</si>
  <si>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</si>
  <si>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</si>
  <si>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</si>
  <si>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</si>
  <si>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</si>
  <si>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</si>
  <si>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</si>
  <si>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</si>
  <si>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</si>
  <si>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</si>
  <si>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</si>
  <si>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</si>
  <si>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</si>
  <si>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</si>
  <si>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</si>
  <si>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</si>
  <si>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</si>
  <si>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</si>
  <si>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</si>
  <si>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</si>
  <si>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</si>
  <si>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</si>
  <si>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</si>
  <si>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</si>
  <si>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</si>
  <si>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</si>
  <si>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</si>
  <si>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</si>
  <si>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</si>
  <si>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</si>
  <si>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</si>
  <si>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</si>
  <si>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</si>
  <si>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</si>
  <si>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</si>
  <si>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</si>
  <si>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</si>
  <si>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</si>
  <si>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</si>
  <si>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</si>
  <si>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</si>
  <si>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</si>
  <si>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</si>
  <si>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</si>
  <si>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</si>
  <si>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</si>
  <si>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</si>
  <si>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</si>
  <si>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</si>
  <si>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</si>
  <si>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</si>
  <si>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</si>
  <si>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</si>
  <si>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</si>
  <si>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</si>
  <si>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</si>
  <si>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</si>
  <si>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</si>
  <si>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</si>
  <si>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</si>
  <si>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</si>
  <si>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</si>
  <si>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</si>
  <si>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</si>
  <si>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</si>
  <si>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</si>
  <si>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</si>
  <si>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</si>
  <si>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</si>
  <si>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</si>
  <si>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</si>
  <si>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</si>
  <si>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</si>
  <si>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</si>
  <si>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</si>
  <si>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</si>
  <si>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</si>
  <si>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</si>
  <si>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</si>
  <si>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</si>
  <si>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</si>
  <si>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</si>
  <si>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</si>
  <si>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</si>
  <si>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</si>
  <si>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</si>
  <si>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</si>
  <si>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</si>
  <si>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</si>
  <si>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</si>
  <si>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</si>
  <si>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</si>
  <si>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</si>
  <si>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</si>
  <si>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</si>
  <si>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</si>
  <si>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</si>
  <si>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</si>
  <si>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</si>
  <si>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</si>
  <si>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</si>
  <si>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</si>
  <si>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</si>
  <si>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</si>
  <si>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</si>
  <si>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</si>
  <si>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</si>
  <si>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</si>
  <si>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</si>
  <si>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</si>
  <si>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</si>
  <si>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</si>
  <si>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</si>
  <si>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</si>
  <si>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</si>
  <si>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</si>
  <si>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</si>
  <si>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</si>
  <si>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</si>
  <si>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</si>
  <si>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</si>
  <si>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</si>
  <si>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</si>
  <si>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</si>
  <si>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</si>
  <si>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</si>
  <si>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</si>
  <si>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</si>
  <si>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</si>
  <si>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</si>
  <si>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</si>
  <si>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</si>
  <si>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</si>
  <si>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</si>
  <si>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</si>
  <si>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</si>
  <si>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</si>
  <si>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</si>
  <si>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</si>
  <si>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</si>
  <si>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</si>
  <si>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</si>
  <si>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</si>
  <si>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</si>
  <si>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</si>
  <si>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</si>
  <si>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</si>
  <si>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</si>
  <si>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</si>
  <si>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</si>
  <si>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</si>
  <si>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</si>
  <si>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</si>
  <si>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</si>
  <si>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</si>
  <si>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</si>
  <si>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</si>
  <si>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</si>
  <si>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</si>
  <si>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</si>
  <si>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</si>
  <si>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</si>
  <si>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</si>
  <si>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</si>
  <si>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</si>
  <si>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</si>
  <si>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</si>
  <si>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</si>
  <si>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</si>
  <si>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</si>
  <si>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</si>
  <si>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</si>
  <si>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</si>
  <si>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</si>
  <si>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</si>
  <si>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</si>
  <si>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</si>
  <si>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</si>
  <si>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</si>
  <si>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</si>
  <si>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</si>
  <si>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</si>
  <si>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</si>
  <si>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</si>
  <si>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</si>
  <si>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</si>
  <si>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</si>
  <si>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</si>
  <si>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</si>
  <si>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</si>
  <si>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</si>
  <si>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</si>
  <si>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</si>
  <si>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</si>
  <si>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</si>
  <si>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</si>
  <si>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</si>
  <si>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</si>
  <si>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</si>
  <si>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</si>
  <si>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</si>
  <si>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</si>
  <si>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</si>
  <si>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</si>
  <si>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</si>
  <si>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</si>
  <si>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</si>
  <si>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</si>
  <si>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</si>
  <si>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</si>
  <si>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</si>
  <si>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</si>
  <si>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</si>
  <si>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</si>
  <si>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</si>
  <si>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</si>
  <si>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</si>
  <si>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</si>
  <si>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</si>
  <si>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</si>
  <si>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</si>
  <si>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</si>
  <si>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</si>
  <si>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</si>
  <si>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</si>
  <si>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</si>
  <si>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</si>
  <si>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</si>
  <si>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</si>
  <si>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</si>
  <si>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</si>
  <si>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</si>
  <si>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</si>
  <si>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</si>
  <si>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</si>
  <si>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</si>
  <si>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</si>
  <si>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</si>
  <si>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</si>
  <si>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</si>
  <si>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</si>
  <si>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</si>
  <si>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</si>
  <si>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</si>
  <si>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</si>
  <si>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</si>
  <si>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</si>
  <si>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</si>
  <si>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</si>
  <si>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</si>
  <si>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</si>
  <si>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</si>
  <si>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</si>
  <si>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</si>
  <si>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</si>
  <si>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</si>
  <si>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</si>
  <si>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</si>
  <si>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</si>
  <si>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</si>
  <si>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</si>
  <si>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</si>
  <si>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</si>
  <si>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</si>
  <si>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</si>
  <si>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</si>
  <si>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</si>
  <si>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</si>
  <si>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</si>
  <si>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</si>
  <si>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</si>
  <si>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</si>
  <si>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</si>
  <si>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</si>
  <si>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</si>
  <si>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</si>
  <si>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</si>
  <si>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</si>
  <si>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</si>
  <si>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</si>
  <si>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</si>
  <si>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</si>
  <si>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</si>
  <si>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</si>
  <si>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</si>
  <si>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</si>
  <si>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</si>
  <si>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</si>
  <si>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</si>
  <si>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</si>
  <si>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</si>
  <si>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</si>
  <si>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</si>
  <si>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</si>
  <si>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</si>
  <si>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</si>
  <si>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</si>
  <si>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</si>
  <si>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</si>
  <si>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</si>
  <si>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</si>
  <si>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</si>
  <si>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</si>
  <si>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</si>
  <si>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</si>
  <si>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</si>
  <si>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</si>
  <si>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</si>
  <si>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</si>
  <si>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</si>
  <si>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</si>
  <si>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</si>
  <si>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</si>
  <si>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</si>
  <si>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</si>
  <si>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</si>
  <si>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</si>
  <si>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</si>
  <si>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</si>
  <si>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</si>
  <si>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</si>
  <si>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</si>
  <si>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</si>
  <si>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</si>
  <si>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</si>
  <si>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</si>
  <si>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</si>
  <si>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</si>
  <si>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</si>
  <si>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</si>
  <si>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</si>
  <si>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</si>
  <si>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</si>
  <si>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</si>
  <si>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</si>
  <si>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</si>
  <si>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</si>
  <si>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</si>
  <si>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</si>
  <si>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</si>
  <si>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</si>
  <si>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</si>
  <si>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</si>
  <si>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</si>
  <si>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</si>
  <si>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</si>
  <si>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</si>
  <si>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</si>
  <si>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</si>
  <si>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</si>
  <si>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</si>
  <si>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</si>
  <si>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</si>
  <si>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</si>
  <si>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</si>
  <si>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</si>
  <si>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</si>
  <si>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</si>
  <si>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</si>
  <si>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</si>
  <si>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</si>
  <si>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</si>
  <si>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</si>
  <si>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</si>
  <si>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</si>
  <si>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</si>
  <si>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</si>
  <si>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</si>
  <si>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</si>
  <si>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</si>
  <si>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</si>
  <si>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</si>
  <si>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</si>
  <si>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</si>
  <si>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</si>
  <si>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</si>
  <si>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</si>
  <si>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</si>
  <si>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</si>
  <si>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</si>
  <si>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</si>
  <si>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</si>
  <si>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</si>
  <si>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</si>
  <si>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</si>
  <si>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</si>
  <si>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</si>
  <si>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</si>
  <si>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</si>
  <si>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</si>
  <si>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</si>
  <si>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</si>
  <si>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</si>
  <si>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</si>
  <si>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</si>
  <si>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</si>
  <si>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</si>
  <si>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</si>
  <si>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</si>
  <si>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</si>
  <si>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</si>
  <si>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</si>
  <si>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</si>
  <si>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</si>
  <si>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</si>
  <si>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</si>
  <si>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</si>
  <si>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</si>
  <si>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</si>
  <si>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</si>
  <si>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</si>
  <si>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</si>
  <si>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</si>
  <si>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</si>
  <si>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</si>
  <si>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</si>
  <si>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自然人</t>
  </si>
  <si>
    <t>北京市</t>
  </si>
  <si>
    <t>是</t>
  </si>
  <si>
    <t>地上</t>
  </si>
  <si>
    <t>地下</t>
  </si>
  <si>
    <t>利息：取LPR加浮动点数</t>
  </si>
  <si>
    <t>工程进度</t>
  </si>
  <si>
    <t>收益法 (元)</t>
  </si>
  <si>
    <t>收益法仓储</t>
    <phoneticPr fontId="16" type="noConversion"/>
  </si>
  <si>
    <t>押一</t>
  </si>
  <si>
    <t>钢混</t>
  </si>
  <si>
    <t>非生产用房</t>
  </si>
  <si>
    <t>否</t>
  </si>
  <si>
    <t>单套模式</t>
  </si>
  <si>
    <t>售价</t>
  </si>
  <si>
    <t>天桥</t>
    <phoneticPr fontId="3" type="noConversion"/>
  </si>
  <si>
    <t>天桥北里</t>
    <phoneticPr fontId="3" type="noConversion"/>
  </si>
  <si>
    <t>天桥南里</t>
    <phoneticPr fontId="3" type="noConversion"/>
  </si>
  <si>
    <t>正常</t>
  </si>
  <si>
    <t>商业</t>
    <phoneticPr fontId="30" type="noConversion"/>
  </si>
  <si>
    <t>报价</t>
  </si>
  <si>
    <t>报价</t>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</si>
  <si>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</si>
  <si>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</si>
  <si>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</si>
  <si>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</si>
  <si>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</si>
  <si>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</si>
  <si>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精装</t>
    <phoneticPr fontId="3" type="noConversion"/>
  </si>
  <si>
    <t>普装</t>
    <phoneticPr fontId="3" type="noConversion"/>
  </si>
  <si>
    <t>简装</t>
    <phoneticPr fontId="3" type="noConversion"/>
  </si>
  <si>
    <t>毛坯</t>
    <phoneticPr fontId="3" type="noConversion"/>
  </si>
  <si>
    <t>超高</t>
    <phoneticPr fontId="3" type="noConversion"/>
  </si>
  <si>
    <t>标准</t>
    <phoneticPr fontId="3" type="noConversion"/>
  </si>
  <si>
    <t>可明火</t>
    <phoneticPr fontId="3" type="noConversion"/>
  </si>
  <si>
    <t>不可明火</t>
    <phoneticPr fontId="3" type="noConversion"/>
  </si>
  <si>
    <t>七通</t>
    <phoneticPr fontId="3" type="noConversion"/>
  </si>
  <si>
    <t>六通</t>
    <phoneticPr fontId="3" type="noConversion"/>
  </si>
  <si>
    <t>五通</t>
    <phoneticPr fontId="3" type="noConversion"/>
  </si>
  <si>
    <t>钢混</t>
    <phoneticPr fontId="3" type="noConversion"/>
  </si>
  <si>
    <t>砖混</t>
    <phoneticPr fontId="3" type="noConversion"/>
  </si>
  <si>
    <t>商业街</t>
    <phoneticPr fontId="3" type="noConversion"/>
  </si>
  <si>
    <t>办公底商</t>
    <phoneticPr fontId="3" type="noConversion"/>
  </si>
  <si>
    <t>住宅底商</t>
    <phoneticPr fontId="3" type="noConversion"/>
  </si>
  <si>
    <t>B1-1</t>
  </si>
  <si>
    <t>B1-1</t>
    <phoneticPr fontId="30"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</si>
  <si>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</si>
  <si>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</si>
  <si>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</si>
  <si>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</si>
  <si>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</si>
  <si>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</si>
  <si>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</si>
  <si>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</si>
  <si>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</si>
  <si>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</si>
  <si>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t>一般</t>
  </si>
  <si>
    <t>一般</t>
    <phoneticPr fontId="30" type="noConversion"/>
  </si>
  <si>
    <t>较好</t>
    <phoneticPr fontId="30" type="noConversion"/>
  </si>
  <si>
    <t>较大</t>
  </si>
  <si>
    <t>比较法-商业</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</si>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</sst>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542925</xdr:colOff>
      <xdr:row>22</xdr:row>
      <xdr:rowOff>135903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657725" cy="3907802"/>
        </a:xfrm>
        <a:prstGeom prst="rect">
          <a:avLst/>
        </a:prstGeom>
      </xdr:spPr>
    </xdr:pic>
    <xdr:clientData/>
  </xdr:twoCellAnchor>
  <xdr:twoCellAnchor editAs="oneCell">
    <xdr:from>
      <xdr:col>7</xdr:col>
      <xdr:colOff>47624</xdr:colOff>
      <xdr:row>0</xdr:row>
      <xdr:rowOff>0</xdr:rowOff>
    </xdr:from>
    <xdr:to>
      <xdr:col>14</xdr:col>
      <xdr:colOff>494297</xdr:colOff>
      <xdr:row>24</xdr:row>
      <xdr:rowOff>129135</xdr:rowOff>
    </xdr:to>
    <xdr:pic>
      <xdr:nvPicPr>
        <xdr:cNvPr id="3" name="图片 2"/>
        <xdr:cNvPicPr>
          <a:picLocks noChangeAspect="1"/>
        </xdr:cNvPicPr>
      </xdr:nvPicPr>
      <xdr:blipFill>
        <a:blip xmlns:r="http://schemas.openxmlformats.org/officeDocument/2006/relationships" r:embed="rId2"/>
        <a:stretch>
          <a:fillRect/>
        </a:stretch>
      </xdr:blipFill>
      <xdr:spPr>
        <a:xfrm>
          <a:off x="4848224" y="0"/>
          <a:ext cx="5247273" cy="4243935"/>
        </a:xfrm>
        <a:prstGeom prst="rect">
          <a:avLst/>
        </a:prstGeom>
      </xdr:spPr>
    </xdr:pic>
    <xdr:clientData/>
  </xdr:twoCellAnchor>
  <xdr:twoCellAnchor editAs="oneCell">
    <xdr:from>
      <xdr:col>0</xdr:col>
      <xdr:colOff>209550</xdr:colOff>
      <xdr:row>23</xdr:row>
      <xdr:rowOff>114300</xdr:rowOff>
    </xdr:from>
    <xdr:to>
      <xdr:col>7</xdr:col>
      <xdr:colOff>124559</xdr:colOff>
      <xdr:row>48</xdr:row>
      <xdr:rowOff>65726</xdr:rowOff>
    </xdr:to>
    <xdr:pic>
      <xdr:nvPicPr>
        <xdr:cNvPr id="4" name="图片 3"/>
        <xdr:cNvPicPr>
          <a:picLocks noChangeAspect="1"/>
        </xdr:cNvPicPr>
      </xdr:nvPicPr>
      <xdr:blipFill>
        <a:blip xmlns:r="http://schemas.openxmlformats.org/officeDocument/2006/relationships" r:embed="rId3"/>
        <a:stretch>
          <a:fillRect/>
        </a:stretch>
      </xdr:blipFill>
      <xdr:spPr>
        <a:xfrm>
          <a:off x="209550" y="4057650"/>
          <a:ext cx="4715609" cy="42376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估价对象为北京市房地产，为所有。根据《国有土地使用证》[]，估价对象（分摊）出让国有建设用地使用权面积为0平方米，建筑面积为314.25平方米。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估价对象为北京市房地产,属开发建设的，该项目尚在开发建设中。根据《国有土地使用证》[]，估价对象（分摊）出让国有建设用地使用权面积为0平方米，规划建筑面积为314.25平方米。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2023年6月14日（评估专业人员实地查勘之日）</v>
      </c>
    </row>
    <row r="13" spans="1:2" s="1203" customFormat="1">
      <c r="A13" s="1201" t="s">
        <v>529</v>
      </c>
      <c r="B13" s="1202"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991</v>
      </c>
    </row>
    <row r="21" spans="1:2" s="1203" customFormat="1">
      <c r="A21" s="1201" t="s">
        <v>537</v>
      </c>
      <c r="B21" s="1202">
        <f ca="1">'预评函-2'!D7</f>
        <v>31535</v>
      </c>
    </row>
    <row r="22" spans="1:2" s="1203" customFormat="1">
      <c r="A22" s="1201" t="s">
        <v>538</v>
      </c>
      <c r="B22" s="1202" t="str">
        <f ca="1">'预评函-2'!D6</f>
        <v>玖佰玖拾壹万元整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991</v>
      </c>
    </row>
    <row r="31" spans="1:2" s="1203" customFormat="1">
      <c r="A31" s="1201" t="s">
        <v>576</v>
      </c>
      <c r="B31" s="1202">
        <f ca="1">'预评函-2'!D15</f>
        <v>31535</v>
      </c>
    </row>
    <row r="32" spans="1:2" s="1203" customFormat="1">
      <c r="A32" s="1201" t="s">
        <v>543</v>
      </c>
      <c r="B32" s="1202" t="str">
        <f ca="1">'预评函-2'!D14</f>
        <v>玖佰玖拾壹万元整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314.25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5" sqref="D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3388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45091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45091</v>
      </c>
      <c r="C3" s="2374" t="s">
        <v>2171</v>
      </c>
      <c r="D3" s="2373">
        <v>45091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2"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3"/>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v>62614</v>
      </c>
      <c r="D13" s="856">
        <v>51662</v>
      </c>
      <c r="E13" s="856"/>
      <c r="F13" s="856"/>
      <c r="G13" s="856">
        <v>51662</v>
      </c>
      <c r="H13" s="856"/>
      <c r="I13" s="856"/>
      <c r="J13" s="3062"/>
      <c r="K13" s="2613"/>
      <c r="L13" s="2613"/>
      <c r="M13" s="2439"/>
      <c r="N13" s="2450"/>
      <c r="O13" s="2439"/>
      <c r="P13" s="2439"/>
      <c r="Q13" s="2439"/>
      <c r="AD13" s="1745"/>
    </row>
    <row r="14" spans="1:30">
      <c r="A14" s="1081"/>
      <c r="B14" s="2407" t="s">
        <v>2191</v>
      </c>
      <c r="C14" s="2408">
        <v>70</v>
      </c>
      <c r="D14" s="2408">
        <v>40</v>
      </c>
      <c r="E14" s="2408"/>
      <c r="F14" s="2408"/>
      <c r="G14" s="2408">
        <v>50</v>
      </c>
      <c r="H14" s="2408"/>
      <c r="I14" s="2408"/>
      <c r="J14" s="3063"/>
      <c r="K14" s="2613"/>
      <c r="L14" s="2613"/>
      <c r="M14" s="2439"/>
      <c r="N14" s="2450"/>
      <c r="O14" s="2439"/>
      <c r="P14" s="2439"/>
      <c r="Q14" s="2439"/>
      <c r="AD14" s="1745"/>
    </row>
    <row r="15" spans="1:30">
      <c r="A15" s="320"/>
      <c r="B15" s="2409" t="s">
        <v>2192</v>
      </c>
      <c r="C15" s="2410">
        <f>IF(A13="出让",IF(C13="","",ROUNDDOWN(MIN((C13-$D$3)/365,C14),2)),C14)</f>
        <v>48</v>
      </c>
      <c r="D15" s="2410">
        <f>IF(A13="出让",IF(D13="","",ROUNDDOWN(MIN((D13-$D$3)/365,D14),2)),D14)</f>
        <v>18</v>
      </c>
      <c r="E15" s="2410" t="str">
        <f>IF(A13="出让",IF(E13="","",ROUNDDOWN(MIN((E13-$D$3)/365,E14),2)),E14)</f>
        <v/>
      </c>
      <c r="F15" s="2410" t="str">
        <f>IF(A13="出让",IF(F13="","",ROUNDDOWN(MIN((F13-$D$3)/365,F14),2)),F14)</f>
        <v/>
      </c>
      <c r="G15" s="2410">
        <f>IF(A13="出让",IF(G13="","",ROUNDDOWN(MIN((G13-$D$3)/365,G14),2)),G14)</f>
        <v>18</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314.25</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t="s">
        <v>184</v>
      </c>
      <c r="D37" s="2431" t="s">
        <v>184</v>
      </c>
      <c r="E37" s="2431"/>
      <c r="F37" s="2431" t="s">
        <v>184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168</v>
      </c>
      <c r="C38" s="2432" t="s">
        <v>168</v>
      </c>
      <c r="D38" s="2432" t="s">
        <v>168</v>
      </c>
      <c r="E38" s="2432"/>
      <c r="F38" s="2432" t="s">
        <v>168</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314.25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314.25</v>
      </c>
      <c r="H5" s="13">
        <f t="shared" ref="H5:AT5" si="0">SUM(H13:H656)</f>
        <v>314.25</v>
      </c>
      <c r="I5" s="13">
        <f t="shared" si="0"/>
        <v>217.64</v>
      </c>
      <c r="J5" s="13">
        <f t="shared" si="0"/>
        <v>0</v>
      </c>
      <c r="K5" s="13">
        <f t="shared" si="0"/>
        <v>96.61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314.25</v>
      </c>
      <c r="BA5" s="15">
        <f t="shared" si="1"/>
        <v>314.25</v>
      </c>
      <c r="BB5" s="15">
        <f t="shared" si="1"/>
        <v>217.64</v>
      </c>
      <c r="BC5" s="15">
        <f t="shared" si="1"/>
        <v>96.61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314.25</v>
      </c>
      <c r="H13" s="17">
        <f>SUMIF(I$12:AB$12,"总值",I13:AB13)</f>
        <v>314.25</v>
      </c>
      <c r="I13" s="1626">
        <v>217.64</v>
      </c>
      <c r="J13" s="1626"/>
      <c r="K13" s="1626">
        <v>96.61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314.25</v>
      </c>
      <c r="BA13" s="13">
        <f>SUM(BB13:BK13)</f>
        <v>314.25</v>
      </c>
      <c r="BB13" s="13">
        <f>IF($D13="是",I13-J13,0)</f>
        <v>217.64</v>
      </c>
      <c r="BC13" s="13">
        <f>IF($D13="是",K13-L13,0)</f>
        <v>96.61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314.25</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314.25</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217.64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96.61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314.25</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673</v>
      </c>
      <c r="D19" s="45">
        <f>ROUND($D$3*E19/$E$3,2)</f>
        <v>0</v>
      </c>
      <c r="E19" s="53">
        <f t="shared" ref="E19:E26" si="1">SUM(F19:G19)</f>
        <v>314.25</v>
      </c>
      <c r="F19" s="2795">
        <v>217.64</v>
      </c>
      <c r="G19" s="2796">
        <v>96.61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314.25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314.25</v>
      </c>
      <c r="F27" s="1140">
        <f>IF(SUM(F19:F26)=E8,SUM(F19:F26),"地上面积有误")</f>
        <v>217.64</v>
      </c>
      <c r="G27" s="1142">
        <f>SUM(G19:G26)</f>
        <v>96.61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314.25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314.25</v>
      </c>
      <c r="F31" s="677">
        <f>F27+F30</f>
        <v>217.64</v>
      </c>
      <c r="G31" s="678">
        <f>G27+G30</f>
        <v>96.61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51662</v>
      </c>
      <c r="F6" s="64">
        <f>SUMIF(项目基本情况!C$12:I$12,C6,项目基本情况!C$15:I$15)</f>
        <v>18</v>
      </c>
      <c r="G6" s="65">
        <f>IF(ISERROR(ROUND(POWER(1+H6,D6-F6)*(POWER(1+H6,F6)-1)/(POWER(1+H6,D6)-1),3)),0,ROUND(POWER(1+H6,D6-F6)*(POWER(1+H6,F6)-1)/(POWER(1+H6,D6)-1),3))</f>
        <v>0.68100000000000005</v>
      </c>
      <c r="H6" s="732">
        <v>0.05</v>
      </c>
      <c r="I6" s="732">
        <v>5.5E-2</v>
      </c>
      <c r="J6" s="66">
        <v>7.0000000000000007E-2</v>
      </c>
      <c r="K6" s="1030">
        <f>SUMIF('数据-汇总表'!C$19:C$33,A6,'数据-汇总表'!E$19:E$33)</f>
        <v>314.25</v>
      </c>
      <c r="L6" s="733">
        <v>3800</v>
      </c>
      <c r="M6" s="67">
        <f t="shared" ref="M6:M14" si="0">ROUND(K6*L6/10000,0)</f>
        <v>119</v>
      </c>
      <c r="N6" s="731">
        <v>0.78</v>
      </c>
      <c r="O6" s="67">
        <f>IF($N$5="成新度","——",ROUND(M6*N6,0))</f>
        <v>93</v>
      </c>
      <c r="P6" s="68">
        <f>IF($N$5="成新度","——",M6-O6)</f>
        <v>26</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U22</f>
        <v>6.5</v>
      </c>
      <c r="V6" s="70">
        <v>2.5000000000000001E-2</v>
      </c>
      <c r="W6" s="70">
        <v>0.1</v>
      </c>
      <c r="X6" s="1040"/>
      <c r="Y6" s="71">
        <f>N6</f>
        <v>0.78</v>
      </c>
      <c r="Z6" s="72"/>
      <c r="AA6" s="66"/>
      <c r="AB6" s="66"/>
      <c r="AC6" s="1040"/>
      <c r="AD6" s="73"/>
      <c r="AE6" s="1041">
        <f ca="1">IF(AN6="",0,SUMIF(INDIRECT("'"&amp;AN6&amp;"'"&amp;"!E:E"),$AE$5,INDIRECT("'"&amp;AN6&amp;"'"&amp;"!F:F")))</f>
        <v>18</v>
      </c>
      <c r="AF6" s="1348"/>
      <c r="AG6" s="138">
        <f>IF(AF6="",0,AE6-AF6)</f>
        <v>0</v>
      </c>
      <c r="AH6" s="74"/>
      <c r="AI6" s="76">
        <v>365</v>
      </c>
      <c r="AJ6" s="77"/>
      <c r="AK6" s="78">
        <v>1.4999999999999999E-2</v>
      </c>
      <c r="AL6" s="79">
        <v>1.5E-3</v>
      </c>
      <c r="AM6" s="80">
        <v>0.01</v>
      </c>
      <c r="AN6" s="1715" t="s">
        <v>3387</v>
      </c>
      <c r="AO6" s="52">
        <f ca="1">SUMIF(INDIRECT("'"&amp;AN6&amp;"'"&amp;"!A:A"),"总价",INDIRECT("'"&amp;AN6&amp;"'"&amp;"!B:B"))</f>
        <v>817.90039999999999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3339</v>
      </c>
      <c r="D7" s="858">
        <f>SUMIF(项目基本情况!C$12:I$12,C7,项目基本情况!C$14:I$14)</f>
        <v>50</v>
      </c>
      <c r="E7" s="857" t="str">
        <f>IF(B7="","",SUMIF(项目基本情况!C$12:I$12,C7,项目基本情况!C$13:I$13))</f>
        <v/>
      </c>
      <c r="F7" s="64">
        <f>SUMIF(项目基本情况!C$12:I$12,C7,项目基本情况!C$15:I$15)</f>
        <v>18</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0.68100000000000005</v>
      </c>
      <c r="H16" s="90">
        <f>ROUND(SUMPRODUCT(H6:H13,K6:K13)/SUMPRODUCT((H6:H13&gt;0)*(K6:K13)),3)</f>
        <v>0.05</v>
      </c>
      <c r="I16" s="91"/>
      <c r="J16" s="91"/>
      <c r="K16" s="92">
        <f>SUM(K6:K15)</f>
        <v>314.25</v>
      </c>
      <c r="L16" s="93">
        <f>ROUND(M16*10000/SUM(K6:K14),0)</f>
        <v>3787</v>
      </c>
      <c r="M16" s="93">
        <f>SUM(M6:M14)</f>
        <v>119</v>
      </c>
      <c r="N16" s="94">
        <f>ROUND(SUMPRODUCT(M6:M14,N6:N14)/M16,3)</f>
        <v>0.78</v>
      </c>
      <c r="O16" s="93">
        <f>SUM(O6:O14)</f>
        <v>93</v>
      </c>
      <c r="P16" s="93">
        <f>SUM(P6:P14)</f>
        <v>26</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ROUND(1-(2023-2002)/60,2)</f>
        <v>0.65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v>217.64</v>
      </c>
      <c r="U20" s="2671">
        <v>8</v>
      </c>
      <c r="V20" s="2671">
        <f ca="1">V22/(U22/U20)</f>
        <v>38816</v>
      </c>
      <c r="W20" s="2671">
        <f ca="1">V20*T20/10000</f>
        <v>844.79142400000001</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v>96.61</v>
      </c>
      <c r="U21" s="2671">
        <v>3</v>
      </c>
      <c r="V21" s="2671"/>
      <c r="W21" s="2671">
        <f ca="1">W22-W20</f>
        <v>146.20857599999999</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f>T21+T20</f>
        <v>314.25</v>
      </c>
      <c r="U22" s="2671">
        <f>ROUND((U20*T20+U21*T21)/T22,1)</f>
        <v>6.5</v>
      </c>
      <c r="V22" s="2671">
        <f ca="1">结果表!G20</f>
        <v>31538</v>
      </c>
      <c r="W22" s="2671">
        <f ca="1">结果表!G19</f>
        <v>991</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314.25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991</v>
      </c>
      <c r="C5" s="2512">
        <f ca="1">IF(B5=D14,结果表!H102,ROUND(B5*10000/$B$1,0))</f>
        <v>31535</v>
      </c>
      <c r="D5" s="2512" t="e">
        <f ca="1">ROUND(B5*10000/$B$2,0)</f>
        <v>#DIV/0!</v>
      </c>
      <c r="E5" s="2686"/>
      <c r="F5" s="2687"/>
      <c r="G5" s="2687"/>
      <c r="H5" s="2688"/>
      <c r="I5" s="2688"/>
      <c r="J5" s="2688"/>
      <c r="K5" s="2688"/>
    </row>
    <row r="6" spans="1:11" ht="16.5">
      <c r="A6" s="2512" t="s">
        <v>656</v>
      </c>
      <c r="B6" s="2512">
        <f>SUM(G14:G23)</f>
        <v>0</v>
      </c>
      <c r="C6" s="2512">
        <f ca="1">IF(B6=G14,结果表!H108,ROUND(B6*10000/$B$1,0))</f>
        <v>31535</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314.25</v>
      </c>
      <c r="C14" s="2518"/>
      <c r="D14" s="2518">
        <f ca="1">结果表!H118</f>
        <v>991</v>
      </c>
      <c r="E14" s="2518">
        <f ca="1">ROUND(D14*10000/B14,0)</f>
        <v>31535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3440</v>
      </c>
      <c r="D4" s="1756" t="s">
        <v>3387</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3</v>
      </c>
      <c r="D14" s="3607">
        <v>7</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8" t="s">
        <v>2131</v>
      </c>
      <c r="F18" s="3639"/>
      <c r="G18" s="3639"/>
      <c r="H18" s="3639"/>
      <c r="I18" s="3639"/>
      <c r="K18" s="302" t="s">
        <v>1289</v>
      </c>
      <c r="L18" s="302">
        <f>IF(C1="",'数据-汇总表'!E3,SUMIF(项目类型,C1,'数据-汇总表'!E17:E26)+SUMIF(项目类型,C1,'数据-汇总表'!I17:I26))</f>
        <v>314.25</v>
      </c>
      <c r="M18" s="302">
        <f>IF(C1="",'数据-汇总表'!E3,SUMIF(项目类型,C1,'数据-汇总表'!E17:E26))</f>
        <v>314.25</v>
      </c>
    </row>
    <row r="19" spans="1:36" ht="15">
      <c r="A19" s="1761" t="s">
        <v>1290</v>
      </c>
      <c r="B19" s="1762" t="s">
        <v>1291</v>
      </c>
      <c r="C19" s="134">
        <f ca="1">SUMIF(INDIRECT("'"&amp;C4&amp;"'"&amp;"!A:A"),结果表!B19,INDIRECT("'"&amp;C4&amp;"'"&amp;"!B:B"))</f>
        <v>1395.1442999999999</v>
      </c>
      <c r="D19" s="135">
        <f ca="1">SUMIF(INDIRECT("'"&amp;D4&amp;"'"&amp;"!A:A"),结果表!B19,INDIRECT("'"&amp;D4&amp;"'"&amp;"!B:B"))</f>
        <v>817.90039999999999</v>
      </c>
      <c r="E19" s="1761" t="s">
        <v>1292</v>
      </c>
      <c r="F19" s="1762" t="s">
        <v>1291</v>
      </c>
      <c r="G19" s="136">
        <f ca="1">ROUND(C19*$C$18+D19*$D$18,0)</f>
        <v>991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44396</v>
      </c>
      <c r="D20" s="138">
        <f ca="1">SUMIF(INDIRECT("'"&amp;D4&amp;"'"&amp;"!A:A"),结果表!B20,INDIRECT("'"&amp;D4&amp;"'"&amp;"!B:B"))</f>
        <v>26027</v>
      </c>
      <c r="E20" s="1764"/>
      <c r="F20" s="1026" t="s">
        <v>1295</v>
      </c>
      <c r="G20" s="139">
        <f ca="1">ROUND(C20*$C$18+D20*$D$18,0)</f>
        <v>31538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0.70576307335220756</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991</v>
      </c>
      <c r="D32" s="1775" t="s">
        <v>3441</v>
      </c>
      <c r="E32" s="129"/>
      <c r="F32" s="129"/>
      <c r="G32" s="129"/>
      <c r="H32" s="129"/>
      <c r="I32" s="129"/>
    </row>
    <row r="33" spans="1:15" ht="15">
      <c r="A33" s="786" t="s">
        <v>1306</v>
      </c>
      <c r="B33" s="1776"/>
      <c r="C33" s="1777" t="s">
        <v>3442</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991</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45091</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f ca="1">H101</f>
        <v>991</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991</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53</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2291</v>
      </c>
      <c r="C53" s="3599"/>
      <c r="D53" s="1087">
        <f ca="1">ROUND(D45*'数据-取费表'!B41/(1+'数据-取费表'!C42),0)</f>
        <v>53</v>
      </c>
      <c r="E53" s="2334" t="s">
        <v>1354</v>
      </c>
      <c r="F53" s="2554">
        <f>'数据-取费表'!B41</f>
        <v>5.6000000000000001E-2</v>
      </c>
      <c r="G53" s="2555"/>
      <c r="H53" s="2544"/>
      <c r="I53" s="1807"/>
      <c r="J53" s="2523">
        <v>2</v>
      </c>
      <c r="K53" s="3574" t="s">
        <v>1357</v>
      </c>
      <c r="L53" s="3574"/>
      <c r="M53" s="2525">
        <f t="shared" ref="M53:O54" ca="1" si="0">D55</f>
        <v>0</v>
      </c>
      <c r="N53" s="2523" t="str">
        <f t="shared" si="0"/>
        <v>销售额×税（费）率</v>
      </c>
      <c r="O53" s="2526" t="str">
        <f t="shared" si="0"/>
        <v>免征</v>
      </c>
    </row>
    <row r="54" spans="1:35" ht="12" customHeight="1">
      <c r="A54" s="2335" t="s">
        <v>1358</v>
      </c>
      <c r="B54" s="3598" t="s">
        <v>2292</v>
      </c>
      <c r="C54" s="3599"/>
      <c r="D54" s="1087">
        <f ca="1">C68</f>
        <v>53</v>
      </c>
      <c r="E54" s="327" t="s">
        <v>1359</v>
      </c>
      <c r="F54" s="2554">
        <f>'数据-取费表'!B41</f>
        <v>5.6000000000000001E-2</v>
      </c>
      <c r="G54" s="2555"/>
      <c r="H54" s="2556"/>
      <c r="I54" s="1807"/>
      <c r="J54" s="2523">
        <v>3</v>
      </c>
      <c r="K54" s="3574" t="s">
        <v>1360</v>
      </c>
      <c r="L54" s="3574"/>
      <c r="M54" s="2525">
        <f t="shared" ca="1" si="0"/>
        <v>561</v>
      </c>
      <c r="N54" s="2523" t="str">
        <f t="shared" si="0"/>
        <v>增值额×税（费）率</v>
      </c>
      <c r="O54" s="2527" t="str">
        <f t="shared" si="0"/>
        <v>免征</v>
      </c>
    </row>
    <row r="55" spans="1:35" ht="24" customHeight="1">
      <c r="A55" s="3634" t="s">
        <v>1361</v>
      </c>
      <c r="B55" s="3612"/>
      <c r="C55" s="3612"/>
      <c r="D55" s="2324">
        <f ca="1">IF(H55="个人住宅",0,ROUND(D45*I55,0))</f>
        <v>0</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9</v>
      </c>
      <c r="N55" s="2040" t="str">
        <f>E59</f>
        <v>差额计税</v>
      </c>
      <c r="O55" s="2529">
        <f>F59</f>
        <v>0.01</v>
      </c>
    </row>
    <row r="56" spans="1:35" ht="24.75">
      <c r="A56" s="3634" t="s">
        <v>1363</v>
      </c>
      <c r="B56" s="3612"/>
      <c r="C56" s="3612"/>
      <c r="D56" s="2324">
        <f ca="1">IF(H56="个人住宅",D57,D58)</f>
        <v>561</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570</v>
      </c>
      <c r="O57" s="2533"/>
      <c r="P57" s="2690">
        <f ca="1">N57/M49</f>
        <v>0.57517658930373361</v>
      </c>
    </row>
    <row r="58" spans="1:35" ht="24.75">
      <c r="A58" s="2335" t="s">
        <v>1352</v>
      </c>
      <c r="B58" s="3598" t="s">
        <v>1369</v>
      </c>
      <c r="C58" s="3597"/>
      <c r="D58" s="2324">
        <f ca="1">IF(H58="转让取得",C81,C97)</f>
        <v>561</v>
      </c>
      <c r="E58" s="2334" t="s">
        <v>1364</v>
      </c>
      <c r="F58" s="302" t="s">
        <v>28</v>
      </c>
      <c r="G58" s="2555"/>
      <c r="H58" s="2558"/>
      <c r="I58" s="1808"/>
      <c r="J58" s="3574"/>
      <c r="K58" s="3574"/>
      <c r="L58" s="2530" t="s">
        <v>1370</v>
      </c>
      <c r="M58" s="2534"/>
      <c r="N58" s="2535" t="str">
        <f ca="1">NUMBERSTRING(INT(N57*10000),2)&amp;"元整"</f>
        <v>伍佰柒拾万元整</v>
      </c>
      <c r="O58" s="2536"/>
    </row>
    <row r="59" spans="1:35" ht="24.75" thickBot="1">
      <c r="A59" s="3578" t="s">
        <v>1371</v>
      </c>
      <c r="B59" s="3579"/>
      <c r="C59" s="3579"/>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f ca="1">M49-N57</f>
        <v>421</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肆佰贰拾壹万元整</v>
      </c>
      <c r="O60" s="2536"/>
    </row>
    <row r="61" spans="1:35" ht="13.5" thickBot="1">
      <c r="A61" s="3633" t="s">
        <v>1373</v>
      </c>
      <c r="B61" s="3633"/>
      <c r="C61" s="3633"/>
      <c r="D61" s="3633"/>
      <c r="E61" s="3633"/>
      <c r="F61" s="1808"/>
      <c r="G61" s="1808"/>
      <c r="H61" s="1810"/>
      <c r="I61" s="129"/>
      <c r="J61" s="2523">
        <f>J59+1</f>
        <v>7</v>
      </c>
      <c r="K61" s="3574" t="s">
        <v>1374</v>
      </c>
      <c r="L61" s="3574"/>
      <c r="M61" s="2540"/>
      <c r="N61" s="2541">
        <f ca="1">ROUND(N59*10000/'数据-汇总表'!E3,0)</f>
        <v>13397</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944</v>
      </c>
      <c r="D63" s="167"/>
      <c r="E63" s="168"/>
      <c r="F63" s="1808"/>
      <c r="G63" s="1808"/>
      <c r="H63" s="1810"/>
      <c r="I63" s="129"/>
      <c r="J63" s="3557" t="s">
        <v>1379</v>
      </c>
      <c r="K63" s="1332" t="s">
        <v>1380</v>
      </c>
      <c r="L63" s="1332">
        <f ca="1">IF(M49&gt;10000,M49*0.5%,IF(AND(M49&gt;1000,M49&lt;=10000),M49*1%,IF(AND(M49&gt;100,M49&lt;=1000),M49*3%,IF(AND(M49&gt;10,M49&lt;=100),M49*5%,M49*8%))))</f>
        <v>29.73</v>
      </c>
      <c r="M63" s="302">
        <f ca="1">ROUND(L63,1)</f>
        <v>29.7</v>
      </c>
      <c r="N63" s="2543"/>
      <c r="Z63" s="1752"/>
      <c r="AI63" s="1753"/>
    </row>
    <row r="64" spans="1:35" ht="14.25" customHeight="1">
      <c r="A64" s="169" t="s">
        <v>325</v>
      </c>
      <c r="B64" s="170" t="s">
        <v>1381</v>
      </c>
      <c r="C64" s="2565">
        <f ca="1">D45</f>
        <v>991</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6.9369999999999994</v>
      </c>
      <c r="M64" s="302">
        <f t="shared" ref="M64:M65" ca="1" si="1">ROUND(L64,1)</f>
        <v>6.9</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4.9550000000000001</v>
      </c>
      <c r="M65" s="302">
        <f t="shared" ca="1" si="1"/>
        <v>5</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4.9550000000000001</v>
      </c>
      <c r="M66" s="302">
        <f ca="1">IF(L66&gt;0.5,0.5,ROUND(L66,0))</f>
        <v>0.5</v>
      </c>
      <c r="N66" s="2544" t="s">
        <v>1388</v>
      </c>
      <c r="Z66" s="1752"/>
      <c r="AI66" s="1753"/>
    </row>
    <row r="67" spans="1:35" ht="14.25" customHeight="1">
      <c r="A67" s="173" t="s">
        <v>328</v>
      </c>
      <c r="B67" s="174" t="s">
        <v>1389</v>
      </c>
      <c r="C67" s="2568">
        <f ca="1">C63-C66</f>
        <v>944</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2.7275</v>
      </c>
      <c r="M67" s="302">
        <f ca="1">ROUND(L67*0.9,1)</f>
        <v>2.5</v>
      </c>
      <c r="N67" s="2543"/>
      <c r="Z67" s="1752"/>
      <c r="AI67" s="1753"/>
    </row>
    <row r="68" spans="1:35" ht="14.25" customHeight="1" thickBot="1">
      <c r="A68" s="176" t="s">
        <v>329</v>
      </c>
      <c r="B68" s="177" t="s">
        <v>1391</v>
      </c>
      <c r="C68" s="2569">
        <f ca="1">IF(C67&lt;=0,0,ROUND(C67*D68,0))</f>
        <v>53</v>
      </c>
      <c r="D68" s="2570">
        <f>'数据-取费表'!B41</f>
        <v>5.6000000000000001E-2</v>
      </c>
      <c r="E68" s="178"/>
      <c r="F68" s="1808"/>
      <c r="G68" s="1808"/>
      <c r="H68" s="1810"/>
      <c r="I68" s="129"/>
      <c r="J68" s="3557"/>
      <c r="K68" s="1332" t="s">
        <v>1392</v>
      </c>
      <c r="L68" s="1332">
        <f ca="1">IF(M49&gt;10000,M49*0.5%,IF(AND(M49&gt;5000,M49&lt;=10000),M49*1%,IF(AND(M49&gt;1000,M49&lt;=5000),M49*2%,IF(AND(M49&gt;200,M49&lt;=1000),M49*3%,M49*5%))))</f>
        <v>29.73</v>
      </c>
      <c r="M68" s="302">
        <f ca="1">ROUND(L68,1)</f>
        <v>29.7</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74</v>
      </c>
      <c r="N69" s="2545">
        <f ca="1">M69/M49</f>
        <v>7.4672048435923316E-2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944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156.33333333333334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561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156.33333333333334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比较法-商业</v>
      </c>
      <c r="D101" s="2586" t="str">
        <f>D4</f>
        <v>收益法 (元)</v>
      </c>
      <c r="E101" s="3553" t="s">
        <v>1431</v>
      </c>
      <c r="F101" s="3554"/>
      <c r="G101" s="1827" t="s">
        <v>1432</v>
      </c>
      <c r="H101" s="2595">
        <f ca="1">H118</f>
        <v>991</v>
      </c>
      <c r="I101" s="129"/>
    </row>
    <row r="102" spans="1:35" ht="18.75" customHeight="1">
      <c r="A102" s="3585" t="s">
        <v>1433</v>
      </c>
      <c r="B102" s="2584" t="s">
        <v>1432</v>
      </c>
      <c r="C102" s="2585">
        <f ca="1">IF(D32="楼面单价",ROUND(C19,0),C19)</f>
        <v>1395.1442999999999</v>
      </c>
      <c r="D102" s="2586">
        <f ca="1">IF(D32="楼面单价",ROUND(D19,0),D19)</f>
        <v>817.90039999999999</v>
      </c>
      <c r="E102" s="3553"/>
      <c r="F102" s="3554"/>
      <c r="G102" s="1827" t="s">
        <v>1434</v>
      </c>
      <c r="H102" s="2555">
        <f ca="1">I118</f>
        <v>31535</v>
      </c>
      <c r="I102" s="129"/>
    </row>
    <row r="103" spans="1:35" ht="42.75" customHeight="1">
      <c r="A103" s="3585"/>
      <c r="B103" s="2584" t="s">
        <v>1434</v>
      </c>
      <c r="C103" s="2587">
        <f ca="1">C20</f>
        <v>44396</v>
      </c>
      <c r="D103" s="2588">
        <f ca="1">D20</f>
        <v>26027</v>
      </c>
      <c r="E103" s="3546" t="s">
        <v>1435</v>
      </c>
      <c r="F103" s="3547"/>
      <c r="G103" s="1828" t="s">
        <v>1436</v>
      </c>
      <c r="H103" s="2595">
        <f>IF(D36="正常操作",H104+H105+H106,H105+H106)</f>
        <v>0</v>
      </c>
      <c r="I103" s="129"/>
    </row>
    <row r="104" spans="1:35" ht="18.75" customHeight="1">
      <c r="A104" s="3585" t="s">
        <v>1437</v>
      </c>
      <c r="B104" s="2589" t="s">
        <v>1432</v>
      </c>
      <c r="C104" s="2590">
        <f ca="1">H118</f>
        <v>991</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31535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991</v>
      </c>
      <c r="I107" s="129"/>
    </row>
    <row r="108" spans="1:35" ht="18.75" customHeight="1">
      <c r="A108" s="129"/>
      <c r="B108" s="129"/>
      <c r="C108" s="129"/>
      <c r="D108" s="129"/>
      <c r="E108" s="3586"/>
      <c r="F108" s="3554"/>
      <c r="G108" s="1827" t="s">
        <v>1434</v>
      </c>
      <c r="H108" s="2555">
        <f ca="1">IF(H107=H101,H102,ROUND(H107*10000/'数据-汇总表'!E3,0))</f>
        <v>31535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314.25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991</v>
      </c>
      <c r="I118" s="2329">
        <f ca="1">ROUND(IF(D32="楼面单价",C32,H118*10000/B118),0)</f>
        <v>31535</v>
      </c>
    </row>
    <row r="119" spans="1:27" ht="18.75" customHeight="1">
      <c r="A119" s="3561" t="s">
        <v>1452</v>
      </c>
      <c r="B119" s="3561"/>
      <c r="C119" s="3561"/>
      <c r="D119" s="3567" t="str">
        <f>NUMBERSTRING(INT(D118*10000),2)&amp;"元整"</f>
        <v>零元整</v>
      </c>
      <c r="E119" s="3568"/>
      <c r="F119" s="3567" t="str">
        <f>NUMBERSTRING(INT(F118*10000),2)&amp;"元整"</f>
        <v>零元整</v>
      </c>
      <c r="G119" s="3568"/>
      <c r="H119" s="3567" t="str">
        <f ca="1">NUMBERSTRING(INT(H118*10000),2)&amp;"元整"</f>
        <v>玖佰玖拾壹万元整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991</v>
      </c>
      <c r="E122" s="3563"/>
      <c r="F122" s="3563"/>
      <c r="G122" s="3563"/>
      <c r="H122" s="3563"/>
      <c r="I122" s="3564"/>
      <c r="AA122" s="725"/>
    </row>
    <row r="123" spans="1:27" ht="18.75" customHeight="1">
      <c r="A123" s="3561" t="s">
        <v>1452</v>
      </c>
      <c r="B123" s="3561"/>
      <c r="C123" s="3561"/>
      <c r="D123" s="3567" t="str">
        <f ca="1">NUMBERSTRING(INT(D122*10000),2)&amp;"元整"</f>
        <v>玖佰玖拾壹万元整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314.25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314.25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314.25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8.0000000000000004E-4</v>
      </c>
      <c r="D44" s="238"/>
      <c r="E44" s="238"/>
      <c r="F44" s="239"/>
      <c r="G44" s="3642"/>
    </row>
    <row r="45" spans="1:7" s="214" customFormat="1" ht="13.5" customHeight="1">
      <c r="A45" s="255" t="s">
        <v>1547</v>
      </c>
      <c r="B45" s="244" t="s">
        <v>1513</v>
      </c>
      <c r="C45" s="245">
        <f ca="1">C46</f>
        <v>27</v>
      </c>
      <c r="D45" s="235">
        <f ca="1">C47</f>
        <v>4.0000000000000001E-3</v>
      </c>
      <c r="E45" s="236" t="s">
        <v>1539</v>
      </c>
      <c r="F45" s="246">
        <f ca="1">F27</f>
        <v>0.2</v>
      </c>
      <c r="G45" s="247" t="s">
        <v>1548</v>
      </c>
    </row>
    <row r="46" spans="1:7" s="214" customFormat="1" ht="13.5" customHeight="1">
      <c r="A46" s="780" t="s">
        <v>346</v>
      </c>
      <c r="B46" s="248" t="s">
        <v>1549</v>
      </c>
      <c r="C46" s="249">
        <f ca="1">ROUND((C33+C39)*F27,0)</f>
        <v>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180</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140</v>
      </c>
      <c r="D51" s="232"/>
      <c r="E51" s="232"/>
      <c r="F51" s="264"/>
      <c r="G51" s="234" t="s">
        <v>1560</v>
      </c>
    </row>
    <row r="52" spans="1:7" s="208" customFormat="1" ht="16.5" thickBot="1">
      <c r="A52" s="265" t="s">
        <v>1561</v>
      </c>
      <c r="B52" s="266"/>
      <c r="C52" s="267">
        <f ca="1">C31+C51</f>
        <v>149</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158.28989999999999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5037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62850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62850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62850</v>
      </c>
      <c r="D10" s="845">
        <f ca="1">IF(B1="",'数据-汇总表'!E6,IF(INDIRECT("'数据-取费表'!c"&amp;$G$1)="住宅",INDIRECT("'数据-取费表'!s"&amp;$G$1),INDIRECT("'数据-取费表'!k"&amp;$G$1)+INDIRECT("'数据-取费表'!s"&amp;$G$1)))</f>
        <v>314.25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62850</v>
      </c>
      <c r="D19" s="849">
        <f ca="1">D9+D10</f>
        <v>314.25</v>
      </c>
      <c r="E19" s="211">
        <f>'数据-取费表'!B31</f>
        <v>200</v>
      </c>
      <c r="F19" s="231"/>
      <c r="G19" s="1856"/>
    </row>
    <row r="20" spans="1:7" s="214" customFormat="1" ht="13.5" customHeight="1">
      <c r="A20" s="255" t="s">
        <v>1574</v>
      </c>
      <c r="B20" s="210" t="s">
        <v>1575</v>
      </c>
      <c r="C20" s="232">
        <f ca="1">ROUND((C5+C19)*F20,0)</f>
        <v>2514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10754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5325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5325</v>
      </c>
      <c r="D24" s="238"/>
      <c r="E24" s="238"/>
      <c r="F24" s="239"/>
      <c r="G24" s="240" t="s">
        <v>1586</v>
      </c>
    </row>
    <row r="25" spans="1:7" s="214" customFormat="1" ht="24">
      <c r="A25" s="780" t="s">
        <v>1476</v>
      </c>
      <c r="B25" s="215" t="s">
        <v>1587</v>
      </c>
      <c r="C25" s="1128">
        <f ca="1">ROUND(IF('数据-取费表'!B22&lt;=1,C20*F22*'数据-取费表'!B22/2,C20*(POWER((1+F22),'数据-取费表'!B22/2)-1)),0)</f>
        <v>104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25643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25643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178556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1310737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1194150</v>
      </c>
      <c r="D34" s="217"/>
      <c r="E34" s="220"/>
      <c r="F34" s="257"/>
      <c r="G34" s="219"/>
    </row>
    <row r="35" spans="1:7" ht="13.5" customHeight="1">
      <c r="A35" s="780" t="s">
        <v>351</v>
      </c>
      <c r="B35" s="215" t="s">
        <v>1527</v>
      </c>
      <c r="C35" s="220">
        <f ca="1">ROUND(C34*F35,0)</f>
        <v>35825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62850</v>
      </c>
      <c r="D37" s="217">
        <f ca="1">D19</f>
        <v>314.25</v>
      </c>
      <c r="E37" s="249">
        <f>'数据-取费表'!B35</f>
        <v>200</v>
      </c>
      <c r="F37" s="259"/>
      <c r="G37" s="261"/>
    </row>
    <row r="38" spans="1:7" ht="13.5" customHeight="1">
      <c r="A38" s="780" t="s">
        <v>354</v>
      </c>
      <c r="B38" s="215" t="s">
        <v>1533</v>
      </c>
      <c r="C38" s="220">
        <f ca="1">ROUND(C34*F38,0)</f>
        <v>17912</v>
      </c>
      <c r="D38" s="220"/>
      <c r="E38" s="220"/>
      <c r="F38" s="259">
        <f>'数据-取费表'!B36</f>
        <v>1.4999999999999999E-2</v>
      </c>
      <c r="G38" s="219" t="s">
        <v>1528</v>
      </c>
    </row>
    <row r="39" spans="1:7" s="214" customFormat="1" ht="13.5" customHeight="1">
      <c r="A39" s="255" t="s">
        <v>1534</v>
      </c>
      <c r="B39" s="210" t="s">
        <v>1535</v>
      </c>
      <c r="C39" s="232">
        <f ca="1">ROUND(C33*F20,0)</f>
        <v>26215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55484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54396</v>
      </c>
      <c r="D42" s="238"/>
      <c r="E42" s="238"/>
      <c r="F42" s="239"/>
      <c r="G42" s="3640" t="s">
        <v>1591</v>
      </c>
    </row>
    <row r="43" spans="1:7" ht="13.5" customHeight="1">
      <c r="A43" s="780" t="s">
        <v>347</v>
      </c>
      <c r="B43" s="215" t="s">
        <v>1545</v>
      </c>
      <c r="C43" s="238">
        <f ca="1">ROUND(IF('数据-取费表'!B22&lt;=1,C39*F22*'数据-取费表'!B20/2,C39*(POWER((1+F22),'数据-取费表'!B20/2)-1)),0)</f>
        <v>1088</v>
      </c>
      <c r="D43" s="238"/>
      <c r="E43" s="238"/>
      <c r="F43" s="239"/>
      <c r="G43" s="3641"/>
    </row>
    <row r="44" spans="1:7" ht="13.5" customHeight="1">
      <c r="A44" s="780" t="s">
        <v>348</v>
      </c>
      <c r="B44" s="215" t="s">
        <v>1546</v>
      </c>
      <c r="C44" s="238">
        <f ca="1">ROUND(IF('数据-取费表'!B22&lt;=1,C40*F22*'数据-取费表'!B20/2,C40*(POWER((1+F22),'数据-取费表'!B20/2)-1)),4)</f>
        <v>8.0000000000000004E-4</v>
      </c>
      <c r="D44" s="238"/>
      <c r="E44" s="238"/>
      <c r="F44" s="239"/>
      <c r="G44" s="3642"/>
    </row>
    <row r="45" spans="1:7" s="214" customFormat="1" ht="13.5" customHeight="1">
      <c r="A45" s="255" t="s">
        <v>1547</v>
      </c>
      <c r="B45" s="244" t="s">
        <v>1513</v>
      </c>
      <c r="C45" s="245">
        <f ca="1">C46</f>
        <v>267390</v>
      </c>
      <c r="D45" s="235">
        <f ca="1">C47</f>
        <v>4.0000000000000001E-3</v>
      </c>
      <c r="E45" s="236" t="s">
        <v>1539</v>
      </c>
      <c r="F45" s="246">
        <f ca="1">F27</f>
        <v>0.2</v>
      </c>
      <c r="G45" s="247" t="s">
        <v>1548</v>
      </c>
    </row>
    <row r="46" spans="1:7" s="214" customFormat="1" ht="13.5" customHeight="1">
      <c r="A46" s="780" t="s">
        <v>346</v>
      </c>
      <c r="B46" s="248" t="s">
        <v>1549</v>
      </c>
      <c r="C46" s="249">
        <f ca="1">ROUND((C33+C39)*F27,0)</f>
        <v>267390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1800440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1404343</v>
      </c>
      <c r="D51" s="232"/>
      <c r="E51" s="232"/>
      <c r="F51" s="264"/>
      <c r="G51" s="234" t="s">
        <v>1560</v>
      </c>
    </row>
    <row r="52" spans="1:7" s="208" customFormat="1" ht="16.5" thickBot="1">
      <c r="A52" s="265" t="s">
        <v>1561</v>
      </c>
      <c r="B52" s="266"/>
      <c r="C52" s="267">
        <f ca="1">C31+C51</f>
        <v>1582899</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-40</v>
      </c>
      <c r="C2" s="276" t="s">
        <v>1595</v>
      </c>
      <c r="D2" s="276"/>
      <c r="E2" s="2806"/>
      <c r="F2" s="2806"/>
      <c r="G2" s="2806"/>
      <c r="H2" s="2806"/>
      <c r="I2" s="2806"/>
      <c r="J2" s="2806"/>
      <c r="K2" s="2806"/>
    </row>
    <row r="3" spans="1:33" ht="18" customHeight="1" thickBot="1">
      <c r="A3" s="203" t="s">
        <v>1464</v>
      </c>
      <c r="B3" s="204">
        <f ca="1">ROUND(B2*10000/IF(C1="",'数据-汇总表'!E3,INDIRECT("'数据-取费表'!K"&amp;$K$1)),0)</f>
        <v>-1273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26</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1</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314.25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314.25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314.25</v>
      </c>
      <c r="E20" s="21">
        <f>'数据-取费表'!B28</f>
        <v>200</v>
      </c>
      <c r="F20" s="804"/>
      <c r="G20" s="12"/>
      <c r="H20" s="809"/>
      <c r="I20" s="809"/>
      <c r="J20" s="809"/>
      <c r="K20" s="810"/>
    </row>
    <row r="21" spans="1:33" s="803" customFormat="1" ht="13.5" customHeight="1">
      <c r="A21" s="790" t="s">
        <v>357</v>
      </c>
      <c r="B21" s="813" t="s">
        <v>1628</v>
      </c>
      <c r="C21" s="814">
        <f ca="1">C16+C17+C18</f>
        <v>33</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18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18</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817.90039999999999</v>
      </c>
      <c r="C2" s="1387" t="s">
        <v>879</v>
      </c>
      <c r="D2" s="1471">
        <f ca="1">C40+J29+L46</f>
        <v>8179004</v>
      </c>
      <c r="E2" s="1388" t="s">
        <v>880</v>
      </c>
      <c r="F2" s="1389"/>
      <c r="G2" s="2706"/>
      <c r="H2" s="2695"/>
      <c r="I2" s="2695"/>
      <c r="J2" s="2695"/>
      <c r="K2" s="2696"/>
      <c r="L2" s="2695"/>
      <c r="M2" s="2695"/>
    </row>
    <row r="3" spans="1:37" ht="18" customHeight="1" thickBot="1">
      <c r="A3" s="1390" t="s">
        <v>881</v>
      </c>
      <c r="B3" s="1391">
        <f ca="1">IF(ISERROR(D2/F43),0,ROUND(D2/F43,0))</f>
        <v>26027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671841</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671002</v>
      </c>
      <c r="D6" s="155" t="s">
        <v>2106</v>
      </c>
      <c r="E6" s="302" t="s">
        <v>696</v>
      </c>
      <c r="F6" s="303">
        <f ca="1">INDIRECT("'数据-取费表'!u"&amp;$G$1)</f>
        <v>6.5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314.25</v>
      </c>
      <c r="G7" s="1384"/>
      <c r="H7" s="304"/>
      <c r="I7" s="3646"/>
      <c r="J7" s="306"/>
      <c r="K7" s="307"/>
      <c r="L7" s="302" t="s">
        <v>697</v>
      </c>
      <c r="M7" s="303">
        <f ca="1">F7</f>
        <v>314.25</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839</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1404343</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1194150</v>
      </c>
      <c r="D14" s="1345" t="s">
        <v>708</v>
      </c>
      <c r="E14" s="1342"/>
      <c r="F14" s="319"/>
      <c r="G14" s="1384"/>
      <c r="H14" s="982" t="s">
        <v>398</v>
      </c>
      <c r="I14" s="302" t="s">
        <v>709</v>
      </c>
      <c r="J14" s="21">
        <f ca="1">C29</f>
        <v>1800440</v>
      </c>
      <c r="K14" s="12"/>
      <c r="L14" s="807"/>
      <c r="M14" s="808"/>
    </row>
    <row r="15" spans="1:37" s="1397" customFormat="1" ht="18" customHeight="1" thickBot="1">
      <c r="A15" s="982" t="s">
        <v>399</v>
      </c>
      <c r="B15" s="302" t="s">
        <v>710</v>
      </c>
      <c r="C15" s="21">
        <f ca="1">ROUND(C14*F15,0)</f>
        <v>35825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27007</v>
      </c>
      <c r="K16" s="1087" t="s">
        <v>715</v>
      </c>
      <c r="L16" s="1088"/>
      <c r="M16" s="1072"/>
    </row>
    <row r="17" spans="1:37" s="1397" customFormat="1" ht="18" customHeight="1">
      <c r="A17" s="982" t="s">
        <v>681</v>
      </c>
      <c r="B17" s="302" t="s">
        <v>716</v>
      </c>
      <c r="C17" s="21">
        <f ca="1">ROUND(F17*(F43+INDIRECT("'数据-取费表'!S"&amp;$G$1)),0)</f>
        <v>62850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17912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1310737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26215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27007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55484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-27007</v>
      </c>
      <c r="K25" s="1095" t="s">
        <v>753</v>
      </c>
      <c r="L25" s="1096"/>
      <c r="M25" s="1097"/>
    </row>
    <row r="26" spans="1:37" ht="18" customHeight="1">
      <c r="A26" s="982" t="s">
        <v>397</v>
      </c>
      <c r="B26" s="302" t="s">
        <v>754</v>
      </c>
      <c r="C26" s="21">
        <f ca="1">ROUND((C19+C20)*F26,0)</f>
        <v>267390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1800440</v>
      </c>
      <c r="D29" s="1092"/>
      <c r="E29" s="1090"/>
      <c r="F29" s="1093"/>
      <c r="G29" s="1396"/>
      <c r="H29" s="334" t="s">
        <v>396</v>
      </c>
      <c r="I29" s="335" t="s">
        <v>768</v>
      </c>
      <c r="J29" s="336">
        <f ca="1">ROUND(J26/(1+F40)^F41,0)</f>
        <v>0</v>
      </c>
      <c r="K29" s="337" t="s">
        <v>769</v>
      </c>
      <c r="L29" s="338"/>
      <c r="M29" s="339">
        <f ca="1">INDIRECT("'数据-取费表'!k"&amp;$G$1)</f>
        <v>314.25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80565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44733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27007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2107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6718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591276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7983081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25404</v>
      </c>
      <c r="D43" s="337" t="s">
        <v>777</v>
      </c>
      <c r="E43" s="338" t="s">
        <v>778</v>
      </c>
      <c r="F43" s="339">
        <f ca="1">INDIRECT("'数据-取费表'!k"&amp;$G$1)</f>
        <v>314.25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-831.04989999999998</v>
      </c>
      <c r="D45" s="3432" t="s">
        <v>3358</v>
      </c>
      <c r="E45" s="1400"/>
      <c r="F45" s="1400"/>
      <c r="O45" s="1403" t="s">
        <v>808</v>
      </c>
      <c r="P45" s="1461"/>
      <c r="Q45" s="1461"/>
      <c r="R45" s="1461"/>
    </row>
    <row r="46" spans="1:18" s="1384" customFormat="1" ht="13.5" thickBot="1">
      <c r="A46" s="1404" t="s">
        <v>809</v>
      </c>
      <c r="C46" s="1405">
        <f ca="1">ROUND(C45,0)</f>
        <v>-831</v>
      </c>
      <c r="D46" s="1406" t="str">
        <f>C2</f>
        <v>万元</v>
      </c>
      <c r="I46" s="1407" t="s">
        <v>810</v>
      </c>
      <c r="J46" s="1408"/>
      <c r="K46" s="1409"/>
      <c r="L46" s="1410">
        <f ca="1">IF(M47="住宅",0,IF(L48&gt;J51,L60,J60))</f>
        <v>195923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7983081</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18</v>
      </c>
      <c r="O48" s="1418" t="s">
        <v>404</v>
      </c>
      <c r="P48" s="1419" t="s">
        <v>821</v>
      </c>
      <c r="Q48" s="1420">
        <f ca="1">J60</f>
        <v>195923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1800440</v>
      </c>
      <c r="R49" s="1420" t="s">
        <v>818</v>
      </c>
    </row>
    <row r="50" spans="1:18" s="1384" customFormat="1" ht="13.5" thickBot="1">
      <c r="A50" s="976"/>
      <c r="B50" s="979"/>
      <c r="C50" s="980"/>
      <c r="D50" s="953"/>
      <c r="E50" s="1056" t="s">
        <v>697</v>
      </c>
      <c r="F50" s="1057">
        <f ca="1">F7</f>
        <v>314.25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8388924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v>
      </c>
      <c r="K53" s="3643" t="s">
        <v>837</v>
      </c>
      <c r="L53" s="3644"/>
      <c r="O53" s="1418" t="s">
        <v>409</v>
      </c>
      <c r="P53" s="1419" t="s">
        <v>838</v>
      </c>
      <c r="Q53" s="1420">
        <f ca="1">Q47+Q48</f>
        <v>8179004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1404343</v>
      </c>
      <c r="D56" s="1447"/>
      <c r="E56" s="1448"/>
      <c r="F56" s="1440"/>
      <c r="I56" s="1449" t="s">
        <v>842</v>
      </c>
      <c r="J56" s="1450" t="s">
        <v>3392</v>
      </c>
      <c r="K56" s="1421" t="s">
        <v>843</v>
      </c>
      <c r="L56" s="1424" t="str">
        <f ca="1">IF(L48&lt;J51,"——",L48-J51)</f>
        <v>——</v>
      </c>
      <c r="O56" s="1418" t="s">
        <v>403</v>
      </c>
      <c r="P56" s="1419" t="s">
        <v>817</v>
      </c>
      <c r="Q56" s="1420">
        <f ca="1">C40+J29</f>
        <v>7983081</v>
      </c>
      <c r="R56" s="1420" t="s">
        <v>818</v>
      </c>
    </row>
    <row r="57" spans="1:18" s="1384" customFormat="1" ht="24.75" thickBot="1">
      <c r="A57" s="1451"/>
      <c r="B57" s="950" t="s">
        <v>767</v>
      </c>
      <c r="C57" s="238">
        <f ca="1">C29</f>
        <v>1800440</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29114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720176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195923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7983081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27007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2107</v>
      </c>
      <c r="D65" s="964" t="s">
        <v>743</v>
      </c>
      <c r="E65" s="950" t="s">
        <v>744</v>
      </c>
      <c r="F65" s="330">
        <f t="shared" ca="1" si="0"/>
        <v>1.5E-3</v>
      </c>
      <c r="I65" s="1462" t="s">
        <v>867</v>
      </c>
      <c r="J65" s="1463">
        <v>40</v>
      </c>
      <c r="K65" s="1463">
        <v>30</v>
      </c>
      <c r="L65" s="1463">
        <v>50</v>
      </c>
      <c r="M65" s="1465">
        <v>0.02</v>
      </c>
      <c r="O65" s="1418" t="s">
        <v>403</v>
      </c>
      <c r="P65" s="1419" t="s">
        <v>868</v>
      </c>
      <c r="Q65" s="1420">
        <f ca="1">C40+J29</f>
        <v>7983081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-29114</v>
      </c>
      <c r="D67" s="963" t="s">
        <v>753</v>
      </c>
      <c r="E67" s="968"/>
      <c r="F67" s="969"/>
      <c r="O67" s="1428" t="s">
        <v>405</v>
      </c>
      <c r="P67" s="1419" t="s">
        <v>850</v>
      </c>
      <c r="Q67" s="1466">
        <f ca="1">L51</f>
        <v>8388924</v>
      </c>
      <c r="R67" s="1420" t="s">
        <v>870</v>
      </c>
    </row>
    <row r="68" spans="1:18" s="1384" customFormat="1" ht="16.5" thickBot="1">
      <c r="A68" s="947" t="s">
        <v>395</v>
      </c>
      <c r="B68" s="948" t="s">
        <v>774</v>
      </c>
      <c r="C68" s="301">
        <f ca="1">ROUND(C67*(1-((1+F70)/(1+F68))^F69)/(F68-F70),0)</f>
        <v>-327418</v>
      </c>
      <c r="D68" s="965" t="s">
        <v>758</v>
      </c>
      <c r="E68" s="950" t="s">
        <v>759</v>
      </c>
      <c r="F68" s="312">
        <f ca="1">F40</f>
        <v>5.5E-2</v>
      </c>
      <c r="O68" s="1428" t="s">
        <v>406</v>
      </c>
      <c r="P68" s="1467" t="s">
        <v>871</v>
      </c>
      <c r="Q68" s="1420">
        <f ca="1">ROUND(Q69-Q70*Q71,0)</f>
        <v>492972</v>
      </c>
      <c r="R68" s="1420" t="s">
        <v>414</v>
      </c>
    </row>
    <row r="69" spans="1:18" s="1384" customFormat="1" ht="13.5" thickBot="1">
      <c r="A69" s="951"/>
      <c r="B69" s="952"/>
      <c r="C69" s="306"/>
      <c r="D69" s="970" t="s">
        <v>762</v>
      </c>
      <c r="E69" s="950" t="s">
        <v>763</v>
      </c>
      <c r="F69" s="333">
        <f ca="1">F41</f>
        <v>18</v>
      </c>
      <c r="O69" s="1428" t="s">
        <v>411</v>
      </c>
      <c r="P69" s="1467" t="s">
        <v>872</v>
      </c>
      <c r="Q69" s="1420">
        <f ca="1">C39</f>
        <v>591276</v>
      </c>
      <c r="R69" s="1420" t="s">
        <v>818</v>
      </c>
    </row>
    <row r="70" spans="1:18" s="1384" customFormat="1" ht="13.5" thickBot="1">
      <c r="A70" s="954"/>
      <c r="B70" s="955"/>
      <c r="C70" s="310"/>
      <c r="D70" s="966"/>
      <c r="E70" s="950" t="s">
        <v>766</v>
      </c>
      <c r="F70" s="1054"/>
      <c r="O70" s="1428" t="s">
        <v>412</v>
      </c>
      <c r="P70" s="1467" t="s">
        <v>873</v>
      </c>
      <c r="Q70" s="1420">
        <f ca="1">C13</f>
        <v>1404343</v>
      </c>
      <c r="R70" s="1420" t="s">
        <v>818</v>
      </c>
    </row>
    <row r="71" spans="1:18" s="1384" customFormat="1" ht="13.5" thickBot="1">
      <c r="A71" s="971" t="s">
        <v>396</v>
      </c>
      <c r="B71" s="972" t="s">
        <v>776</v>
      </c>
      <c r="C71" s="336">
        <f ca="1">ROUND(C68/F71,0)</f>
        <v>-1042</v>
      </c>
      <c r="D71" s="973" t="s">
        <v>777</v>
      </c>
      <c r="E71" s="974" t="s">
        <v>778</v>
      </c>
      <c r="F71" s="339">
        <f ca="1">F43</f>
        <v>314.25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98304</v>
      </c>
      <c r="D75" s="1384"/>
      <c r="E75" s="1384"/>
      <c r="F75" s="1384"/>
      <c r="K75" s="1402"/>
      <c r="L75" s="1384"/>
      <c r="O75" s="1418" t="s">
        <v>409</v>
      </c>
      <c r="P75" s="1419" t="s">
        <v>838</v>
      </c>
      <c r="Q75" s="1420">
        <f ca="1">Q65+Q66</f>
        <v>7983081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0.83399999999999996</v>
      </c>
    </row>
    <row r="80" spans="1:18">
      <c r="B80" s="340" t="s">
        <v>800</v>
      </c>
      <c r="C80" s="274">
        <f ca="1">ROUND(C75/C39,3)</f>
        <v>0.16600000000000001</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8" t="s">
        <v>2320</v>
      </c>
      <c r="K2" s="364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0" t="s">
        <v>2330</v>
      </c>
      <c r="K3" s="365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0" t="s">
        <v>2332</v>
      </c>
      <c r="K4" s="365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2" t="s">
        <v>2336</v>
      </c>
      <c r="B6" s="3653"/>
      <c r="C6" s="3654"/>
      <c r="D6" s="2870"/>
      <c r="E6" s="2871"/>
      <c r="F6" s="2872"/>
      <c r="G6" s="2873"/>
      <c r="H6" s="2848"/>
      <c r="I6" s="2849"/>
      <c r="J6" s="3655">
        <v>1</v>
      </c>
      <c r="K6" s="365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5"/>
      <c r="K7" s="365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9" t="s">
        <v>2350</v>
      </c>
      <c r="C8" s="3660"/>
      <c r="D8" s="2889" t="s">
        <v>2351</v>
      </c>
      <c r="E8" s="2890" t="s">
        <v>2352</v>
      </c>
      <c r="F8" s="2891" t="s">
        <v>2353</v>
      </c>
      <c r="G8" s="2892"/>
      <c r="H8" s="2848"/>
      <c r="I8" s="2849"/>
      <c r="J8" s="3655"/>
      <c r="K8" s="365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9" t="s">
        <v>2356</v>
      </c>
      <c r="C9" s="3660"/>
      <c r="D9" s="2889">
        <f>ROUND(D6*E9,0)</f>
        <v>0</v>
      </c>
      <c r="E9" s="2893"/>
      <c r="F9" s="2894" t="s">
        <v>2357</v>
      </c>
      <c r="G9" s="2873"/>
      <c r="H9" s="2848"/>
      <c r="I9" s="2849"/>
      <c r="J9" s="3655"/>
      <c r="K9" s="3657"/>
      <c r="L9" s="2883" t="s">
        <v>2358</v>
      </c>
      <c r="M9" s="2884"/>
      <c r="N9" s="2860"/>
      <c r="O9" s="2885"/>
      <c r="P9" s="2885"/>
      <c r="Q9" s="2886">
        <v>365</v>
      </c>
      <c r="R9" s="2887">
        <f t="shared" si="0"/>
        <v>0</v>
      </c>
      <c r="S9" s="2841"/>
      <c r="T9" s="2841"/>
      <c r="U9" s="2841"/>
      <c r="V9" s="2849"/>
    </row>
    <row r="10" spans="1:22" s="2853" customFormat="1" ht="13.15" customHeight="1">
      <c r="A10" s="2888">
        <v>2</v>
      </c>
      <c r="B10" s="3659" t="s">
        <v>2359</v>
      </c>
      <c r="C10" s="3660"/>
      <c r="D10" s="2889">
        <f>ROUND(D6*E10,0)</f>
        <v>0</v>
      </c>
      <c r="E10" s="2893"/>
      <c r="F10" s="2894" t="s">
        <v>2360</v>
      </c>
      <c r="G10" s="2873"/>
      <c r="H10" s="2848"/>
      <c r="I10" s="2849"/>
      <c r="J10" s="3655"/>
      <c r="K10" s="3657"/>
      <c r="L10" s="2883" t="s">
        <v>2361</v>
      </c>
      <c r="M10" s="2884"/>
      <c r="N10" s="2860"/>
      <c r="O10" s="2885"/>
      <c r="P10" s="2885"/>
      <c r="Q10" s="2886">
        <v>365</v>
      </c>
      <c r="R10" s="2887">
        <f t="shared" si="0"/>
        <v>0</v>
      </c>
      <c r="S10" s="2841"/>
      <c r="T10" s="2841"/>
      <c r="U10" s="2841"/>
      <c r="V10" s="2849"/>
    </row>
    <row r="11" spans="1:22" s="2853" customFormat="1" ht="13.15" customHeight="1">
      <c r="A11" s="2888">
        <v>3</v>
      </c>
      <c r="B11" s="3659" t="s">
        <v>2362</v>
      </c>
      <c r="C11" s="3660"/>
      <c r="D11" s="2889">
        <f>D12+D14+D15+D16</f>
        <v>0</v>
      </c>
      <c r="E11" s="2895" t="e">
        <f>D11/D6</f>
        <v>#DIV/0!</v>
      </c>
      <c r="F11" s="2891"/>
      <c r="G11" s="2892"/>
      <c r="H11" s="2848"/>
      <c r="I11" s="2849"/>
      <c r="J11" s="3655"/>
      <c r="K11" s="365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1" t="s">
        <v>2365</v>
      </c>
      <c r="C12" s="3662"/>
      <c r="D12" s="2897">
        <f>ROUND(D13*1.2%*(1-30%),0)</f>
        <v>0</v>
      </c>
      <c r="E12" s="2898">
        <v>1.2E-2</v>
      </c>
      <c r="F12" s="2891" t="s">
        <v>2366</v>
      </c>
      <c r="G12" s="2892"/>
      <c r="H12" s="2848"/>
      <c r="I12" s="2849"/>
      <c r="J12" s="3655"/>
      <c r="K12" s="365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5"/>
      <c r="K13" s="365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1" t="s">
        <v>2371</v>
      </c>
      <c r="C14" s="3662"/>
      <c r="D14" s="2897">
        <f>ROUND(E14*B5/10000,0)</f>
        <v>0</v>
      </c>
      <c r="E14" s="2886"/>
      <c r="F14" s="2891" t="s">
        <v>2372</v>
      </c>
      <c r="G14" s="2892"/>
      <c r="H14" s="2848"/>
      <c r="I14" s="2849"/>
      <c r="J14" s="3655"/>
      <c r="K14" s="365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1" t="s">
        <v>2375</v>
      </c>
      <c r="C15" s="3662"/>
      <c r="D15" s="2897">
        <f>ROUND(D6*E15,0)</f>
        <v>0</v>
      </c>
      <c r="E15" s="2898">
        <v>5.5E-2</v>
      </c>
      <c r="F15" s="2891" t="s">
        <v>2376</v>
      </c>
      <c r="G15" s="2873"/>
      <c r="H15" s="2848"/>
      <c r="I15" s="2849"/>
      <c r="J15" s="3655">
        <v>2</v>
      </c>
      <c r="K15" s="365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1" t="s">
        <v>2384</v>
      </c>
      <c r="C16" s="3662"/>
      <c r="D16" s="2908">
        <f>D6*E16</f>
        <v>0</v>
      </c>
      <c r="E16" s="2909"/>
      <c r="F16" s="2894" t="s">
        <v>2385</v>
      </c>
      <c r="G16" s="2873"/>
      <c r="H16" s="2848"/>
      <c r="I16" s="2849"/>
      <c r="J16" s="3655"/>
      <c r="K16" s="365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3" t="s">
        <v>2387</v>
      </c>
      <c r="C17" s="3664"/>
      <c r="D17" s="2911">
        <f>ROUND(D6*E17,0)</f>
        <v>0</v>
      </c>
      <c r="E17" s="2912"/>
      <c r="F17" s="2913" t="s">
        <v>2388</v>
      </c>
      <c r="G17" s="2873"/>
      <c r="H17" s="2848"/>
      <c r="I17" s="2849"/>
      <c r="J17" s="3655"/>
      <c r="K17" s="365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5"/>
      <c r="K18" s="365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5"/>
      <c r="K19" s="365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5"/>
      <c r="K21" s="365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5"/>
      <c r="K22" s="365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5"/>
      <c r="K23" s="365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5"/>
      <c r="K24" s="365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8" t="s">
        <v>2320</v>
      </c>
      <c r="K32" s="364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0" t="s">
        <v>2330</v>
      </c>
      <c r="K33" s="365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0" t="s">
        <v>2332</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5">
        <v>1</v>
      </c>
      <c r="K36" s="365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5"/>
      <c r="K40" s="365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817.90039999999999</v>
      </c>
      <c r="C2" s="1872" t="s">
        <v>1651</v>
      </c>
      <c r="D2" s="1873" t="s">
        <v>1652</v>
      </c>
      <c r="E2" s="2607">
        <f>SUM(E6:E13)</f>
        <v>314.25</v>
      </c>
      <c r="F2" s="2707"/>
      <c r="G2" s="1489"/>
      <c r="H2" s="1489"/>
      <c r="I2" s="1489"/>
      <c r="J2" s="1489"/>
      <c r="K2" s="1489"/>
      <c r="L2" s="1489"/>
      <c r="M2" s="1489"/>
      <c r="N2" s="1489"/>
      <c r="O2" s="1489"/>
      <c r="P2" s="1489"/>
      <c r="Q2" s="1489"/>
      <c r="R2" s="1489"/>
      <c r="S2" s="1489"/>
    </row>
    <row r="3" spans="1:22" ht="15.75">
      <c r="A3" s="1870" t="s">
        <v>686</v>
      </c>
      <c r="B3" s="2601">
        <f ca="1">ROUND(B2*10000/E2,0)</f>
        <v>26027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817.90039999999999</v>
      </c>
      <c r="C6" s="1872" t="s">
        <v>1651</v>
      </c>
      <c r="D6" s="2709"/>
      <c r="E6" s="2606">
        <f>IF(OR(A6=0,F6="否"),0,'数据-取费表'!K6+'数据-取费表'!S6)</f>
        <v>314.25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314.25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74" t="s">
        <v>1668</v>
      </c>
      <c r="S4" s="3675"/>
      <c r="T4" s="3674" t="s">
        <v>1669</v>
      </c>
      <c r="U4" s="3675"/>
      <c r="V4" s="3699" t="s">
        <v>1670</v>
      </c>
      <c r="W4" s="3699"/>
      <c r="X4" s="1355"/>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90"/>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1890"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2" t="s">
        <v>1680</v>
      </c>
      <c r="Q7" s="3700"/>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55" zoomScaleNormal="70" zoomScaleSheetLayoutView="55" workbookViewId="0">
      <selection activeCell="E30" sqref="E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1395.1442999999999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44396</v>
      </c>
      <c r="C3" s="354" t="s">
        <v>1768</v>
      </c>
      <c r="D3" s="353">
        <f>IF(D1="",'数据-汇总表'!E3,SUMIF('数据-汇总表'!$C19:$C33,D1,'数据-汇总表'!$E19:$E33))</f>
        <v>314.25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99" t="s">
        <v>1772</v>
      </c>
      <c r="AC4" s="3669" t="s">
        <v>1773</v>
      </c>
    </row>
    <row r="5" spans="1:29" ht="15">
      <c r="A5" s="358"/>
      <c r="B5" s="359"/>
      <c r="C5" s="3716" t="s">
        <v>3395</v>
      </c>
      <c r="D5" s="3681"/>
      <c r="E5" s="3715" t="s">
        <v>3396</v>
      </c>
      <c r="F5" s="3679"/>
      <c r="G5" s="3716" t="s">
        <v>3396</v>
      </c>
      <c r="H5" s="3681"/>
      <c r="I5" s="3716" t="s">
        <v>3397</v>
      </c>
      <c r="J5" s="3681"/>
      <c r="K5" s="559"/>
      <c r="L5" s="2715"/>
      <c r="M5" s="2716"/>
      <c r="N5" s="2716"/>
      <c r="O5" s="2716"/>
      <c r="P5" s="3693"/>
      <c r="Q5" s="3694"/>
      <c r="R5" s="3676"/>
      <c r="S5" s="3677"/>
      <c r="T5" s="3676"/>
      <c r="U5" s="3677"/>
      <c r="V5" s="3699"/>
      <c r="W5" s="3699"/>
      <c r="X5" s="1355"/>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99"/>
      <c r="AC6" s="3671"/>
    </row>
    <row r="7" spans="1:29" s="108" customFormat="1" ht="15.75" thickBot="1">
      <c r="A7" s="362" t="s">
        <v>1679</v>
      </c>
      <c r="B7" s="363"/>
      <c r="C7" s="364">
        <f>'数据-取费表'!B2</f>
        <v>45091</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672" t="s">
        <v>1680</v>
      </c>
      <c r="Q7" s="3700"/>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704">
        <f>D7/J7</f>
        <v>1</v>
      </c>
    </row>
    <row r="8" spans="1:29" s="108" customFormat="1" ht="15.75" thickBot="1">
      <c r="A8" s="362" t="s">
        <v>1681</v>
      </c>
      <c r="B8" s="363"/>
      <c r="C8" s="368" t="s">
        <v>3398</v>
      </c>
      <c r="D8" s="365">
        <v>100</v>
      </c>
      <c r="E8" s="368" t="s">
        <v>3400</v>
      </c>
      <c r="F8" s="367">
        <f>SUMIF(61:61,E8,62:62)-SUMIF(61:61,C8,62:62)+100</f>
        <v>105</v>
      </c>
      <c r="G8" s="368" t="s">
        <v>3400</v>
      </c>
      <c r="H8" s="365">
        <f>SUMIF(61:61,G8,62:62)-SUMIF(61:61,C8,62:62)+100</f>
        <v>105</v>
      </c>
      <c r="I8" s="368" t="s">
        <v>3400</v>
      </c>
      <c r="J8" s="365">
        <f>SUMIF(61:61,I8,62:62)-SUMIF(61:61,C8,62:62)+100</f>
        <v>105</v>
      </c>
      <c r="K8" s="560"/>
      <c r="L8" s="2717"/>
      <c r="M8" s="2718"/>
      <c r="N8" s="2718"/>
      <c r="O8" s="2718"/>
      <c r="P8" s="3672" t="s">
        <v>1683</v>
      </c>
      <c r="Q8" s="3673"/>
      <c r="R8" s="701" t="s">
        <v>14</v>
      </c>
      <c r="S8" s="702">
        <f t="shared" si="0"/>
        <v>105</v>
      </c>
      <c r="T8" s="701" t="s">
        <v>14</v>
      </c>
      <c r="U8" s="702">
        <f t="shared" si="1"/>
        <v>105</v>
      </c>
      <c r="V8" s="701" t="s">
        <v>14</v>
      </c>
      <c r="W8" s="702">
        <f t="shared" si="2"/>
        <v>105</v>
      </c>
      <c r="X8" s="703"/>
      <c r="Y8" s="3672" t="s">
        <v>1683</v>
      </c>
      <c r="Z8" s="3673"/>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0"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70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1780</v>
      </c>
      <c r="C25" s="565" t="s">
        <v>3404</v>
      </c>
      <c r="D25" s="386">
        <v>100</v>
      </c>
      <c r="E25" s="565" t="s">
        <v>3404</v>
      </c>
      <c r="F25" s="412">
        <f>SUMIF(86:86,E25,87:87)-SUMIF(86:86,C25,87:87)+100</f>
        <v>100</v>
      </c>
      <c r="G25" s="565" t="s">
        <v>3406</v>
      </c>
      <c r="H25" s="386">
        <f>SUMIF(86:86,G25,87:87)-SUMIF(86:86,C25,87:87)+100</f>
        <v>95</v>
      </c>
      <c r="I25" s="565" t="s">
        <v>3406</v>
      </c>
      <c r="J25" s="386">
        <f>SUMIF(86:86,I25,87:87)-SUMIF(86:86,C25,87:87)+100</f>
        <v>95</v>
      </c>
      <c r="K25" s="561">
        <v>5</v>
      </c>
      <c r="L25" s="2722"/>
      <c r="M25" s="2716"/>
      <c r="N25" s="2716"/>
      <c r="O25" s="2716"/>
      <c r="P25" s="3714"/>
      <c r="Q25" s="1352" t="str">
        <f t="shared" ref="Q25:Q46" si="11">B25</f>
        <v>临街状况</v>
      </c>
      <c r="R25" s="705" t="s">
        <v>14</v>
      </c>
      <c r="S25" s="706">
        <f>F25</f>
        <v>100</v>
      </c>
      <c r="T25" s="705" t="s">
        <v>14</v>
      </c>
      <c r="U25" s="706">
        <f>H25</f>
        <v>95</v>
      </c>
      <c r="V25" s="705" t="s">
        <v>14</v>
      </c>
      <c r="W25" s="706">
        <f>J25</f>
        <v>95</v>
      </c>
      <c r="X25" s="1355"/>
      <c r="Y25" s="3707"/>
      <c r="Z25" s="1356" t="str">
        <f>Q25</f>
        <v>临街状况</v>
      </c>
      <c r="AA25" s="1353">
        <f t="shared" si="3"/>
        <v>1</v>
      </c>
      <c r="AB25" s="1353">
        <f t="shared" si="4"/>
        <v>1.0526315789473684</v>
      </c>
      <c r="AC25" s="1353">
        <f t="shared" si="5"/>
        <v>1.0526315789473684</v>
      </c>
    </row>
    <row r="26" spans="1:29" ht="15">
      <c r="A26" s="379"/>
      <c r="B26" s="1133" t="s">
        <v>1781</v>
      </c>
      <c r="C26" s="3456" t="s">
        <v>3437</v>
      </c>
      <c r="D26" s="386">
        <v>100</v>
      </c>
      <c r="E26" s="3456" t="s">
        <v>3438</v>
      </c>
      <c r="F26" s="412">
        <f>SUMIF(88:88,E26,89:89)-SUMIF(88:88,C26,89:89)+100</f>
        <v>102</v>
      </c>
      <c r="G26" s="3456" t="s">
        <v>3437</v>
      </c>
      <c r="H26" s="386">
        <f>SUMIF(88:88,G26,89:89)-SUMIF(88:88,C26,89:89)+100</f>
        <v>100</v>
      </c>
      <c r="I26" s="3456" t="s">
        <v>3437</v>
      </c>
      <c r="J26" s="386">
        <f>SUMIF(88:88,I26,89:89)-SUMIF(88:88,C26,89:89)+100</f>
        <v>100</v>
      </c>
      <c r="K26" s="562"/>
      <c r="L26" s="2722"/>
      <c r="M26" s="2716"/>
      <c r="N26" s="2716"/>
      <c r="O26" s="2716"/>
      <c r="P26" s="3714"/>
      <c r="Q26" s="1352" t="str">
        <f t="shared" si="11"/>
        <v>平面位置/可视性</v>
      </c>
      <c r="R26" s="705" t="s">
        <v>14</v>
      </c>
      <c r="S26" s="706">
        <f>F26</f>
        <v>102</v>
      </c>
      <c r="T26" s="705" t="s">
        <v>14</v>
      </c>
      <c r="U26" s="706">
        <f>H26</f>
        <v>100</v>
      </c>
      <c r="V26" s="705" t="s">
        <v>14</v>
      </c>
      <c r="W26" s="706">
        <f>J26</f>
        <v>100</v>
      </c>
      <c r="X26" s="1355"/>
      <c r="Y26" s="3707"/>
      <c r="Z26" s="1356" t="str">
        <f>Q26</f>
        <v>平面位置/可视性</v>
      </c>
      <c r="AA26" s="1353">
        <f t="shared" si="3"/>
        <v>0.98039215686274506</v>
      </c>
      <c r="AB26" s="1353">
        <f t="shared" si="4"/>
        <v>1</v>
      </c>
      <c r="AC26" s="1353">
        <f t="shared" si="5"/>
        <v>1</v>
      </c>
    </row>
    <row r="27" spans="1:29" s="108" customFormat="1" ht="15">
      <c r="A27" s="382"/>
      <c r="B27" s="402" t="s">
        <v>1782</v>
      </c>
      <c r="C27" s="1956" t="s">
        <v>3436</v>
      </c>
      <c r="D27" s="413">
        <v>100</v>
      </c>
      <c r="E27" s="1956" t="s">
        <v>3439</v>
      </c>
      <c r="F27" s="415">
        <f>SUMIF(90:90,E27,91:91)-SUMIF(90:90,C27,91:91)+100</f>
        <v>102</v>
      </c>
      <c r="G27" s="1956" t="s">
        <v>3436</v>
      </c>
      <c r="H27" s="413">
        <f>SUMIF(90:90,G27,91:91)-SUMIF(90:90,C27,91:91)+100</f>
        <v>100</v>
      </c>
      <c r="I27" s="1956" t="s">
        <v>3436</v>
      </c>
      <c r="J27" s="413">
        <f>SUMIF(90:90,I27,91:91)-SUMIF(90:90,C27,91:91)+100</f>
        <v>100</v>
      </c>
      <c r="K27" s="561">
        <v>2</v>
      </c>
      <c r="L27" s="2717"/>
      <c r="M27" s="2718"/>
      <c r="N27" s="2718"/>
      <c r="O27" s="2718"/>
      <c r="P27" s="3714"/>
      <c r="Q27" s="1343" t="str">
        <f t="shared" si="11"/>
        <v>人流量</v>
      </c>
      <c r="R27" s="701" t="s">
        <v>14</v>
      </c>
      <c r="S27" s="702">
        <f>F27</f>
        <v>102</v>
      </c>
      <c r="T27" s="701" t="s">
        <v>14</v>
      </c>
      <c r="U27" s="702">
        <f>H27</f>
        <v>100</v>
      </c>
      <c r="V27" s="701" t="s">
        <v>14</v>
      </c>
      <c r="W27" s="702">
        <f>J27</f>
        <v>100</v>
      </c>
      <c r="X27" s="703"/>
      <c r="Y27" s="3707"/>
      <c r="Z27" s="52" t="str">
        <f>Q27</f>
        <v>人流量</v>
      </c>
      <c r="AA27" s="1353">
        <f>D27/F27</f>
        <v>0.98039215686274506</v>
      </c>
      <c r="AB27" s="1353">
        <f>D27/H27</f>
        <v>1</v>
      </c>
      <c r="AC27" s="1353">
        <f>D27/J27</f>
        <v>1</v>
      </c>
    </row>
    <row r="28" spans="1:29" ht="15">
      <c r="A28" s="379"/>
      <c r="B28" s="375" t="s">
        <v>1783</v>
      </c>
      <c r="C28" s="565" t="s">
        <v>3424</v>
      </c>
      <c r="D28" s="386">
        <v>100</v>
      </c>
      <c r="E28" s="565" t="s">
        <v>3424</v>
      </c>
      <c r="F28" s="412">
        <f>SUMIF(92:92,E28,93:93)-SUMIF(92:92,C28,93:93)+100</f>
        <v>100</v>
      </c>
      <c r="G28" s="565" t="s">
        <v>3424</v>
      </c>
      <c r="H28" s="386">
        <f>SUMIF(92:92,G28,93:93)-SUMIF(92:92,C28,93:93)+100</f>
        <v>100</v>
      </c>
      <c r="I28" s="565" t="s">
        <v>3424</v>
      </c>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9"/>
      <c r="Q33" s="707" t="str">
        <f t="shared" si="11"/>
        <v>项目建筑规模</v>
      </c>
      <c r="R33" s="708" t="s">
        <v>14</v>
      </c>
      <c r="S33" s="709">
        <f t="shared" si="12"/>
        <v>100</v>
      </c>
      <c r="T33" s="708" t="s">
        <v>14</v>
      </c>
      <c r="U33" s="709">
        <f t="shared" si="13"/>
        <v>100</v>
      </c>
      <c r="V33" s="708" t="s">
        <v>14</v>
      </c>
      <c r="W33" s="709">
        <f t="shared" si="14"/>
        <v>100</v>
      </c>
      <c r="X33" s="710"/>
      <c r="Y33" s="3711"/>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v>0.78</v>
      </c>
      <c r="D36" s="386">
        <v>100</v>
      </c>
      <c r="E36" s="425">
        <v>0.78</v>
      </c>
      <c r="F36" s="412">
        <f>LOOKUP(E36,110:110,111:111)-LOOKUP(C36,110:110,111:111)+100</f>
        <v>100</v>
      </c>
      <c r="G36" s="425">
        <v>0.78</v>
      </c>
      <c r="H36" s="412">
        <f>LOOKUP(G36,110:110,111:111)-LOOKUP(C36,110:110,111:111)+100</f>
        <v>100</v>
      </c>
      <c r="I36" s="425">
        <v>0.78</v>
      </c>
      <c r="J36" s="386">
        <f>LOOKUP(I36,110:110,111:111)-LOOKUP(C36,110:110,111:111)+100</f>
        <v>100</v>
      </c>
      <c r="K36" s="561"/>
      <c r="L36" s="2722"/>
      <c r="M36" s="2716"/>
      <c r="N36" s="2716"/>
      <c r="O36" s="2716"/>
      <c r="P36" s="3709"/>
      <c r="Q36" s="1352" t="str">
        <f t="shared" si="11"/>
        <v>成新度</v>
      </c>
      <c r="R36" s="705" t="s">
        <v>14</v>
      </c>
      <c r="S36" s="706">
        <f t="shared" si="12"/>
        <v>100</v>
      </c>
      <c r="T36" s="705" t="s">
        <v>14</v>
      </c>
      <c r="U36" s="706">
        <f t="shared" si="13"/>
        <v>100</v>
      </c>
      <c r="V36" s="705" t="s">
        <v>14</v>
      </c>
      <c r="W36" s="706">
        <f t="shared" si="14"/>
        <v>100</v>
      </c>
      <c r="X36" s="1355"/>
      <c r="Y36" s="371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v>54789</v>
      </c>
      <c r="F47" s="1157"/>
      <c r="G47" s="1158">
        <v>42714</v>
      </c>
      <c r="H47" s="1159"/>
      <c r="I47" s="1156">
        <v>40111</v>
      </c>
      <c r="J47" s="1159"/>
      <c r="K47" s="714"/>
      <c r="L47" s="2724"/>
      <c r="M47" s="2725"/>
      <c r="N47" s="2716"/>
      <c r="O47" s="2725"/>
      <c r="P47" s="3704" t="str">
        <f>A47</f>
        <v>成交单价（元/平方米）</v>
      </c>
      <c r="Q47" s="3704"/>
      <c r="R47" s="3699">
        <f>E47</f>
        <v>54789</v>
      </c>
      <c r="S47" s="3699"/>
      <c r="T47" s="3699">
        <f>G47</f>
        <v>42714</v>
      </c>
      <c r="U47" s="3699"/>
      <c r="V47" s="3699">
        <f>I47</f>
        <v>40111</v>
      </c>
      <c r="W47" s="3699"/>
      <c r="X47" s="690"/>
      <c r="Y47" s="712"/>
      <c r="Z47" s="690"/>
      <c r="AA47" s="690"/>
      <c r="AB47" s="690"/>
      <c r="AC47" s="690"/>
    </row>
    <row r="48" spans="1:29" ht="15.75" thickBot="1">
      <c r="A48" s="437" t="s">
        <v>1793</v>
      </c>
      <c r="B48" s="438"/>
      <c r="C48" s="1160">
        <f>R49</f>
        <v>44396</v>
      </c>
      <c r="D48" s="2317" t="s">
        <v>2138</v>
      </c>
      <c r="E48" s="1161">
        <f>R48</f>
        <v>50154</v>
      </c>
      <c r="F48" s="2318"/>
      <c r="G48" s="1160">
        <f>T48</f>
        <v>42821</v>
      </c>
      <c r="H48" s="2318"/>
      <c r="I48" s="1161">
        <f>V48</f>
        <v>40212</v>
      </c>
      <c r="J48" s="2318"/>
      <c r="K48" s="2320">
        <f>F48+H48+J48</f>
        <v>0</v>
      </c>
      <c r="L48" s="2724"/>
      <c r="M48" s="2725"/>
      <c r="N48" s="2716"/>
      <c r="O48" s="2725"/>
      <c r="P48" s="3704" t="str">
        <f>A48</f>
        <v>比较价值（元/平方米）</v>
      </c>
      <c r="Q48" s="3704"/>
      <c r="R48" s="3705">
        <f>IF(F1="售价",ROUND(PRODUCT(R47,AA7:AA46),0),ROUND(PRODUCT(R47,AA7:AA46),1))</f>
        <v>50154</v>
      </c>
      <c r="S48" s="3705"/>
      <c r="T48" s="3705">
        <f>IF(F1="售价",ROUND(PRODUCT(T47,AB7:AB46),0),ROUND(PRODUCT(T47,AB7:AB46),1))</f>
        <v>42821</v>
      </c>
      <c r="U48" s="3705"/>
      <c r="V48" s="3705">
        <f>IF(F1="售价",ROUND(PRODUCT(V47,AC7:AC46),0),ROUND(PRODUCT(V47,AC7:AC46),1))</f>
        <v>40212</v>
      </c>
      <c r="W48" s="3705"/>
      <c r="X48" s="690"/>
      <c r="Y48" s="690"/>
      <c r="Z48" s="690"/>
      <c r="AA48" s="690"/>
      <c r="AB48" s="690"/>
      <c r="AC48" s="690"/>
    </row>
    <row r="49" spans="1:29" ht="15.75" thickBot="1">
      <c r="A49" s="441" t="s">
        <v>1794</v>
      </c>
      <c r="B49" s="442"/>
      <c r="C49" s="1163">
        <f>R49</f>
        <v>44396</v>
      </c>
      <c r="D49" s="1163"/>
      <c r="E49" s="1163"/>
      <c r="F49" s="1163"/>
      <c r="G49" s="1163"/>
      <c r="H49" s="1163"/>
      <c r="I49" s="1163"/>
      <c r="J49" s="1163"/>
      <c r="K49" s="715"/>
      <c r="L49" s="2724"/>
      <c r="M49" s="2725"/>
      <c r="N49" s="2716"/>
      <c r="O49" s="2725"/>
      <c r="P49" s="3701" t="str">
        <f>A49</f>
        <v>估价对象XX用房的比较价值（楼面单价，元/平方米）</v>
      </c>
      <c r="Q49" s="3702"/>
      <c r="R49" s="3703">
        <f>IF(F1="售价",ROUND(IF(D48="简单平均",AVERAGE(R48:V48),R48*F48+T48*H48+V48*J48),0),ROUND(IF(D48="简单平均",AVERAGE(R48:V48),R48*F48+T48*H48+V48*J48),1))</f>
        <v>44396</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9.241536068907763E-2</v>
      </c>
      <c r="F52" s="449" t="str">
        <f>IF(OR(E52&gt;=0.3,E52&lt;=-0.3),"超过30%","")</f>
        <v/>
      </c>
      <c r="G52" s="448">
        <f>IF(G47&lt;G48,G48/G47-1,G47/G48-1)</f>
        <v>2.5050334784848527E-3</v>
      </c>
      <c r="H52" s="449" t="str">
        <f>IF(OR(G52&gt;=0.3,G52&lt;=-0.3),"超过30%","")</f>
        <v/>
      </c>
      <c r="I52" s="448">
        <f>IF(I47&lt;I48,I48/I47-1,I47/I48-1)</f>
        <v>2.5180125152701738E-3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0.17124775227108202</v>
      </c>
      <c r="F53" s="449" t="str">
        <f>IF(OR(E53&gt;=0.2,E53&lt;=-0.2),"超过20%","")</f>
        <v/>
      </c>
      <c r="G53" s="448">
        <f>IF(G48&lt;I48,I48/G48-1,G48/I48-1)</f>
        <v>6.4881130010941979E-2</v>
      </c>
      <c r="H53" s="449" t="str">
        <f>IF(OR(G53&gt;=0.2,G53&lt;=-0.2),"超过20%","")</f>
        <v/>
      </c>
      <c r="I53" s="448">
        <f>IF(I48&lt;E48,E48/I48-1,I48/E48-1)</f>
        <v>0.24723962996120563</v>
      </c>
      <c r="J53" s="449" t="str">
        <f>IF(OR(I53&gt;=0.2,I53&lt;=-0.2),"超过20%","")</f>
        <v>超过20%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0.28269419862340217</v>
      </c>
      <c r="F54" s="449" t="str">
        <f>IF(OR(E54&gt;=0.3,E54&lt;=-0.3),"超过30%","")</f>
        <v/>
      </c>
      <c r="G54" s="448">
        <f>IF(G47&lt;I47,I47/G47-1,G47/I47-1)</f>
        <v>6.4894916606417219E-2</v>
      </c>
      <c r="H54" s="449" t="str">
        <f>IF(OR(G54&gt;=0.3,G54&lt;=-0.3),"超过30%","")</f>
        <v/>
      </c>
      <c r="I54" s="448">
        <f>IF(I47&lt;E47,E47/I47-1,I47/E47-1)</f>
        <v>0.36593453167460299</v>
      </c>
      <c r="J54" s="449" t="str">
        <f>IF(OR(I54&gt;=0.3,I54&lt;=-0.3),"超过30%","")</f>
        <v>超过30%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1" t="s">
        <v>3401</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2" t="s">
        <v>3402</v>
      </c>
      <c r="D86" s="3452" t="s">
        <v>3403</v>
      </c>
      <c r="E86" s="3452" t="s">
        <v>3405</v>
      </c>
      <c r="F86" s="3452" t="s">
        <v>3407</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3426</v>
      </c>
      <c r="D88" s="3452" t="s">
        <v>3427</v>
      </c>
      <c r="E88" s="3452" t="s">
        <v>3428</v>
      </c>
      <c r="F88" s="3455" t="s">
        <v>3429</v>
      </c>
      <c r="G88" s="3452" t="s">
        <v>3430</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v>96</v>
      </c>
      <c r="F89" s="485">
        <v>94</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2" t="s">
        <v>3431</v>
      </c>
      <c r="D90" s="3452" t="s">
        <v>3432</v>
      </c>
      <c r="E90" s="3452" t="s">
        <v>3433</v>
      </c>
      <c r="F90" s="3452" t="s">
        <v>3434</v>
      </c>
      <c r="G90" s="3452" t="s">
        <v>3435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3425</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4" t="s">
        <v>3421</v>
      </c>
      <c r="D100" s="3454" t="s">
        <v>3422</v>
      </c>
      <c r="E100" s="3454" t="s">
        <v>3423</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6.5" thickTop="1" thickBot="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ht="15" thickTop="1">
      <c r="A103" s="542"/>
      <c r="B103" s="543"/>
      <c r="C103" s="575">
        <v>0</v>
      </c>
      <c r="D103" s="575">
        <v>100</v>
      </c>
      <c r="E103" s="575">
        <v>200</v>
      </c>
      <c r="F103" s="575">
        <v>300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2" t="s">
        <v>3419</v>
      </c>
      <c r="D105" s="3452" t="s">
        <v>3420</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2" t="s">
        <v>3408</v>
      </c>
      <c r="D107" s="3452" t="s">
        <v>3409</v>
      </c>
      <c r="E107" s="3452" t="s">
        <v>3410</v>
      </c>
      <c r="F107" s="3453" t="s">
        <v>3411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2" t="s">
        <v>3416</v>
      </c>
      <c r="D112" s="3452" t="s">
        <v>3417</v>
      </c>
      <c r="E112" s="3452" t="s">
        <v>3418</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2" t="s">
        <v>3414</v>
      </c>
      <c r="D114" s="3452" t="s">
        <v>3415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2" t="s">
        <v>3412</v>
      </c>
      <c r="D116" s="3452" t="s">
        <v>3413</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2" t="s">
        <v>3408</v>
      </c>
      <c r="D122" s="3452" t="s">
        <v>3409</v>
      </c>
      <c r="E122" s="3452" t="s">
        <v>3410</v>
      </c>
      <c r="F122" s="3453" t="s">
        <v>3411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314.25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0" t="s">
        <v>1673</v>
      </c>
      <c r="D5" s="3681"/>
      <c r="E5" s="3678" t="s">
        <v>1674</v>
      </c>
      <c r="F5" s="3679"/>
      <c r="G5" s="3680" t="s">
        <v>1675</v>
      </c>
      <c r="H5" s="3681"/>
      <c r="I5" s="3680" t="s">
        <v>1676</v>
      </c>
      <c r="J5" s="3681"/>
      <c r="K5" s="559"/>
      <c r="L5" s="2715"/>
      <c r="M5" s="2716"/>
      <c r="N5" s="2716"/>
      <c r="O5" s="2716"/>
      <c r="P5" s="3725"/>
      <c r="Q5" s="3694"/>
      <c r="R5" s="3676"/>
      <c r="S5" s="3677"/>
      <c r="T5" s="3676"/>
      <c r="U5" s="3677"/>
      <c r="V5" s="3699"/>
      <c r="W5" s="3699"/>
      <c r="X5" s="1355"/>
      <c r="Y5" s="3676"/>
      <c r="Z5" s="3677"/>
      <c r="AA5" s="3670"/>
      <c r="AB5" s="3670"/>
      <c r="AC5" s="3721"/>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726"/>
      <c r="Q6" s="3696"/>
      <c r="R6" s="3676"/>
      <c r="S6" s="3677"/>
      <c r="T6" s="3697"/>
      <c r="U6" s="3698"/>
      <c r="V6" s="3699"/>
      <c r="W6" s="3699"/>
      <c r="X6" s="1355"/>
      <c r="Y6" s="3697"/>
      <c r="Z6" s="3698"/>
      <c r="AA6" s="3671"/>
      <c r="AB6" s="3671"/>
      <c r="AC6" s="3722"/>
    </row>
    <row r="7" spans="1:29" s="108" customFormat="1" ht="15.75" thickBot="1">
      <c r="A7" s="362" t="s">
        <v>1679</v>
      </c>
      <c r="B7" s="363"/>
      <c r="C7" s="364">
        <f>'数据-取费表'!B2</f>
        <v>45091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3"/>
      <c r="R8" s="701" t="s">
        <v>14</v>
      </c>
      <c r="S8" s="702">
        <f t="shared" si="0"/>
        <v>100</v>
      </c>
      <c r="T8" s="701" t="s">
        <v>14</v>
      </c>
      <c r="U8" s="702">
        <f t="shared" si="1"/>
        <v>100</v>
      </c>
      <c r="V8" s="701" t="s">
        <v>14</v>
      </c>
      <c r="W8" s="702">
        <f t="shared" si="2"/>
        <v>100</v>
      </c>
      <c r="X8" s="703"/>
      <c r="Y8" s="3672" t="s">
        <v>1683</v>
      </c>
      <c r="Z8" s="367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4"/>
      <c r="Q22" s="1352"/>
      <c r="R22" s="705"/>
      <c r="S22" s="706"/>
      <c r="T22" s="705"/>
      <c r="U22" s="706"/>
      <c r="V22" s="705"/>
      <c r="W22" s="706"/>
      <c r="X22" s="1355"/>
      <c r="Y22" s="370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4"/>
      <c r="Q26" s="1352"/>
      <c r="R26" s="705"/>
      <c r="S26" s="706"/>
      <c r="T26" s="705"/>
      <c r="U26" s="706"/>
      <c r="V26" s="705"/>
      <c r="W26" s="706"/>
      <c r="X26" s="1355"/>
      <c r="Y26" s="370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314.25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45091</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估价对象为北京市房地产，为所有。根据《国有土地使用证》[]，估价对象（分摊）出让国有建设用地使用权面积为0平方米，建筑面积为314.25平方米。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估价对象为北京市房地产,属开发建设的，该项目尚在开发建设中。根据《国有土地使用证》[]，估价对象（分摊）出让国有建设用地使用权面积为0平方米，规划建筑面积为314.25平方米。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45091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1" t="str">
        <f>A39</f>
        <v>估价对象XX用房的比较价值（楼面单价，元/平方米）</v>
      </c>
      <c r="Q39" s="370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45091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1" t="str">
        <f>A37</f>
        <v>估价对象XX用房的比较价值（楼面单价，元/平方米）</v>
      </c>
      <c r="Q37" s="370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30" s="108" customFormat="1" ht="15.75" thickBot="1">
      <c r="A7" s="362" t="s">
        <v>1679</v>
      </c>
      <c r="B7" s="363"/>
      <c r="C7" s="364">
        <f>'数据-取费表'!B2</f>
        <v>45091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9"/>
      <c r="M10" s="2720"/>
      <c r="N10" s="2720"/>
      <c r="O10" s="2773"/>
      <c r="P10" s="3704"/>
      <c r="Q10" s="1343" t="str">
        <f t="shared" si="6"/>
        <v>土地使用年限（年）</v>
      </c>
      <c r="R10" s="701" t="s">
        <v>14</v>
      </c>
      <c r="S10" s="702">
        <f t="shared" si="0"/>
        <v>147</v>
      </c>
      <c r="T10" s="701" t="s">
        <v>14</v>
      </c>
      <c r="U10" s="702">
        <f t="shared" si="1"/>
        <v>147</v>
      </c>
      <c r="V10" s="701" t="s">
        <v>14</v>
      </c>
      <c r="W10" s="702">
        <f t="shared" si="2"/>
        <v>147</v>
      </c>
      <c r="X10" s="703"/>
      <c r="Y10" s="3616"/>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7"/>
      <c r="Q24" s="1352"/>
      <c r="R24" s="705"/>
      <c r="S24" s="706"/>
      <c r="T24" s="705"/>
      <c r="U24" s="706"/>
      <c r="V24" s="705"/>
      <c r="W24" s="706"/>
      <c r="X24" s="1355"/>
      <c r="Y24" s="370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1" t="str">
        <f>A48</f>
        <v>估价对象XX用房的比较价值（楼面单价，元/平方米）</v>
      </c>
      <c r="Q48" s="370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217.64</v>
      </c>
      <c r="F56" s="886" t="e">
        <f t="shared" ref="F56:F64" si="15">ROUND(B56*E56/10000,0)</f>
        <v>#DIV/0!</v>
      </c>
      <c r="G56" s="3686"/>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217.64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45091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9"/>
      <c r="M10" s="2720"/>
      <c r="N10" s="2720"/>
      <c r="O10" s="2773"/>
      <c r="P10" s="3704"/>
      <c r="Q10" s="1343" t="str">
        <f t="shared" si="6"/>
        <v>土地使用年限（年）</v>
      </c>
      <c r="R10" s="701" t="s">
        <v>14</v>
      </c>
      <c r="S10" s="702">
        <f t="shared" si="0"/>
        <v>147</v>
      </c>
      <c r="T10" s="701" t="s">
        <v>14</v>
      </c>
      <c r="U10" s="702">
        <f t="shared" si="1"/>
        <v>147</v>
      </c>
      <c r="V10" s="701" t="s">
        <v>14</v>
      </c>
      <c r="W10" s="702">
        <f t="shared" si="2"/>
        <v>147</v>
      </c>
      <c r="X10" s="703"/>
      <c r="Y10" s="3616"/>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1" t="str">
        <f>A43</f>
        <v>估价对象XX用房的比较价值（楼面单价，元/平方米）</v>
      </c>
      <c r="Q43" s="370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217.64</v>
      </c>
      <c r="F51" s="639" t="e">
        <f t="shared" ref="F51:F60" si="15">ROUND(B51*E51/10000,0)</f>
        <v>#DIV/0!</v>
      </c>
      <c r="G51" s="3686"/>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2" sqref="C22:Q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2.1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二级</v>
      </c>
      <c r="Y7" s="1214" t="s">
        <v>1956</v>
      </c>
      <c r="Z7" s="1215">
        <f>G3</f>
        <v>2.1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3"/>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3259</v>
      </c>
      <c r="B20" s="167" t="s">
        <v>1994</v>
      </c>
      <c r="C20" s="3325" t="e">
        <f>ROUND(IF(F21="与级别开发程度一致",0,(G21-E21)/C21),0)</f>
        <v>#DIV/0!</v>
      </c>
      <c r="D20" s="3341" t="s">
        <v>1998</v>
      </c>
      <c r="E20" s="3342"/>
      <c r="F20" s="3764" t="s">
        <v>1995</v>
      </c>
      <c r="G20" s="376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375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45091</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0.90759999999999996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0.90759999999999996</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0.90759999999999996</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0.3</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0.2</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0" t="s">
        <v>3299</v>
      </c>
      <c r="B103" s="3760"/>
      <c r="C103" s="3760"/>
      <c r="D103" s="3760"/>
      <c r="E103" s="3760"/>
      <c r="F103" s="3760"/>
      <c r="G103" s="3760"/>
      <c r="H103" s="3760"/>
      <c r="I103" s="3760"/>
      <c r="J103" s="3760"/>
      <c r="K103" s="3390"/>
      <c r="L103" s="3390"/>
      <c r="M103" s="3390"/>
      <c r="N103" s="3390"/>
    </row>
    <row r="104" spans="1:14">
      <c r="A104" s="3761" t="s">
        <v>3300</v>
      </c>
      <c r="B104" s="3761" t="s">
        <v>3301</v>
      </c>
      <c r="C104" s="3391" t="s">
        <v>3302</v>
      </c>
      <c r="D104" s="3392"/>
      <c r="E104" s="3392"/>
      <c r="F104" s="3392"/>
      <c r="G104" s="3392"/>
      <c r="H104" s="3392"/>
      <c r="I104" s="3392"/>
      <c r="J104" s="3393"/>
      <c r="K104" s="3394"/>
      <c r="L104" s="3394"/>
      <c r="M104" s="3394"/>
      <c r="N104" s="3394"/>
    </row>
    <row r="105" spans="1:14">
      <c r="A105" s="3761"/>
      <c r="B105" s="3761"/>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7"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0" t="s">
        <v>3316</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2.1</v>
      </c>
      <c r="C116" s="3400" t="s">
        <v>3318</v>
      </c>
      <c r="D116" s="3401">
        <f>SUMPRODUCT((A118:A122=F116)*(B117:M117=H116)*B118:M122)</f>
        <v>0</v>
      </c>
      <c r="E116" s="2000" t="s">
        <v>3319</v>
      </c>
      <c r="F116" s="3402">
        <f>E2</f>
        <v>0</v>
      </c>
      <c r="G116" s="2000" t="s">
        <v>3320</v>
      </c>
      <c r="H116" s="3402" t="str">
        <f>G2</f>
        <v>二级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0.97370000000000001</v>
      </c>
      <c r="C118" s="3388">
        <f>B118</f>
        <v>0.97370000000000001</v>
      </c>
      <c r="D118" s="3388">
        <f>ROUND(0.949-0.014*B116,4)</f>
        <v>0.91959999999999997</v>
      </c>
      <c r="E118" s="3388">
        <f>D118</f>
        <v>0.91959999999999997</v>
      </c>
      <c r="F118" s="3388">
        <f>E118</f>
        <v>0.91959999999999997</v>
      </c>
      <c r="G118" s="3388">
        <f>F118</f>
        <v>0.91959999999999997</v>
      </c>
      <c r="H118" s="3388">
        <f>G118</f>
        <v>0.91959999999999997</v>
      </c>
      <c r="I118" s="3388">
        <f>ROUND(0.8486-0.018*B116,4)</f>
        <v>0.81079999999999997</v>
      </c>
      <c r="J118" s="3388">
        <f t="shared" ref="J118:M122" si="35">I118</f>
        <v>0.81079999999999997</v>
      </c>
      <c r="K118" s="3388">
        <f t="shared" si="35"/>
        <v>0.81079999999999997</v>
      </c>
      <c r="L118" s="3388">
        <f t="shared" si="35"/>
        <v>0.81079999999999997</v>
      </c>
      <c r="M118" s="3411">
        <f t="shared" si="35"/>
        <v>0.81079999999999997</v>
      </c>
      <c r="N118" s="3398"/>
    </row>
    <row r="119" spans="1:14">
      <c r="A119" s="3410" t="s">
        <v>3334</v>
      </c>
      <c r="B119" s="3388">
        <f>ROUND(0.993-0.0112*B116,4)</f>
        <v>0.96950000000000003</v>
      </c>
      <c r="C119" s="3388">
        <f>B119</f>
        <v>0.96950000000000003</v>
      </c>
      <c r="D119" s="3388">
        <f>ROUND(0.9415-0.0142*B116,4)</f>
        <v>0.91169999999999995</v>
      </c>
      <c r="E119" s="3388">
        <f t="shared" ref="E119:H120" si="36">D119</f>
        <v>0.91169999999999995</v>
      </c>
      <c r="F119" s="3388">
        <f t="shared" si="36"/>
        <v>0.91169999999999995</v>
      </c>
      <c r="G119" s="3388">
        <f t="shared" si="36"/>
        <v>0.91169999999999995</v>
      </c>
      <c r="H119" s="3388">
        <f t="shared" si="36"/>
        <v>0.91169999999999995</v>
      </c>
      <c r="I119" s="3388">
        <f>ROUND(0.838-0.0182*B116,4)</f>
        <v>0.79979999999999996</v>
      </c>
      <c r="J119" s="3388">
        <f t="shared" si="35"/>
        <v>0.79979999999999996</v>
      </c>
      <c r="K119" s="3388">
        <f t="shared" si="35"/>
        <v>0.79979999999999996</v>
      </c>
      <c r="L119" s="3388">
        <f t="shared" si="35"/>
        <v>0.79979999999999996</v>
      </c>
      <c r="M119" s="3411">
        <f t="shared" si="35"/>
        <v>0.79979999999999996</v>
      </c>
      <c r="N119" s="3398"/>
    </row>
    <row r="120" spans="1:14">
      <c r="A120" s="3410" t="s">
        <v>3335</v>
      </c>
      <c r="B120" s="3388">
        <f>ROUND(0.9448-0.0115*B116,4)</f>
        <v>0.92069999999999996</v>
      </c>
      <c r="C120" s="3388">
        <f>B120</f>
        <v>0.92069999999999996</v>
      </c>
      <c r="D120" s="3388">
        <f>ROUND(0.937-0.0145*B116,4)</f>
        <v>0.90659999999999996</v>
      </c>
      <c r="E120" s="3388">
        <f t="shared" si="36"/>
        <v>0.90659999999999996</v>
      </c>
      <c r="F120" s="3388">
        <f t="shared" si="36"/>
        <v>0.90659999999999996</v>
      </c>
      <c r="G120" s="3388">
        <f t="shared" si="36"/>
        <v>0.90659999999999996</v>
      </c>
      <c r="H120" s="3388">
        <f t="shared" si="36"/>
        <v>0.90659999999999996</v>
      </c>
      <c r="I120" s="3388">
        <f>ROUND(0.7965-0.0185*B116,4)</f>
        <v>0.75770000000000004</v>
      </c>
      <c r="J120" s="3388">
        <f t="shared" si="35"/>
        <v>0.75770000000000004</v>
      </c>
      <c r="K120" s="3388">
        <f t="shared" si="35"/>
        <v>0.75770000000000004</v>
      </c>
      <c r="L120" s="3388">
        <f t="shared" si="35"/>
        <v>0.75770000000000004</v>
      </c>
      <c r="M120" s="3411">
        <f t="shared" si="35"/>
        <v>0.75770000000000004</v>
      </c>
      <c r="N120" s="3398"/>
    </row>
    <row r="121" spans="1:14" ht="13.5" thickBot="1">
      <c r="A121" s="3412" t="s">
        <v>3336</v>
      </c>
      <c r="B121" s="3413">
        <f>ROUND(0.7836-0.012*B116,4)</f>
        <v>0.75839999999999996</v>
      </c>
      <c r="C121" s="3413">
        <f>B121</f>
        <v>0.75839999999999996</v>
      </c>
      <c r="D121" s="3413">
        <f>ROUND(0.753-0.015*B116,4)</f>
        <v>0.72150000000000003</v>
      </c>
      <c r="E121" s="3413">
        <f>D121</f>
        <v>0.72150000000000003</v>
      </c>
      <c r="F121" s="3413">
        <f>E121</f>
        <v>0.72150000000000003</v>
      </c>
      <c r="G121" s="3413">
        <f>ROUND(0.6612-0.018*B116,4)</f>
        <v>0.62339999999999995</v>
      </c>
      <c r="H121" s="3413">
        <f>G121</f>
        <v>0.62339999999999995</v>
      </c>
      <c r="I121" s="3413">
        <f>ROUND(0.5905-0.019*B116,4)</f>
        <v>0.55059999999999998</v>
      </c>
      <c r="J121" s="3413">
        <f t="shared" si="35"/>
        <v>0.55059999999999998</v>
      </c>
      <c r="K121" s="3413">
        <f t="shared" si="35"/>
        <v>0.55059999999999998</v>
      </c>
      <c r="L121" s="3413">
        <f t="shared" si="35"/>
        <v>0.55059999999999998</v>
      </c>
      <c r="M121" s="3414">
        <f t="shared" si="35"/>
        <v>0.55059999999999998</v>
      </c>
      <c r="N121" s="3398"/>
    </row>
    <row r="122" spans="1:14">
      <c r="A122" s="3415" t="s">
        <v>2615</v>
      </c>
      <c r="B122" s="3388">
        <f>ROUND(0.9404-0.0106*B116,4)</f>
        <v>0.91810000000000003</v>
      </c>
      <c r="C122" s="3388">
        <f>B122</f>
        <v>0.91810000000000003</v>
      </c>
      <c r="D122" s="3388">
        <f>ROUND(0.8955-0.0135*B116,4)</f>
        <v>0.86719999999999997</v>
      </c>
      <c r="E122" s="3388">
        <f t="shared" ref="E122:H122" si="37">D122</f>
        <v>0.86719999999999997</v>
      </c>
      <c r="F122" s="3388">
        <f t="shared" si="37"/>
        <v>0.86719999999999997</v>
      </c>
      <c r="G122" s="3388">
        <f t="shared" si="37"/>
        <v>0.86719999999999997</v>
      </c>
      <c r="H122" s="3388">
        <f t="shared" si="37"/>
        <v>0.86719999999999997</v>
      </c>
      <c r="I122" s="3388">
        <f>ROUND(0.7632-0.0166*B116,4)</f>
        <v>0.72829999999999995</v>
      </c>
      <c r="J122" s="3388">
        <f t="shared" si="35"/>
        <v>0.72829999999999995</v>
      </c>
      <c r="K122" s="3388">
        <f t="shared" si="35"/>
        <v>0.72829999999999995</v>
      </c>
      <c r="L122" s="3388">
        <f t="shared" si="35"/>
        <v>0.72829999999999995</v>
      </c>
      <c r="M122" s="3411">
        <f t="shared" si="35"/>
        <v>0.72829999999999995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3" t="s">
        <v>2610</v>
      </c>
      <c r="B20" s="3766" t="s">
        <v>2631</v>
      </c>
      <c r="C20" s="3103" t="s">
        <v>2442</v>
      </c>
      <c r="D20" s="3104"/>
      <c r="E20" s="3105">
        <v>1</v>
      </c>
      <c r="F20" s="3106" t="s">
        <v>2443</v>
      </c>
      <c r="G20" s="3106"/>
    </row>
    <row r="21" spans="1:13" ht="19.5" customHeight="1">
      <c r="A21" s="3774"/>
      <c r="B21" s="3767"/>
      <c r="C21" s="3107" t="s">
        <v>2444</v>
      </c>
      <c r="D21" s="3108"/>
      <c r="E21" s="3109">
        <v>1</v>
      </c>
      <c r="F21" s="3106" t="s">
        <v>2445</v>
      </c>
      <c r="G21" s="3106"/>
    </row>
    <row r="22" spans="1:13" ht="19.5" customHeight="1">
      <c r="A22" s="3774"/>
      <c r="B22" s="3767"/>
      <c r="C22" s="3107" t="s">
        <v>2446</v>
      </c>
      <c r="D22" s="3108"/>
      <c r="E22" s="3109">
        <v>0.9</v>
      </c>
      <c r="F22" s="3106" t="s">
        <v>2447</v>
      </c>
      <c r="G22" s="3106"/>
    </row>
    <row r="23" spans="1:13" ht="19.5" customHeight="1">
      <c r="A23" s="3774"/>
      <c r="B23" s="3767"/>
      <c r="C23" s="3107" t="s">
        <v>2448</v>
      </c>
      <c r="D23" s="3108"/>
      <c r="E23" s="3109">
        <v>0.9</v>
      </c>
      <c r="F23" s="3106" t="s">
        <v>2449</v>
      </c>
      <c r="G23" s="3106"/>
    </row>
    <row r="24" spans="1:13" ht="19.5" customHeight="1">
      <c r="A24" s="3774"/>
      <c r="B24" s="3767"/>
      <c r="C24" s="3107" t="s">
        <v>2450</v>
      </c>
      <c r="D24" s="3108"/>
      <c r="E24" s="3109">
        <v>0.8</v>
      </c>
      <c r="F24" s="3106" t="s">
        <v>2451</v>
      </c>
      <c r="G24" s="3106"/>
    </row>
    <row r="25" spans="1:13" ht="19.5" customHeight="1" thickBot="1">
      <c r="A25" s="3775"/>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6" t="s">
        <v>2615</v>
      </c>
      <c r="C27" s="3103" t="s">
        <v>2455</v>
      </c>
      <c r="D27" s="3104"/>
      <c r="E27" s="3105">
        <v>1</v>
      </c>
      <c r="F27" s="3106" t="s">
        <v>2456</v>
      </c>
      <c r="G27" s="3106"/>
    </row>
    <row r="28" spans="1:13" ht="19.5" customHeight="1">
      <c r="A28" s="3770"/>
      <c r="B28" s="3767"/>
      <c r="C28" s="3107" t="s">
        <v>2457</v>
      </c>
      <c r="D28" s="3108"/>
      <c r="E28" s="3109">
        <v>1</v>
      </c>
      <c r="F28" s="3106" t="s">
        <v>2458</v>
      </c>
      <c r="G28" s="3106"/>
    </row>
    <row r="29" spans="1:13" ht="19.5" customHeight="1">
      <c r="A29" s="3770"/>
      <c r="B29" s="3767"/>
      <c r="C29" s="3107" t="s">
        <v>2459</v>
      </c>
      <c r="D29" s="3108"/>
      <c r="E29" s="3109">
        <v>0.8</v>
      </c>
      <c r="F29" s="3106" t="s">
        <v>2460</v>
      </c>
      <c r="G29" s="3106"/>
    </row>
    <row r="30" spans="1:13" ht="19.5" customHeight="1">
      <c r="A30" s="3770"/>
      <c r="B30" s="3767"/>
      <c r="C30" s="3107" t="s">
        <v>2461</v>
      </c>
      <c r="D30" s="3108"/>
      <c r="E30" s="3109">
        <v>0.8</v>
      </c>
      <c r="F30" s="3106" t="s">
        <v>2462</v>
      </c>
      <c r="G30" s="3106"/>
    </row>
    <row r="31" spans="1:13" ht="19.5" customHeight="1">
      <c r="A31" s="3770"/>
      <c r="B31" s="3767"/>
      <c r="C31" s="3107" t="s">
        <v>2463</v>
      </c>
      <c r="D31" s="3108"/>
      <c r="E31" s="3109">
        <v>0.8</v>
      </c>
      <c r="F31" s="3106" t="s">
        <v>2464</v>
      </c>
      <c r="G31" s="3106"/>
    </row>
    <row r="32" spans="1:13" ht="19.5" customHeight="1">
      <c r="A32" s="3770"/>
      <c r="B32" s="3767"/>
      <c r="C32" s="3107" t="s">
        <v>2465</v>
      </c>
      <c r="D32" s="3108"/>
      <c r="E32" s="3109">
        <v>0.7</v>
      </c>
      <c r="F32" s="3106" t="s">
        <v>2466</v>
      </c>
      <c r="G32" s="3106"/>
    </row>
    <row r="33" spans="1:7" ht="19.5" customHeight="1">
      <c r="A33" s="3770"/>
      <c r="B33" s="3767"/>
      <c r="C33" s="3107" t="s">
        <v>2467</v>
      </c>
      <c r="D33" s="3108"/>
      <c r="E33" s="3109">
        <v>0.8</v>
      </c>
      <c r="F33" s="3106" t="s">
        <v>2468</v>
      </c>
      <c r="G33" s="3106"/>
    </row>
    <row r="34" spans="1:7" ht="19.5" customHeight="1">
      <c r="A34" s="3770"/>
      <c r="B34" s="3767"/>
      <c r="C34" s="3107" t="s">
        <v>2469</v>
      </c>
      <c r="D34" s="3108"/>
      <c r="E34" s="3109">
        <v>0.6</v>
      </c>
      <c r="F34" s="3106" t="s">
        <v>2470</v>
      </c>
      <c r="G34" s="3106"/>
    </row>
    <row r="35" spans="1:7" ht="19.5" customHeight="1">
      <c r="A35" s="3770"/>
      <c r="B35" s="3767"/>
      <c r="C35" s="3107" t="s">
        <v>2471</v>
      </c>
      <c r="D35" s="3108"/>
      <c r="E35" s="3109">
        <v>0.2</v>
      </c>
      <c r="F35" s="3106" t="s">
        <v>2472</v>
      </c>
      <c r="G35" s="3106"/>
    </row>
    <row r="36" spans="1:7" ht="19.5" customHeight="1">
      <c r="A36" s="3770"/>
      <c r="B36" s="3767"/>
      <c r="C36" s="3107" t="s">
        <v>2473</v>
      </c>
      <c r="D36" s="3108"/>
      <c r="E36" s="3109">
        <v>0.2</v>
      </c>
      <c r="F36" s="3106" t="s">
        <v>2474</v>
      </c>
      <c r="G36" s="3106"/>
    </row>
    <row r="37" spans="1:7" ht="19.5" customHeight="1">
      <c r="A37" s="3770"/>
      <c r="B37" s="3772" t="s">
        <v>2635</v>
      </c>
      <c r="C37" s="3107" t="s">
        <v>2475</v>
      </c>
      <c r="D37" s="3108"/>
      <c r="E37" s="3109">
        <v>0.6</v>
      </c>
      <c r="F37" s="3106" t="s">
        <v>2476</v>
      </c>
      <c r="G37" s="3106"/>
    </row>
    <row r="38" spans="1:7" ht="19.5" customHeight="1">
      <c r="A38" s="3770"/>
      <c r="B38" s="3767"/>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3" t="s">
        <v>2613</v>
      </c>
      <c r="B41" s="3766" t="s">
        <v>2637</v>
      </c>
      <c r="C41" s="3103" t="s">
        <v>2482</v>
      </c>
      <c r="D41" s="3104"/>
      <c r="E41" s="3105">
        <v>1</v>
      </c>
      <c r="F41" s="3106" t="s">
        <v>2483</v>
      </c>
      <c r="G41" s="3106"/>
    </row>
    <row r="42" spans="1:7" ht="19.5" customHeight="1">
      <c r="A42" s="3774"/>
      <c r="B42" s="3767"/>
      <c r="C42" s="3107" t="s">
        <v>2484</v>
      </c>
      <c r="D42" s="3108"/>
      <c r="E42" s="3109">
        <v>1</v>
      </c>
      <c r="F42" s="3106" t="s">
        <v>2485</v>
      </c>
      <c r="G42" s="3106"/>
    </row>
    <row r="43" spans="1:7" ht="19.5" customHeight="1">
      <c r="A43" s="3774"/>
      <c r="B43" s="3776"/>
      <c r="C43" s="3107" t="s">
        <v>2486</v>
      </c>
      <c r="D43" s="3108"/>
      <c r="E43" s="3109">
        <v>1.5</v>
      </c>
      <c r="F43" s="3106" t="s">
        <v>2487</v>
      </c>
      <c r="G43" s="3106"/>
    </row>
    <row r="44" spans="1:7" ht="19.5" customHeight="1">
      <c r="A44" s="3774"/>
      <c r="B44" s="3118" t="s">
        <v>2638</v>
      </c>
      <c r="C44" s="3107" t="s">
        <v>2639</v>
      </c>
      <c r="D44" s="3108"/>
      <c r="E44" s="3109">
        <v>2</v>
      </c>
      <c r="F44" s="3106" t="s">
        <v>2488</v>
      </c>
      <c r="G44" s="3106"/>
    </row>
    <row r="45" spans="1:7" ht="19.5" customHeight="1">
      <c r="A45" s="3774"/>
      <c r="B45" s="3772" t="s">
        <v>2640</v>
      </c>
      <c r="C45" s="3107" t="s">
        <v>2489</v>
      </c>
      <c r="D45" s="3108"/>
      <c r="E45" s="3109">
        <v>1</v>
      </c>
      <c r="F45" s="3106" t="s">
        <v>2490</v>
      </c>
      <c r="G45" s="3106"/>
    </row>
    <row r="46" spans="1:7" ht="19.5" customHeight="1">
      <c r="A46" s="3774"/>
      <c r="B46" s="3767"/>
      <c r="C46" s="3107" t="s">
        <v>2491</v>
      </c>
      <c r="D46" s="3108"/>
      <c r="E46" s="3109">
        <v>1</v>
      </c>
      <c r="F46" s="3106" t="s">
        <v>2492</v>
      </c>
      <c r="G46" s="3106"/>
    </row>
    <row r="47" spans="1:7" ht="19.5" customHeight="1">
      <c r="A47" s="3774"/>
      <c r="B47" s="3767"/>
      <c r="C47" s="3107" t="s">
        <v>2493</v>
      </c>
      <c r="D47" s="3108"/>
      <c r="E47" s="3109">
        <v>1</v>
      </c>
      <c r="F47" s="3106" t="s">
        <v>2494</v>
      </c>
      <c r="G47" s="3106"/>
    </row>
    <row r="48" spans="1:7" ht="19.5" customHeight="1">
      <c r="A48" s="3774"/>
      <c r="B48" s="3767"/>
      <c r="C48" s="3107" t="s">
        <v>2495</v>
      </c>
      <c r="D48" s="3108"/>
      <c r="E48" s="3109">
        <v>1</v>
      </c>
      <c r="F48" s="3106" t="s">
        <v>2496</v>
      </c>
      <c r="G48" s="3106"/>
    </row>
    <row r="49" spans="1:7" ht="19.5" customHeight="1">
      <c r="A49" s="3774"/>
      <c r="B49" s="3767"/>
      <c r="C49" s="3107" t="s">
        <v>2497</v>
      </c>
      <c r="D49" s="3108"/>
      <c r="E49" s="3109">
        <v>1</v>
      </c>
      <c r="F49" s="3106" t="s">
        <v>2498</v>
      </c>
      <c r="G49" s="3106"/>
    </row>
    <row r="50" spans="1:7" ht="19.5" customHeight="1">
      <c r="A50" s="3774"/>
      <c r="B50" s="3767"/>
      <c r="C50" s="3107" t="s">
        <v>2499</v>
      </c>
      <c r="D50" s="3108"/>
      <c r="E50" s="3109">
        <v>1</v>
      </c>
      <c r="F50" s="3106" t="s">
        <v>2500</v>
      </c>
      <c r="G50" s="3106"/>
    </row>
    <row r="51" spans="1:7" ht="19.5" customHeight="1" thickBot="1">
      <c r="A51" s="3775"/>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67"/>
      <c r="C74" s="3092" t="s">
        <v>2657</v>
      </c>
      <c r="D74" s="3092" t="s">
        <v>2658</v>
      </c>
      <c r="E74" s="3118">
        <v>0.2</v>
      </c>
      <c r="F74" s="3118">
        <v>25</v>
      </c>
    </row>
    <row r="75" spans="1:7" ht="24">
      <c r="A75" s="3118">
        <v>3</v>
      </c>
      <c r="B75" s="3767"/>
      <c r="C75" s="3092" t="s">
        <v>2659</v>
      </c>
      <c r="D75" s="3092" t="s">
        <v>2660</v>
      </c>
      <c r="E75" s="3118">
        <v>0.2</v>
      </c>
      <c r="F75" s="3118">
        <v>25</v>
      </c>
    </row>
    <row r="76" spans="1:7" ht="13.5">
      <c r="A76" s="3118">
        <v>4</v>
      </c>
      <c r="B76" s="3767"/>
      <c r="C76" s="3092" t="s">
        <v>2661</v>
      </c>
      <c r="D76" s="3092" t="s">
        <v>2662</v>
      </c>
      <c r="E76" s="3118">
        <v>0.15</v>
      </c>
      <c r="F76" s="3118">
        <v>20</v>
      </c>
    </row>
    <row r="77" spans="1:7" ht="24">
      <c r="A77" s="3118">
        <v>5</v>
      </c>
      <c r="B77" s="3767"/>
      <c r="C77" s="3092" t="s">
        <v>2663</v>
      </c>
      <c r="D77" s="3092" t="s">
        <v>2664</v>
      </c>
      <c r="E77" s="3118">
        <v>0.15</v>
      </c>
      <c r="F77" s="3118">
        <v>20</v>
      </c>
    </row>
    <row r="78" spans="1:7" ht="24">
      <c r="A78" s="3118">
        <v>6</v>
      </c>
      <c r="B78" s="3767"/>
      <c r="C78" s="3092" t="s">
        <v>2665</v>
      </c>
      <c r="D78" s="3092" t="s">
        <v>2666</v>
      </c>
      <c r="E78" s="3118">
        <v>0.15</v>
      </c>
      <c r="F78" s="3118">
        <v>20</v>
      </c>
    </row>
    <row r="79" spans="1:7" ht="24">
      <c r="A79" s="3118">
        <v>7</v>
      </c>
      <c r="B79" s="3767"/>
      <c r="C79" s="3092" t="s">
        <v>2667</v>
      </c>
      <c r="D79" s="3092" t="s">
        <v>2668</v>
      </c>
      <c r="E79" s="3118">
        <v>0.15</v>
      </c>
      <c r="F79" s="3118">
        <v>20</v>
      </c>
    </row>
    <row r="80" spans="1:7" ht="24">
      <c r="A80" s="3118">
        <v>8</v>
      </c>
      <c r="B80" s="3767"/>
      <c r="C80" s="3092" t="s">
        <v>2669</v>
      </c>
      <c r="D80" s="3092" t="s">
        <v>2670</v>
      </c>
      <c r="E80" s="3118">
        <v>0.1</v>
      </c>
      <c r="F80" s="3118">
        <v>15</v>
      </c>
    </row>
    <row r="81" spans="1:6" ht="24">
      <c r="A81" s="3118">
        <v>9</v>
      </c>
      <c r="B81" s="3767"/>
      <c r="C81" s="3092" t="s">
        <v>2671</v>
      </c>
      <c r="D81" s="3092" t="s">
        <v>2672</v>
      </c>
      <c r="E81" s="3118">
        <v>0.1</v>
      </c>
      <c r="F81" s="3118">
        <v>15</v>
      </c>
    </row>
    <row r="82" spans="1:6" ht="24">
      <c r="A82" s="3118">
        <v>10</v>
      </c>
      <c r="B82" s="3767"/>
      <c r="C82" s="3092" t="s">
        <v>2673</v>
      </c>
      <c r="D82" s="3092" t="s">
        <v>2674</v>
      </c>
      <c r="E82" s="3118">
        <v>0.1</v>
      </c>
      <c r="F82" s="3118">
        <v>15</v>
      </c>
    </row>
    <row r="83" spans="1:6" ht="24">
      <c r="A83" s="3118">
        <v>11</v>
      </c>
      <c r="B83" s="3767"/>
      <c r="C83" s="3092" t="s">
        <v>2675</v>
      </c>
      <c r="D83" s="3092" t="s">
        <v>2676</v>
      </c>
      <c r="E83" s="3118">
        <v>0.1</v>
      </c>
      <c r="F83" s="3118">
        <v>15</v>
      </c>
    </row>
    <row r="84" spans="1:6" ht="24">
      <c r="A84" s="3118">
        <v>12</v>
      </c>
      <c r="B84" s="3767"/>
      <c r="C84" s="3092" t="s">
        <v>2677</v>
      </c>
      <c r="D84" s="3092" t="s">
        <v>2678</v>
      </c>
      <c r="E84" s="3118">
        <v>0.1</v>
      </c>
      <c r="F84" s="3118">
        <v>15</v>
      </c>
    </row>
    <row r="85" spans="1:6" ht="13.5">
      <c r="A85" s="3118">
        <v>13</v>
      </c>
      <c r="B85" s="3767"/>
      <c r="C85" s="3092" t="s">
        <v>2679</v>
      </c>
      <c r="D85" s="3092" t="s">
        <v>2680</v>
      </c>
      <c r="E85" s="3118">
        <v>0.1</v>
      </c>
      <c r="F85" s="3118">
        <v>15</v>
      </c>
    </row>
    <row r="86" spans="1:6" ht="13.5">
      <c r="A86" s="3118">
        <v>14</v>
      </c>
      <c r="B86" s="3767"/>
      <c r="C86" s="3092" t="s">
        <v>2681</v>
      </c>
      <c r="D86" s="3092" t="s">
        <v>2682</v>
      </c>
      <c r="E86" s="3118">
        <v>0.1</v>
      </c>
      <c r="F86" s="3118">
        <v>15</v>
      </c>
    </row>
    <row r="87" spans="1:6" ht="13.5">
      <c r="A87" s="3118">
        <v>15</v>
      </c>
      <c r="B87" s="3767"/>
      <c r="C87" s="3092" t="s">
        <v>2683</v>
      </c>
      <c r="D87" s="3092" t="s">
        <v>2684</v>
      </c>
      <c r="E87" s="3118">
        <v>0.1</v>
      </c>
      <c r="F87" s="3118">
        <v>15</v>
      </c>
    </row>
    <row r="88" spans="1:6" ht="24">
      <c r="A88" s="3118">
        <v>16</v>
      </c>
      <c r="B88" s="376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67"/>
      <c r="C91" s="3092" t="s">
        <v>2692</v>
      </c>
      <c r="D91" s="3092" t="s">
        <v>2693</v>
      </c>
      <c r="E91" s="3118">
        <v>0.2</v>
      </c>
      <c r="F91" s="3118">
        <v>25</v>
      </c>
    </row>
    <row r="92" spans="1:6" ht="13.5">
      <c r="A92" s="3118">
        <v>20</v>
      </c>
      <c r="B92" s="3767"/>
      <c r="C92" s="3092" t="s">
        <v>2694</v>
      </c>
      <c r="D92" s="3092" t="s">
        <v>2695</v>
      </c>
      <c r="E92" s="3118">
        <v>0.15</v>
      </c>
      <c r="F92" s="3118">
        <v>20</v>
      </c>
    </row>
    <row r="93" spans="1:6" ht="13.5">
      <c r="A93" s="3118">
        <v>21</v>
      </c>
      <c r="B93" s="3767"/>
      <c r="C93" s="3092" t="s">
        <v>2696</v>
      </c>
      <c r="D93" s="3092" t="s">
        <v>2697</v>
      </c>
      <c r="E93" s="3118">
        <v>0.15</v>
      </c>
      <c r="F93" s="3118">
        <v>20</v>
      </c>
    </row>
    <row r="94" spans="1:6" ht="13.5">
      <c r="A94" s="3118">
        <v>22</v>
      </c>
      <c r="B94" s="3767"/>
      <c r="C94" s="3092" t="s">
        <v>2698</v>
      </c>
      <c r="D94" s="3092" t="s">
        <v>2699</v>
      </c>
      <c r="E94" s="3118">
        <v>0.15</v>
      </c>
      <c r="F94" s="3118">
        <v>20</v>
      </c>
    </row>
    <row r="95" spans="1:6" ht="36">
      <c r="A95" s="3118">
        <v>23</v>
      </c>
      <c r="B95" s="3767"/>
      <c r="C95" s="3092" t="s">
        <v>2700</v>
      </c>
      <c r="D95" s="3092" t="s">
        <v>2701</v>
      </c>
      <c r="E95" s="3118">
        <v>0.15</v>
      </c>
      <c r="F95" s="3118">
        <v>20</v>
      </c>
    </row>
    <row r="96" spans="1:6" ht="13.5">
      <c r="A96" s="3118">
        <v>24</v>
      </c>
      <c r="B96" s="3767"/>
      <c r="C96" s="3092" t="s">
        <v>2702</v>
      </c>
      <c r="D96" s="3092" t="s">
        <v>2703</v>
      </c>
      <c r="E96" s="3118">
        <v>0.1</v>
      </c>
      <c r="F96" s="3118">
        <v>15</v>
      </c>
    </row>
    <row r="97" spans="1:6" ht="13.5">
      <c r="A97" s="3118">
        <v>25</v>
      </c>
      <c r="B97" s="3767"/>
      <c r="C97" s="3092" t="s">
        <v>2704</v>
      </c>
      <c r="D97" s="3092" t="s">
        <v>2705</v>
      </c>
      <c r="E97" s="3118">
        <v>0.1</v>
      </c>
      <c r="F97" s="3118">
        <v>15</v>
      </c>
    </row>
    <row r="98" spans="1:6" ht="24">
      <c r="A98" s="3118">
        <v>26</v>
      </c>
      <c r="B98" s="3767"/>
      <c r="C98" s="3092" t="s">
        <v>2706</v>
      </c>
      <c r="D98" s="3092" t="s">
        <v>2707</v>
      </c>
      <c r="E98" s="3118">
        <v>0.1</v>
      </c>
      <c r="F98" s="3118">
        <v>15</v>
      </c>
    </row>
    <row r="99" spans="1:6" ht="24">
      <c r="A99" s="3118">
        <v>27</v>
      </c>
      <c r="B99" s="3767"/>
      <c r="C99" s="3092" t="s">
        <v>2708</v>
      </c>
      <c r="D99" s="3092" t="s">
        <v>2709</v>
      </c>
      <c r="E99" s="3118">
        <v>0.1</v>
      </c>
      <c r="F99" s="3118">
        <v>15</v>
      </c>
    </row>
    <row r="100" spans="1:6" ht="13.5">
      <c r="A100" s="3118">
        <v>28</v>
      </c>
      <c r="B100" s="3767"/>
      <c r="C100" s="3092" t="s">
        <v>2710</v>
      </c>
      <c r="D100" s="3092" t="s">
        <v>2711</v>
      </c>
      <c r="E100" s="3118">
        <v>0.1</v>
      </c>
      <c r="F100" s="3118">
        <v>15</v>
      </c>
    </row>
    <row r="101" spans="1:6" ht="13.5">
      <c r="A101" s="3118">
        <v>29</v>
      </c>
      <c r="B101" s="3767"/>
      <c r="C101" s="3092" t="s">
        <v>2712</v>
      </c>
      <c r="D101" s="3092" t="s">
        <v>2713</v>
      </c>
      <c r="E101" s="3118">
        <v>0.1</v>
      </c>
      <c r="F101" s="3118">
        <v>15</v>
      </c>
    </row>
    <row r="102" spans="1:6" ht="13.5">
      <c r="A102" s="3118">
        <v>30</v>
      </c>
      <c r="B102" s="3767"/>
      <c r="C102" s="3092" t="s">
        <v>2714</v>
      </c>
      <c r="D102" s="3092" t="s">
        <v>2715</v>
      </c>
      <c r="E102" s="3118">
        <v>0.1</v>
      </c>
      <c r="F102" s="3118">
        <v>15</v>
      </c>
    </row>
    <row r="103" spans="1:6" ht="24">
      <c r="A103" s="3118">
        <v>31</v>
      </c>
      <c r="B103" s="3767"/>
      <c r="C103" s="3092" t="s">
        <v>2716</v>
      </c>
      <c r="D103" s="3092" t="s">
        <v>2717</v>
      </c>
      <c r="E103" s="3118">
        <v>0.1</v>
      </c>
      <c r="F103" s="3118">
        <v>15</v>
      </c>
    </row>
    <row r="104" spans="1:6" ht="24">
      <c r="A104" s="3118">
        <v>32</v>
      </c>
      <c r="B104" s="3767"/>
      <c r="C104" s="3092" t="s">
        <v>2718</v>
      </c>
      <c r="D104" s="3092" t="s">
        <v>2719</v>
      </c>
      <c r="E104" s="3118">
        <v>0.1</v>
      </c>
      <c r="F104" s="3118">
        <v>15</v>
      </c>
    </row>
    <row r="105" spans="1:6" ht="24">
      <c r="A105" s="3118">
        <v>33</v>
      </c>
      <c r="B105" s="376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67"/>
      <c r="C108" s="3118" t="s">
        <v>2727</v>
      </c>
      <c r="D108" s="3092" t="s">
        <v>2728</v>
      </c>
      <c r="E108" s="3118">
        <v>0.15</v>
      </c>
      <c r="F108" s="3118">
        <v>20</v>
      </c>
    </row>
    <row r="109" spans="1:6" ht="13.5">
      <c r="A109" s="3118">
        <v>37</v>
      </c>
      <c r="B109" s="3767"/>
      <c r="C109" s="3118" t="s">
        <v>2729</v>
      </c>
      <c r="D109" s="3092" t="s">
        <v>2730</v>
      </c>
      <c r="E109" s="3118">
        <v>0.15</v>
      </c>
      <c r="F109" s="3118">
        <v>20</v>
      </c>
    </row>
    <row r="110" spans="1:6" ht="13.5">
      <c r="A110" s="3118">
        <v>38</v>
      </c>
      <c r="B110" s="3767"/>
      <c r="C110" s="3118" t="s">
        <v>2731</v>
      </c>
      <c r="D110" s="3092" t="s">
        <v>2732</v>
      </c>
      <c r="E110" s="3118">
        <v>0.1</v>
      </c>
      <c r="F110" s="3118">
        <v>15</v>
      </c>
    </row>
    <row r="111" spans="1:6" ht="24">
      <c r="A111" s="3118">
        <v>39</v>
      </c>
      <c r="B111" s="376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7" t="s">
        <v>2737</v>
      </c>
      <c r="C113" s="3118" t="s">
        <v>2738</v>
      </c>
      <c r="D113" s="3092" t="s">
        <v>2739</v>
      </c>
      <c r="E113" s="3118">
        <v>0.1</v>
      </c>
      <c r="F113" s="3118">
        <v>15</v>
      </c>
    </row>
    <row r="114" spans="1:6" ht="13.5">
      <c r="A114" s="3118">
        <v>42</v>
      </c>
      <c r="B114" s="3777"/>
      <c r="C114" s="3118" t="s">
        <v>2740</v>
      </c>
      <c r="D114" s="3092" t="s">
        <v>2741</v>
      </c>
      <c r="E114" s="3118">
        <v>0.1</v>
      </c>
      <c r="F114" s="3118">
        <v>15</v>
      </c>
    </row>
    <row r="115" spans="1:6" ht="24">
      <c r="A115" s="3118">
        <v>43</v>
      </c>
      <c r="B115" s="3777"/>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7" t="s">
        <v>2759</v>
      </c>
      <c r="C122" s="3118" t="s">
        <v>2760</v>
      </c>
      <c r="D122" s="3092" t="s">
        <v>2761</v>
      </c>
      <c r="E122" s="3118">
        <v>0.1</v>
      </c>
      <c r="F122" s="3118">
        <v>15</v>
      </c>
    </row>
    <row r="123" spans="1:6" ht="24">
      <c r="A123" s="3118">
        <v>51</v>
      </c>
      <c r="B123" s="3777"/>
      <c r="C123" s="3118" t="s">
        <v>2762</v>
      </c>
      <c r="D123" s="3092" t="s">
        <v>2763</v>
      </c>
      <c r="E123" s="3118">
        <v>0.1</v>
      </c>
      <c r="F123" s="3118">
        <v>15</v>
      </c>
    </row>
    <row r="124" spans="1:6" ht="24">
      <c r="A124" s="3118">
        <v>52</v>
      </c>
      <c r="B124" s="3777" t="s">
        <v>2764</v>
      </c>
      <c r="C124" s="3118" t="s">
        <v>2765</v>
      </c>
      <c r="D124" s="3092" t="s">
        <v>2766</v>
      </c>
      <c r="E124" s="3118">
        <v>0.1</v>
      </c>
      <c r="F124" s="3118">
        <v>15</v>
      </c>
    </row>
    <row r="125" spans="1:6" ht="24">
      <c r="A125" s="3118">
        <v>53</v>
      </c>
      <c r="B125" s="37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7" t="s">
        <v>2772</v>
      </c>
      <c r="C127" s="3118" t="s">
        <v>2773</v>
      </c>
      <c r="D127" s="3092" t="s">
        <v>2774</v>
      </c>
      <c r="E127" s="3118">
        <v>0.1</v>
      </c>
      <c r="F127" s="3118">
        <v>15</v>
      </c>
    </row>
    <row r="128" spans="1:6" ht="13.5">
      <c r="A128" s="3118">
        <v>56</v>
      </c>
      <c r="B128" s="3777"/>
      <c r="C128" s="3118" t="s">
        <v>2775</v>
      </c>
      <c r="D128" s="3092" t="s">
        <v>2776</v>
      </c>
      <c r="E128" s="3118">
        <v>0.1</v>
      </c>
      <c r="F128" s="3118">
        <v>15</v>
      </c>
    </row>
    <row r="129" spans="1:6" ht="24">
      <c r="A129" s="3118">
        <v>57</v>
      </c>
      <c r="B129" s="3777"/>
      <c r="C129" s="3118" t="s">
        <v>2777</v>
      </c>
      <c r="D129" s="3092" t="s">
        <v>2778</v>
      </c>
      <c r="E129" s="3118">
        <v>0.1</v>
      </c>
      <c r="F129" s="3118">
        <v>15</v>
      </c>
    </row>
    <row r="130" spans="1:6" ht="24">
      <c r="A130" s="3118">
        <v>58</v>
      </c>
      <c r="B130" s="3777" t="s">
        <v>2779</v>
      </c>
      <c r="C130" s="3118" t="s">
        <v>2780</v>
      </c>
      <c r="D130" s="3092" t="s">
        <v>2781</v>
      </c>
      <c r="E130" s="3118">
        <v>0.1</v>
      </c>
      <c r="F130" s="3118">
        <v>15</v>
      </c>
    </row>
    <row r="131" spans="1:6" ht="13.5">
      <c r="A131" s="3118">
        <v>59</v>
      </c>
      <c r="B131" s="3777"/>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7" t="s">
        <v>2792</v>
      </c>
      <c r="C135" s="3118" t="s">
        <v>2793</v>
      </c>
      <c r="D135" s="3092" t="s">
        <v>2794</v>
      </c>
      <c r="E135" s="3118">
        <v>0.1</v>
      </c>
      <c r="F135" s="3118">
        <v>15</v>
      </c>
    </row>
    <row r="136" spans="1:6" ht="13.5">
      <c r="A136" s="3118">
        <v>64</v>
      </c>
      <c r="B136" s="37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1.0912999999999999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1.0336000000000001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29426</v>
      </c>
      <c r="C2" s="2" t="s">
        <v>106</v>
      </c>
      <c r="D2" s="199"/>
      <c r="E2" s="199"/>
      <c r="F2" s="199"/>
      <c r="G2" s="199"/>
    </row>
    <row r="3" spans="1:7" s="200" customFormat="1" ht="18" customHeight="1" thickBot="1">
      <c r="A3" s="203" t="s">
        <v>58</v>
      </c>
      <c r="B3" s="204">
        <f ca="1">ROUND(B2*10000/'数据-汇总表'!E3,0)</f>
        <v>936388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v>
      </c>
      <c r="D10" s="845">
        <f>'数据-汇总表'!E6</f>
        <v>314.25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314.25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314.25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8.0000000000000004E-4</v>
      </c>
      <c r="D44" s="238"/>
      <c r="E44" s="238"/>
      <c r="F44" s="239"/>
      <c r="G44" s="3642"/>
    </row>
    <row r="45" spans="1:7" s="214" customFormat="1" ht="13.5" customHeight="1">
      <c r="A45" s="777" t="s">
        <v>341</v>
      </c>
      <c r="B45" s="244" t="s">
        <v>85</v>
      </c>
      <c r="C45" s="245">
        <f>C46</f>
        <v>27</v>
      </c>
      <c r="D45" s="235">
        <f>C47</f>
        <v>4.0000000000000001E-3</v>
      </c>
      <c r="E45" s="236" t="s">
        <v>102</v>
      </c>
      <c r="F45" s="246"/>
      <c r="G45" s="247" t="s">
        <v>434</v>
      </c>
    </row>
    <row r="46" spans="1:7" s="214" customFormat="1" ht="13.5" customHeight="1">
      <c r="A46" s="780" t="s">
        <v>349</v>
      </c>
      <c r="B46" s="248" t="s">
        <v>427</v>
      </c>
      <c r="C46" s="249">
        <f>ROUND((C33+C39)*F27,0)</f>
        <v>27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140</v>
      </c>
      <c r="D51" s="232"/>
      <c r="E51" s="232"/>
      <c r="F51" s="264"/>
      <c r="G51" s="234" t="s">
        <v>37</v>
      </c>
    </row>
    <row r="52" spans="1:7" s="208" customFormat="1" ht="16.5" thickBot="1">
      <c r="A52" s="265" t="s">
        <v>38</v>
      </c>
      <c r="B52" s="266"/>
      <c r="C52" s="267">
        <f ca="1">C31+C51</f>
        <v>29426</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991</v>
      </c>
      <c r="E5" s="1491"/>
    </row>
    <row r="6" spans="1:5" ht="15.75">
      <c r="A6" s="1491"/>
      <c r="B6" s="3459"/>
      <c r="C6" s="1494" t="s">
        <v>911</v>
      </c>
      <c r="D6" s="850" t="str">
        <f ca="1">NUMBERSTRING(INT(D5*10000),2)&amp;"元整"</f>
        <v>玖佰玖拾壹万元整</v>
      </c>
      <c r="E6" s="1491"/>
    </row>
    <row r="7" spans="1:5" ht="15.75">
      <c r="A7" s="1491"/>
      <c r="B7" s="3464"/>
      <c r="C7" s="1495" t="s">
        <v>912</v>
      </c>
      <c r="D7" s="851">
        <f ca="1">结果表!H102</f>
        <v>31535</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991</v>
      </c>
      <c r="E13" s="1491"/>
    </row>
    <row r="14" spans="1:5" ht="15.75">
      <c r="A14" s="1491"/>
      <c r="B14" s="3459"/>
      <c r="C14" s="1494" t="s">
        <v>911</v>
      </c>
      <c r="D14" s="850" t="str">
        <f ca="1">NUMBERSTRING(INT(D13*10000),2)&amp;"元整"</f>
        <v>玖佰玖拾壹万元整</v>
      </c>
      <c r="E14" s="1491"/>
    </row>
    <row r="15" spans="1:5" ht="15">
      <c r="A15" s="1491"/>
      <c r="B15" s="3464"/>
      <c r="C15" s="1495" t="s">
        <v>921</v>
      </c>
      <c r="D15" s="859">
        <f ca="1">结果表!H108</f>
        <v>31535</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2844</v>
      </c>
      <c r="B1" s="3780"/>
      <c r="C1" s="3780"/>
      <c r="D1" s="3780"/>
      <c r="E1" s="3780"/>
      <c r="F1" s="3780"/>
      <c r="G1" s="3781"/>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8"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9"/>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3186</v>
      </c>
      <c r="B1" s="3782"/>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3237</v>
      </c>
      <c r="B1" s="3783"/>
      <c r="C1" s="3783"/>
      <c r="D1" s="3783"/>
      <c r="E1" s="3783"/>
      <c r="F1" s="3784"/>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C22" sqref="C22:Q22"/>
    </sheetView>
  </sheetViews>
  <sheetFormatPr defaultRowHeight="13.5"/>
  <cols>
    <col min="1" max="1" width="13.875" customWidth="1"/>
    <col min="11" max="17" width="0" hidden="1" customWidth="1"/>
    <col min="25" max="30" width="0" hidden="1" customWidth="1"/>
  </cols>
  <sheetData>
    <row r="1" spans="1:30">
      <c r="A1" s="3221">
        <f>基准地价修正!G23</f>
        <v>45091</v>
      </c>
      <c r="B1" s="3210" t="s">
        <v>2843</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5" t="s">
        <v>2831</v>
      </c>
      <c r="S21" s="3786"/>
      <c r="T21" s="3786"/>
      <c r="U21" s="3786"/>
      <c r="V21" s="3786"/>
      <c r="W21" s="3786"/>
      <c r="X21" s="3165"/>
      <c r="Y21" s="3785" t="s">
        <v>2832</v>
      </c>
      <c r="Z21" s="3786"/>
      <c r="AA21" s="3786"/>
      <c r="AB21" s="3786"/>
      <c r="AC21" s="3786"/>
      <c r="AD21" s="3786"/>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4" sqref="K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314.25</v>
      </c>
      <c r="C4" s="854">
        <f>项目基本情况!C18</f>
        <v>0</v>
      </c>
      <c r="D4" s="854">
        <f>结果表!D118</f>
        <v>0</v>
      </c>
      <c r="E4" s="854">
        <f>结果表!E118</f>
        <v>0</v>
      </c>
      <c r="F4" s="854">
        <f>结果表!F118</f>
        <v>0</v>
      </c>
      <c r="G4" s="854">
        <f>结果表!G118</f>
        <v>0</v>
      </c>
      <c r="H4" s="854">
        <f ca="1">结果表!H118</f>
        <v>991</v>
      </c>
      <c r="I4" s="854">
        <f ca="1">结果表!I118</f>
        <v>31535</v>
      </c>
    </row>
    <row r="5" spans="1:9" ht="30" customHeight="1">
      <c r="A5" s="3470" t="s">
        <v>927</v>
      </c>
      <c r="B5" s="3470"/>
      <c r="C5" s="3470"/>
      <c r="D5" s="3470" t="str">
        <f>结果表!D119</f>
        <v>零元整</v>
      </c>
      <c r="E5" s="3470"/>
      <c r="F5" s="3470" t="str">
        <f>结果表!F119</f>
        <v>零元整</v>
      </c>
      <c r="G5" s="3470"/>
      <c r="H5" s="3470" t="str">
        <f ca="1">结果表!H119</f>
        <v>玖佰玖拾壹万元整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991</v>
      </c>
      <c r="E8" s="3471"/>
      <c r="F8" s="3471"/>
      <c r="G8" s="3471"/>
      <c r="H8" s="3471"/>
      <c r="I8" s="3471"/>
    </row>
    <row r="9" spans="1:9" ht="15">
      <c r="A9" s="3470" t="s">
        <v>927</v>
      </c>
      <c r="B9" s="3470"/>
      <c r="C9" s="3470"/>
      <c r="D9" s="3470" t="str">
        <f ca="1">结果表!D123</f>
        <v>玖佰玖拾壹万元整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2023-06-26T07:19:27Z</dcterms:modified>
</cp:coreProperties>
</file>