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G:\高鹏\项目\司法-北京市昌平区东小口镇天通苑小区东苑二区31号楼13层4号住宅用房房地产市场价值评估\测算\"/>
    </mc:Choice>
  </mc:AlternateContent>
  <xr:revisionPtr revIDLastSave="0" documentId="13_ncr:1_{C93F22CF-D375-4BD1-A75E-10F0B4893AD9}" xr6:coauthVersionLast="47" xr6:coauthVersionMax="47" xr10:uidLastSave="{00000000-0000-0000-0000-000000000000}"/>
  <bookViews>
    <workbookView xWindow="-120" yWindow="-120" windowWidth="38640" windowHeight="21240" tabRatio="899" firstSheet="8"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存贷款利率" sheetId="73" r:id="rId35"/>
    <sheet name="案例" sheetId="81" r:id="rId36"/>
    <sheet name="成本法 (元)" sheetId="69"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22" i="1" l="1"/>
  <c r="B27" i="9"/>
  <c r="I46" i="81" l="1"/>
  <c r="I32" i="81"/>
  <c r="I44" i="81"/>
  <c r="I43" i="81"/>
  <c r="I42" i="81"/>
  <c r="I41" i="81"/>
  <c r="H45" i="21"/>
  <c r="E127" i="21"/>
  <c r="F45" i="21" s="1"/>
  <c r="J45" i="21" s="1"/>
  <c r="D127" i="21"/>
  <c r="I104" i="21"/>
  <c r="G104" i="21"/>
  <c r="F104" i="21" s="1"/>
  <c r="E104" i="21" s="1"/>
  <c r="J27" i="21"/>
  <c r="H27" i="21"/>
  <c r="D91" i="21"/>
  <c r="E91" i="21" s="1"/>
  <c r="F91" i="21" s="1"/>
  <c r="F27" i="21"/>
  <c r="D104" i="21" l="1"/>
  <c r="H33" i="21"/>
  <c r="E59" i="21"/>
  <c r="F59" i="21" s="1"/>
  <c r="G59" i="21" s="1"/>
  <c r="D59" i="21"/>
  <c r="C104" i="21" l="1"/>
  <c r="F33" i="21"/>
  <c r="J33" i="21" s="1"/>
  <c r="H59" i="21"/>
  <c r="I59" i="21"/>
  <c r="J59" i="21" s="1"/>
  <c r="K59" i="21" s="1"/>
  <c r="L59" i="21" s="1"/>
  <c r="B21" i="1"/>
  <c r="J12" i="67" l="1"/>
  <c r="E129" i="21" l="1"/>
  <c r="F129" i="21"/>
  <c r="G129" i="21" s="1"/>
  <c r="D129" i="21"/>
  <c r="E15" i="21"/>
  <c r="I38" i="81"/>
  <c r="I39" i="81"/>
  <c r="I33" i="81"/>
  <c r="I34" i="81"/>
  <c r="I35" i="81"/>
  <c r="I36" i="81"/>
  <c r="I37" i="81"/>
  <c r="I40" i="81"/>
  <c r="I31" i="81"/>
  <c r="M20" i="1"/>
  <c r="M21" i="1" s="1"/>
  <c r="D3" i="4"/>
  <c r="Y20" i="1"/>
  <c r="J46" i="81" l="1"/>
  <c r="I5" i="21" l="1"/>
  <c r="G5" i="21"/>
  <c r="D66" i="21" l="1"/>
  <c r="B65" i="21"/>
  <c r="I37" i="21"/>
  <c r="G37" i="21"/>
  <c r="E37" i="21"/>
  <c r="J37" i="21" l="1"/>
  <c r="I33" i="21"/>
  <c r="G33" i="21"/>
  <c r="E33" i="21"/>
  <c r="E5" i="21"/>
  <c r="M59" i="21" l="1"/>
  <c r="G16" i="73"/>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D68" i="71"/>
  <c r="C68" i="71"/>
  <c r="O68" i="71" s="1"/>
  <c r="B68" i="71"/>
  <c r="E67" i="71"/>
  <c r="E66" i="71" s="1"/>
  <c r="P66" i="71" s="1"/>
  <c r="C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Y36" i="71" s="1"/>
  <c r="Z36" i="71" s="1"/>
  <c r="N36" i="71"/>
  <c r="AH35" i="71"/>
  <c r="AG35" i="71"/>
  <c r="AE35" i="71"/>
  <c r="AF35" i="71" s="1"/>
  <c r="AD35" i="71"/>
  <c r="Q35" i="71"/>
  <c r="P35" i="71"/>
  <c r="O35" i="71"/>
  <c r="Y35" i="71" s="1"/>
  <c r="Z35" i="71" s="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F27" i="71" s="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E23" i="71"/>
  <c r="AF23" i="71" s="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Z5" i="71"/>
  <c r="Y5" i="7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S13" i="79" s="1"/>
  <c r="K13" i="79"/>
  <c r="I13" i="79"/>
  <c r="AC12" i="79"/>
  <c r="AB12" i="79"/>
  <c r="AA12" i="79"/>
  <c r="AD12" i="79" s="1"/>
  <c r="Z12" i="79"/>
  <c r="Y12" i="79"/>
  <c r="O12" i="79"/>
  <c r="N12" i="79"/>
  <c r="M12" i="79"/>
  <c r="P12" i="79" s="1"/>
  <c r="L12" i="79"/>
  <c r="S12" i="79" s="1"/>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AC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S8" i="35"/>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H13" i="34"/>
  <c r="AB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AC45"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37" i="21" s="1"/>
  <c r="F37"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J13" i="21" s="1"/>
  <c r="AC13" i="21" s="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Q34" i="21"/>
  <c r="Z34" i="21" s="1"/>
  <c r="AC33" i="21"/>
  <c r="AA33" i="21"/>
  <c r="W33" i="21"/>
  <c r="S33" i="21"/>
  <c r="Q33" i="21"/>
  <c r="Z33" i="21" s="1"/>
  <c r="Q32" i="21"/>
  <c r="Z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H19" i="21"/>
  <c r="AB19" i="21" s="1"/>
  <c r="C19" i="21"/>
  <c r="Q17" i="21"/>
  <c r="Z17" i="21" s="1"/>
  <c r="H17" i="21"/>
  <c r="AB17" i="21" s="1"/>
  <c r="C17" i="21"/>
  <c r="E17" i="21" s="1"/>
  <c r="Q15" i="21"/>
  <c r="Z15" i="21" s="1"/>
  <c r="H15" i="21"/>
  <c r="AB15" i="21" s="1"/>
  <c r="C15" i="21"/>
  <c r="G15" i="21" s="1"/>
  <c r="I15" i="21" s="1"/>
  <c r="Q14" i="21"/>
  <c r="Z14" i="21" s="1"/>
  <c r="F14" i="21"/>
  <c r="AA14" i="21" s="1"/>
  <c r="Q13" i="21"/>
  <c r="Z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F38" i="68"/>
  <c r="E37" i="68"/>
  <c r="F36" i="68"/>
  <c r="F35" i="68"/>
  <c r="F21" i="68"/>
  <c r="F20" i="68"/>
  <c r="F39" i="68" s="1"/>
  <c r="E10" i="68"/>
  <c r="E9" i="68"/>
  <c r="F7" i="68"/>
  <c r="C7" i="68" s="1"/>
  <c r="A120" i="9"/>
  <c r="E111" i="9"/>
  <c r="A126" i="9" s="1"/>
  <c r="H109" i="9"/>
  <c r="D16" i="53" s="1"/>
  <c r="D17" i="53" s="1"/>
  <c r="B36" i="72"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C25" i="9"/>
  <c r="C24" i="9"/>
  <c r="C17" i="9"/>
  <c r="D14" i="9"/>
  <c r="D17" i="9" s="1"/>
  <c r="L4" i="9"/>
  <c r="A24" i="51" s="1"/>
  <c r="B18" i="72" s="1"/>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3"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K9" i="1"/>
  <c r="M9" i="1" s="1"/>
  <c r="F9" i="1"/>
  <c r="D9" i="1"/>
  <c r="A9" i="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A583" i="3" s="1"/>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B5" i="62" s="1"/>
  <c r="C4" i="4"/>
  <c r="K4" i="4" s="1"/>
  <c r="B46" i="48" s="1"/>
  <c r="B4" i="72" s="1"/>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A5" i="62"/>
  <c r="B72" i="72" s="1"/>
  <c r="A4" i="62"/>
  <c r="B70" i="72" s="1"/>
  <c r="A12" i="52"/>
  <c r="B56" i="72" s="1"/>
  <c r="A10" i="52"/>
  <c r="B55" i="72" s="1"/>
  <c r="A8" i="52"/>
  <c r="B54" i="72" s="1"/>
  <c r="A6" i="52"/>
  <c r="B57" i="72" s="1"/>
  <c r="H2" i="52"/>
  <c r="F2" i="52"/>
  <c r="D2" i="52"/>
  <c r="B46" i="72" s="1"/>
  <c r="A1" i="52"/>
  <c r="B19" i="53"/>
  <c r="B37" i="72" s="1"/>
  <c r="B16" i="53"/>
  <c r="B33" i="72" s="1"/>
  <c r="B13" i="53"/>
  <c r="B29" i="72" s="1"/>
  <c r="D12" i="53"/>
  <c r="B28" i="72" s="1"/>
  <c r="D10" i="53"/>
  <c r="B26" i="72" s="1"/>
  <c r="B8" i="53"/>
  <c r="B23" i="72" s="1"/>
  <c r="A3" i="53"/>
  <c r="A2" i="53"/>
  <c r="B19" i="72" s="1"/>
  <c r="A22" i="51"/>
  <c r="B17" i="72" s="1"/>
  <c r="A21" i="51"/>
  <c r="A20" i="51"/>
  <c r="B15" i="72" s="1"/>
  <c r="A15" i="51"/>
  <c r="B12" i="72" s="1"/>
  <c r="A13" i="51"/>
  <c r="B11" i="72" s="1"/>
  <c r="A3" i="51"/>
  <c r="B49" i="48"/>
  <c r="B5" i="72" s="1"/>
  <c r="B40" i="48"/>
  <c r="B3" i="72" s="1"/>
  <c r="B74" i="72"/>
  <c r="B73" i="72"/>
  <c r="B69" i="72"/>
  <c r="B68" i="72"/>
  <c r="B63" i="72"/>
  <c r="B62" i="72"/>
  <c r="B58" i="72"/>
  <c r="B50" i="72"/>
  <c r="B44" i="72"/>
  <c r="B42" i="72"/>
  <c r="B16" i="72"/>
  <c r="B10" i="72"/>
  <c r="B8" i="72"/>
  <c r="M6" i="67"/>
  <c r="AO9" i="1"/>
  <c r="E7" i="76"/>
  <c r="AO12" i="1"/>
  <c r="E11" i="76"/>
  <c r="M22" i="67"/>
  <c r="F13" i="67"/>
  <c r="AO7" i="1"/>
  <c r="F16" i="67"/>
  <c r="B11" i="76"/>
  <c r="M9" i="67"/>
  <c r="C76" i="67"/>
  <c r="AO10" i="1"/>
  <c r="D34" i="9"/>
  <c r="M28" i="67"/>
  <c r="D2" i="34"/>
  <c r="F6" i="67"/>
  <c r="E13" i="76"/>
  <c r="F8" i="67"/>
  <c r="M23" i="67"/>
  <c r="F20" i="31"/>
  <c r="D2" i="35"/>
  <c r="B8" i="76"/>
  <c r="D2" i="21"/>
  <c r="D2" i="33"/>
  <c r="D35" i="9"/>
  <c r="B9" i="76"/>
  <c r="F9" i="67"/>
  <c r="F37" i="67"/>
  <c r="E8" i="76"/>
  <c r="J15" i="67"/>
  <c r="M8" i="67"/>
  <c r="M27" i="67"/>
  <c r="F38" i="67"/>
  <c r="E10" i="76"/>
  <c r="F36" i="67"/>
  <c r="M24" i="67"/>
  <c r="B7" i="76"/>
  <c r="D2" i="37"/>
  <c r="AO11" i="1"/>
  <c r="L47" i="67"/>
  <c r="E9" i="76"/>
  <c r="AO8" i="1"/>
  <c r="AO13" i="1"/>
  <c r="E2" i="68"/>
  <c r="F26" i="67"/>
  <c r="B13" i="76"/>
  <c r="E2" i="69"/>
  <c r="B12" i="76"/>
  <c r="B10" i="76"/>
  <c r="E12" i="76"/>
  <c r="M26" i="67"/>
  <c r="D2" i="36"/>
  <c r="F40" i="67"/>
  <c r="F42" i="67"/>
  <c r="J32" i="21" l="1"/>
  <c r="BL20" i="3"/>
  <c r="BL36" i="3"/>
  <c r="BA41" i="3"/>
  <c r="G49" i="3"/>
  <c r="BA49" i="3"/>
  <c r="G53" i="3"/>
  <c r="BA53" i="3"/>
  <c r="BL56" i="3"/>
  <c r="BA111" i="3"/>
  <c r="G185" i="3"/>
  <c r="G193" i="3"/>
  <c r="G201" i="3"/>
  <c r="G389" i="3"/>
  <c r="G393" i="3"/>
  <c r="G401" i="3"/>
  <c r="G458" i="3"/>
  <c r="G474" i="3"/>
  <c r="G490" i="3"/>
  <c r="G527" i="3"/>
  <c r="G531" i="3"/>
  <c r="G535" i="3"/>
  <c r="G559" i="3"/>
  <c r="G571" i="3"/>
  <c r="G23" i="21"/>
  <c r="I23" i="21"/>
  <c r="F32" i="21"/>
  <c r="AA32" i="21" s="1"/>
  <c r="J28" i="33"/>
  <c r="AC28" i="33" s="1"/>
  <c r="BL170" i="3"/>
  <c r="G23" i="78"/>
  <c r="G15" i="3"/>
  <c r="G31" i="3"/>
  <c r="G47" i="3"/>
  <c r="G51" i="3"/>
  <c r="G172" i="3"/>
  <c r="BA233" i="3"/>
  <c r="G252" i="3"/>
  <c r="G368" i="3"/>
  <c r="G384" i="3"/>
  <c r="G400" i="3"/>
  <c r="G409" i="3"/>
  <c r="G417" i="3"/>
  <c r="G425" i="3"/>
  <c r="G433" i="3"/>
  <c r="G441" i="3"/>
  <c r="G445" i="3"/>
  <c r="G449" i="3"/>
  <c r="G453" i="3"/>
  <c r="G461" i="3"/>
  <c r="G465" i="3"/>
  <c r="G469" i="3"/>
  <c r="G477" i="3"/>
  <c r="G481" i="3"/>
  <c r="G485" i="3"/>
  <c r="G493" i="3"/>
  <c r="G497" i="3"/>
  <c r="G562" i="3"/>
  <c r="H32" i="21"/>
  <c r="AB32" i="21" s="1"/>
  <c r="F29" i="34"/>
  <c r="AA29" i="34" s="1"/>
  <c r="Z23" i="79"/>
  <c r="U23" i="79"/>
  <c r="G315" i="3"/>
  <c r="G347" i="3"/>
  <c r="G355" i="3"/>
  <c r="G359" i="3"/>
  <c r="G363" i="3"/>
  <c r="G371" i="3"/>
  <c r="G375" i="3"/>
  <c r="G379" i="3"/>
  <c r="G387" i="3"/>
  <c r="N3" i="79"/>
  <c r="R11" i="79"/>
  <c r="V11" i="79"/>
  <c r="BA77" i="3"/>
  <c r="BL206" i="3"/>
  <c r="BL218" i="3"/>
  <c r="AB39" i="33"/>
  <c r="U39" i="33"/>
  <c r="G97" i="3"/>
  <c r="BA97" i="3"/>
  <c r="BA101" i="3"/>
  <c r="AZ101" i="3" s="1"/>
  <c r="BL171" i="3"/>
  <c r="G173" i="3"/>
  <c r="BA174" i="3"/>
  <c r="BL178" i="3"/>
  <c r="BA253" i="3"/>
  <c r="BL266" i="3"/>
  <c r="BA267" i="3"/>
  <c r="G101" i="3"/>
  <c r="BS5" i="3"/>
  <c r="BA125" i="3"/>
  <c r="BL180" i="3"/>
  <c r="BA63" i="3"/>
  <c r="AZ63" i="3" s="1"/>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D74" i="43"/>
  <c r="AA3" i="71"/>
  <c r="G539" i="3"/>
  <c r="BA547" i="3"/>
  <c r="S12" i="40"/>
  <c r="B47" i="71"/>
  <c r="B48" i="71" s="1"/>
  <c r="S48" i="71" s="1"/>
  <c r="H13" i="21"/>
  <c r="F13" i="21"/>
  <c r="AA13" i="21" s="1"/>
  <c r="F29" i="21"/>
  <c r="AA29" i="21" s="1"/>
  <c r="H29" i="21"/>
  <c r="AB29" i="21" s="1"/>
  <c r="AB43" i="33"/>
  <c r="U43" i="33"/>
  <c r="H30" i="33"/>
  <c r="AB30" i="33" s="1"/>
  <c r="F30" i="33"/>
  <c r="AA30" i="33" s="1"/>
  <c r="H11" i="35"/>
  <c r="J11" i="35"/>
  <c r="AC8" i="36"/>
  <c r="W8" i="36"/>
  <c r="BA32" i="3"/>
  <c r="BL34" i="3"/>
  <c r="G113" i="3"/>
  <c r="BA127" i="3"/>
  <c r="AZ127" i="3" s="1"/>
  <c r="BA151" i="3"/>
  <c r="BA155" i="3"/>
  <c r="BA159" i="3"/>
  <c r="BA161" i="3"/>
  <c r="AZ161" i="3" s="1"/>
  <c r="BL212" i="3"/>
  <c r="BL216" i="3"/>
  <c r="BL238" i="3"/>
  <c r="BL251" i="3"/>
  <c r="G253" i="3"/>
  <c r="BA254" i="3"/>
  <c r="BL258" i="3"/>
  <c r="BL260" i="3"/>
  <c r="G579" i="3"/>
  <c r="BA584" i="3"/>
  <c r="F31" i="34"/>
  <c r="AA31" i="34" s="1"/>
  <c r="J31" i="34"/>
  <c r="AC31" i="34" s="1"/>
  <c r="H31" i="34"/>
  <c r="AB31" i="34" s="1"/>
  <c r="AB29" i="37"/>
  <c r="U29" i="37"/>
  <c r="H14" i="40"/>
  <c r="AB14" i="40" s="1"/>
  <c r="F14" i="40"/>
  <c r="S14" i="40" s="1"/>
  <c r="BL30" i="3"/>
  <c r="G117" i="3"/>
  <c r="BL16" i="3"/>
  <c r="AZ16" i="3" s="1"/>
  <c r="BL21" i="3"/>
  <c r="BA79" i="3"/>
  <c r="BA83" i="3"/>
  <c r="BA87" i="3"/>
  <c r="BA91" i="3"/>
  <c r="BA95" i="3"/>
  <c r="BL118" i="3"/>
  <c r="BA121" i="3"/>
  <c r="AZ121" i="3" s="1"/>
  <c r="G125" i="3"/>
  <c r="BA185" i="3"/>
  <c r="BL202" i="3"/>
  <c r="BL207" i="3"/>
  <c r="BA209" i="3"/>
  <c r="BA265" i="3"/>
  <c r="G277" i="3"/>
  <c r="BA281" i="3"/>
  <c r="AZ281" i="3" s="1"/>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AZ131" i="3" s="1"/>
  <c r="B34" i="72"/>
  <c r="BL28" i="3"/>
  <c r="BA61" i="3"/>
  <c r="G67" i="3"/>
  <c r="BL70" i="3"/>
  <c r="BA73" i="3"/>
  <c r="G77" i="3"/>
  <c r="BL104" i="3"/>
  <c r="G141" i="3"/>
  <c r="BA141" i="3"/>
  <c r="G169" i="3"/>
  <c r="BL186" i="3"/>
  <c r="AZ186" i="3" s="1"/>
  <c r="BA201" i="3"/>
  <c r="BL210" i="3"/>
  <c r="G221" i="3"/>
  <c r="BA221" i="3"/>
  <c r="AZ221" i="3" s="1"/>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AC36" i="35" s="1"/>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AB9" i="33" s="1"/>
  <c r="F33" i="40"/>
  <c r="AA33" i="40" s="1"/>
  <c r="S14" i="79"/>
  <c r="AB27" i="71"/>
  <c r="Z3" i="79"/>
  <c r="AB11" i="71"/>
  <c r="AB3" i="79"/>
  <c r="U9" i="79"/>
  <c r="R10" i="79"/>
  <c r="V10" i="79"/>
  <c r="S23" i="79"/>
  <c r="AA23" i="79"/>
  <c r="AD23" i="79" s="1"/>
  <c r="X16" i="71"/>
  <c r="X17" i="71"/>
  <c r="X18" i="71"/>
  <c r="AB24" i="71"/>
  <c r="C79" i="71"/>
  <c r="BA13" i="3"/>
  <c r="BA17" i="3"/>
  <c r="AZ17" i="3" s="1"/>
  <c r="BO5" i="3"/>
  <c r="BL24" i="3"/>
  <c r="BL29" i="3"/>
  <c r="G30" i="3"/>
  <c r="BL38" i="3"/>
  <c r="G39" i="3"/>
  <c r="BA40" i="3"/>
  <c r="BL42" i="3"/>
  <c r="BL46" i="3"/>
  <c r="BA48" i="3"/>
  <c r="BL54" i="3"/>
  <c r="BA57" i="3"/>
  <c r="AZ57" i="3" s="1"/>
  <c r="G61" i="3"/>
  <c r="BA67" i="3"/>
  <c r="BA93" i="3"/>
  <c r="BA109" i="3"/>
  <c r="G151" i="3"/>
  <c r="BC5" i="3"/>
  <c r="BK5" i="3"/>
  <c r="BL14" i="3"/>
  <c r="BA16" i="3"/>
  <c r="BL18" i="3"/>
  <c r="BA25" i="3"/>
  <c r="BL32" i="3"/>
  <c r="AZ32" i="3" s="1"/>
  <c r="BL37" i="3"/>
  <c r="BA143" i="3"/>
  <c r="BL22" i="3"/>
  <c r="G23" i="3"/>
  <c r="BA24" i="3"/>
  <c r="BL26" i="3"/>
  <c r="BA33" i="3"/>
  <c r="BL40" i="3"/>
  <c r="BL44" i="3"/>
  <c r="K5" i="4"/>
  <c r="B47" i="48" s="1"/>
  <c r="G91" i="3"/>
  <c r="BA103" i="3"/>
  <c r="AZ103" i="3" s="1"/>
  <c r="BA107" i="3"/>
  <c r="G111" i="3"/>
  <c r="BA113" i="3"/>
  <c r="BA117" i="3"/>
  <c r="BL120" i="3"/>
  <c r="G131" i="3"/>
  <c r="BL134" i="3"/>
  <c r="BA137" i="3"/>
  <c r="AZ137" i="3" s="1"/>
  <c r="BA147" i="3"/>
  <c r="G155" i="3"/>
  <c r="BA157" i="3"/>
  <c r="G159" i="3"/>
  <c r="G163" i="3"/>
  <c r="BL166" i="3"/>
  <c r="G167" i="3"/>
  <c r="BA169" i="3"/>
  <c r="AZ169" i="3" s="1"/>
  <c r="BA175" i="3"/>
  <c r="BA189" i="3"/>
  <c r="G191" i="3"/>
  <c r="BA197" i="3"/>
  <c r="BL198" i="3"/>
  <c r="G199" i="3"/>
  <c r="BL203" i="3"/>
  <c r="G204" i="3"/>
  <c r="G209" i="3"/>
  <c r="BA213" i="3"/>
  <c r="BA217" i="3"/>
  <c r="BL219" i="3"/>
  <c r="G220" i="3"/>
  <c r="BA222" i="3"/>
  <c r="G225" i="3"/>
  <c r="BL226" i="3"/>
  <c r="BL228" i="3"/>
  <c r="G233" i="3"/>
  <c r="BL234" i="3"/>
  <c r="BA235" i="3"/>
  <c r="G239" i="3"/>
  <c r="BL242" i="3"/>
  <c r="G243" i="3"/>
  <c r="BL246" i="3"/>
  <c r="G247" i="3"/>
  <c r="BA249" i="3"/>
  <c r="BA255" i="3"/>
  <c r="BA269" i="3"/>
  <c r="AZ269" i="3" s="1"/>
  <c r="BL271" i="3"/>
  <c r="G272" i="3"/>
  <c r="BA277" i="3"/>
  <c r="G280" i="3"/>
  <c r="BL286" i="3"/>
  <c r="G291" i="3"/>
  <c r="BL302" i="3"/>
  <c r="G303" i="3"/>
  <c r="BL310" i="3"/>
  <c r="G311" i="3"/>
  <c r="BA317" i="3"/>
  <c r="G320" i="3"/>
  <c r="BA325" i="3"/>
  <c r="BL330" i="3"/>
  <c r="BA331" i="3"/>
  <c r="G335" i="3"/>
  <c r="G343" i="3"/>
  <c r="BA349" i="3"/>
  <c r="G352" i="3"/>
  <c r="BA353" i="3"/>
  <c r="AZ353" i="3" s="1"/>
  <c r="G356" i="3"/>
  <c r="BL370" i="3"/>
  <c r="BL372" i="3"/>
  <c r="BL382" i="3"/>
  <c r="BA383" i="3"/>
  <c r="BL390" i="3"/>
  <c r="BL394" i="3"/>
  <c r="BA413" i="3"/>
  <c r="BL434" i="3"/>
  <c r="BL436" i="3"/>
  <c r="BL460" i="3"/>
  <c r="BL462" i="3"/>
  <c r="BL45" i="3"/>
  <c r="G46" i="3"/>
  <c r="BA51" i="3"/>
  <c r="G59" i="3"/>
  <c r="BA71" i="3"/>
  <c r="BA75" i="3"/>
  <c r="G81" i="3"/>
  <c r="BA81" i="3"/>
  <c r="AZ81" i="3" s="1"/>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AZ257" i="3" s="1"/>
  <c r="G260" i="3"/>
  <c r="BA266" i="3"/>
  <c r="BL283" i="3"/>
  <c r="G284" i="3"/>
  <c r="G285" i="3"/>
  <c r="BA286" i="3"/>
  <c r="G289" i="3"/>
  <c r="BL290" i="3"/>
  <c r="BL292" i="3"/>
  <c r="BL298" i="3"/>
  <c r="BL300" i="3"/>
  <c r="G305" i="3"/>
  <c r="BL312" i="3"/>
  <c r="BL318" i="3"/>
  <c r="BA319" i="3"/>
  <c r="BL323" i="3"/>
  <c r="G324" i="3"/>
  <c r="G329" i="3"/>
  <c r="BA329" i="3"/>
  <c r="G332" i="3"/>
  <c r="G337" i="3"/>
  <c r="BL342" i="3"/>
  <c r="BL344" i="3"/>
  <c r="BL350" i="3"/>
  <c r="BA351" i="3"/>
  <c r="BL358" i="3"/>
  <c r="BA471" i="3"/>
  <c r="BA55" i="3"/>
  <c r="AZ55" i="3" s="1"/>
  <c r="BA59" i="3"/>
  <c r="G63" i="3"/>
  <c r="G65" i="3"/>
  <c r="BA65" i="3"/>
  <c r="AZ65" i="3" s="1"/>
  <c r="G69" i="3"/>
  <c r="BA69" i="3"/>
  <c r="BL72" i="3"/>
  <c r="G83" i="3"/>
  <c r="BL86" i="3"/>
  <c r="BA89" i="3"/>
  <c r="G93" i="3"/>
  <c r="BA99" i="3"/>
  <c r="AZ99" i="3" s="1"/>
  <c r="G107" i="3"/>
  <c r="BA119" i="3"/>
  <c r="BA123" i="3"/>
  <c r="G127" i="3"/>
  <c r="G129" i="3"/>
  <c r="BA129" i="3"/>
  <c r="G133" i="3"/>
  <c r="BA133" i="3"/>
  <c r="BL136" i="3"/>
  <c r="G147" i="3"/>
  <c r="BL150" i="3"/>
  <c r="BA153" i="3"/>
  <c r="AZ153" i="3" s="1"/>
  <c r="BA163" i="3"/>
  <c r="BA165" i="3"/>
  <c r="G168" i="3"/>
  <c r="BL174" i="3"/>
  <c r="AZ174" i="3" s="1"/>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AZ333" i="3" s="1"/>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AZ568" i="3" s="1"/>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AZ475" i="3" s="1"/>
  <c r="G478" i="3"/>
  <c r="BA483" i="3"/>
  <c r="BA491" i="3"/>
  <c r="BL493" i="3"/>
  <c r="G494" i="3"/>
  <c r="BA500" i="3"/>
  <c r="BL509" i="3"/>
  <c r="G510" i="3"/>
  <c r="BA516" i="3"/>
  <c r="BL525" i="3"/>
  <c r="G526" i="3"/>
  <c r="BA532" i="3"/>
  <c r="AZ532" i="3" s="1"/>
  <c r="BL541" i="3"/>
  <c r="G542" i="3"/>
  <c r="BA548" i="3"/>
  <c r="BA555" i="3"/>
  <c r="AZ555" i="3" s="1"/>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W12" i="39" s="1"/>
  <c r="H12" i="39"/>
  <c r="AB12" i="39" s="1"/>
  <c r="BL347" i="3"/>
  <c r="G348" i="3"/>
  <c r="G349" i="3"/>
  <c r="BA350" i="3"/>
  <c r="BA357" i="3"/>
  <c r="BL359" i="3"/>
  <c r="G360" i="3"/>
  <c r="G365" i="3"/>
  <c r="BA366" i="3"/>
  <c r="AZ366" i="3" s="1"/>
  <c r="BA373" i="3"/>
  <c r="BL375" i="3"/>
  <c r="G376" i="3"/>
  <c r="G381" i="3"/>
  <c r="BA382" i="3"/>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AZ456" i="3" s="1"/>
  <c r="BA463" i="3"/>
  <c r="BL465" i="3"/>
  <c r="G466" i="3"/>
  <c r="G471" i="3"/>
  <c r="BA472" i="3"/>
  <c r="BA479" i="3"/>
  <c r="AZ479" i="3" s="1"/>
  <c r="BL481" i="3"/>
  <c r="G482" i="3"/>
  <c r="G487" i="3"/>
  <c r="BA488" i="3"/>
  <c r="AZ488" i="3" s="1"/>
  <c r="BA495" i="3"/>
  <c r="BL500" i="3"/>
  <c r="BA503" i="3"/>
  <c r="J14" i="21"/>
  <c r="AC14" i="21" s="1"/>
  <c r="W23" i="34"/>
  <c r="AC23" i="34"/>
  <c r="AB33" i="37"/>
  <c r="U33" i="37"/>
  <c r="G506" i="3"/>
  <c r="BA511" i="3"/>
  <c r="BL516" i="3"/>
  <c r="BA519" i="3"/>
  <c r="G522" i="3"/>
  <c r="BA527" i="3"/>
  <c r="BL532" i="3"/>
  <c r="BA535" i="3"/>
  <c r="AZ535" i="3" s="1"/>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74" i="71" s="1"/>
  <c r="D74" i="71" s="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G16" i="3"/>
  <c r="G17" i="3"/>
  <c r="BA18" i="3"/>
  <c r="AZ18" i="3" s="1"/>
  <c r="BA19" i="3"/>
  <c r="BL23" i="3"/>
  <c r="G24" i="3"/>
  <c r="G25" i="3"/>
  <c r="BA26" i="3"/>
  <c r="AZ26" i="3" s="1"/>
  <c r="BA27" i="3"/>
  <c r="BL31" i="3"/>
  <c r="AZ31" i="3" s="1"/>
  <c r="G32" i="3"/>
  <c r="G33" i="3"/>
  <c r="BA34" i="3"/>
  <c r="AZ34" i="3" s="1"/>
  <c r="BA35" i="3"/>
  <c r="BL39" i="3"/>
  <c r="G40" i="3"/>
  <c r="G41" i="3"/>
  <c r="BA43" i="3"/>
  <c r="AZ43" i="3" s="1"/>
  <c r="BL47" i="3"/>
  <c r="G48" i="3"/>
  <c r="BL58" i="3"/>
  <c r="BL60" i="3"/>
  <c r="BL74" i="3"/>
  <c r="BL76" i="3"/>
  <c r="BL90" i="3"/>
  <c r="BL92" i="3"/>
  <c r="BL106" i="3"/>
  <c r="BL108" i="3"/>
  <c r="BL122" i="3"/>
  <c r="BL124" i="3"/>
  <c r="BL138" i="3"/>
  <c r="BL140" i="3"/>
  <c r="BL154" i="3"/>
  <c r="G161" i="3"/>
  <c r="BA187" i="3"/>
  <c r="BA194" i="3"/>
  <c r="BA195" i="3"/>
  <c r="BL208" i="3"/>
  <c r="BL211" i="3"/>
  <c r="G213" i="3"/>
  <c r="BA214" i="3"/>
  <c r="AZ214" i="3" s="1"/>
  <c r="BA215" i="3"/>
  <c r="AZ215" i="3" s="1"/>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AZ278" i="3" s="1"/>
  <c r="BA279" i="3"/>
  <c r="BL284" i="3"/>
  <c r="G287" i="3"/>
  <c r="BL294" i="3"/>
  <c r="G295" i="3"/>
  <c r="BA298" i="3"/>
  <c r="AZ298" i="3" s="1"/>
  <c r="BA299" i="3"/>
  <c r="BL303" i="3"/>
  <c r="G304" i="3"/>
  <c r="BA306" i="3"/>
  <c r="BL308" i="3"/>
  <c r="BA313" i="3"/>
  <c r="AZ313" i="3" s="1"/>
  <c r="BL315" i="3"/>
  <c r="G316" i="3"/>
  <c r="BL320" i="3"/>
  <c r="BA330" i="3"/>
  <c r="AZ330" i="3" s="1"/>
  <c r="BL338" i="3"/>
  <c r="G339" i="3"/>
  <c r="AZ24" i="3"/>
  <c r="AZ40" i="3"/>
  <c r="G157" i="3"/>
  <c r="BL167" i="3"/>
  <c r="BL176" i="3"/>
  <c r="BL179" i="3"/>
  <c r="G181" i="3"/>
  <c r="BA182" i="3"/>
  <c r="AZ182" i="3" s="1"/>
  <c r="BA183" i="3"/>
  <c r="BL190" i="3"/>
  <c r="AZ190" i="3" s="1"/>
  <c r="BA191" i="3"/>
  <c r="BA202" i="3"/>
  <c r="AZ202" i="3" s="1"/>
  <c r="BA203" i="3"/>
  <c r="AZ203" i="3" s="1"/>
  <c r="AZ222" i="3"/>
  <c r="AZ234" i="3"/>
  <c r="AZ254" i="3"/>
  <c r="AZ266" i="3"/>
  <c r="AZ286" i="3"/>
  <c r="AZ472" i="3"/>
  <c r="AC5" i="3"/>
  <c r="BE5" i="3"/>
  <c r="BI5" i="3"/>
  <c r="BF5" i="3"/>
  <c r="BJ5" i="3"/>
  <c r="BA15" i="3"/>
  <c r="BL19" i="3"/>
  <c r="AZ19" i="3" s="1"/>
  <c r="G20" i="3"/>
  <c r="G21" i="3"/>
  <c r="BA22" i="3"/>
  <c r="AZ22" i="3" s="1"/>
  <c r="BA23" i="3"/>
  <c r="AZ23" i="3" s="1"/>
  <c r="BL27" i="3"/>
  <c r="G28" i="3"/>
  <c r="G29" i="3"/>
  <c r="BA30" i="3"/>
  <c r="AZ30" i="3" s="1"/>
  <c r="BA31" i="3"/>
  <c r="BL35" i="3"/>
  <c r="G36" i="3"/>
  <c r="G37" i="3"/>
  <c r="BA38" i="3"/>
  <c r="AZ38" i="3" s="1"/>
  <c r="BA39" i="3"/>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BA171" i="3"/>
  <c r="AZ171" i="3" s="1"/>
  <c r="BL175" i="3"/>
  <c r="AZ175" i="3" s="1"/>
  <c r="G176" i="3"/>
  <c r="G179" i="3"/>
  <c r="BL184" i="3"/>
  <c r="BL187" i="3"/>
  <c r="G189" i="3"/>
  <c r="BA190" i="3"/>
  <c r="BL192" i="3"/>
  <c r="BL195" i="3"/>
  <c r="G197" i="3"/>
  <c r="BA198" i="3"/>
  <c r="AZ198" i="3" s="1"/>
  <c r="BA199" i="3"/>
  <c r="AZ199" i="3" s="1"/>
  <c r="BA210" i="3"/>
  <c r="AZ210" i="3" s="1"/>
  <c r="BA211" i="3"/>
  <c r="AZ211" i="3" s="1"/>
  <c r="BL215" i="3"/>
  <c r="G216" i="3"/>
  <c r="BL224" i="3"/>
  <c r="BL227" i="3"/>
  <c r="G229" i="3"/>
  <c r="BA230" i="3"/>
  <c r="AZ230" i="3" s="1"/>
  <c r="BA231" i="3"/>
  <c r="AZ231" i="3" s="1"/>
  <c r="BL236" i="3"/>
  <c r="BA242" i="3"/>
  <c r="AZ242" i="3" s="1"/>
  <c r="BA243" i="3"/>
  <c r="AZ243" i="3" s="1"/>
  <c r="BL247" i="3"/>
  <c r="G248" i="3"/>
  <c r="G251" i="3"/>
  <c r="BL256" i="3"/>
  <c r="BL259" i="3"/>
  <c r="G261" i="3"/>
  <c r="BA262" i="3"/>
  <c r="AZ262" i="3" s="1"/>
  <c r="BA263" i="3"/>
  <c r="BL268" i="3"/>
  <c r="BA274" i="3"/>
  <c r="AZ274" i="3" s="1"/>
  <c r="BA275" i="3"/>
  <c r="BL279" i="3"/>
  <c r="BL288" i="3"/>
  <c r="BL291" i="3"/>
  <c r="G293" i="3"/>
  <c r="BA294" i="3"/>
  <c r="BL296" i="3"/>
  <c r="BL299" i="3"/>
  <c r="G301" i="3"/>
  <c r="BA302" i="3"/>
  <c r="AZ302" i="3" s="1"/>
  <c r="BA303" i="3"/>
  <c r="BL306" i="3"/>
  <c r="G307" i="3"/>
  <c r="BL311" i="3"/>
  <c r="G312" i="3"/>
  <c r="BA321" i="3"/>
  <c r="AZ321" i="3" s="1"/>
  <c r="BA338" i="3"/>
  <c r="BL17" i="3"/>
  <c r="G18" i="3"/>
  <c r="G19" i="3"/>
  <c r="BA20" i="3"/>
  <c r="AZ20" i="3" s="1"/>
  <c r="BA21" i="3"/>
  <c r="BL25" i="3"/>
  <c r="G26" i="3"/>
  <c r="G27" i="3"/>
  <c r="BA28" i="3"/>
  <c r="AZ28" i="3" s="1"/>
  <c r="BA29" i="3"/>
  <c r="BL33" i="3"/>
  <c r="AZ33" i="3" s="1"/>
  <c r="G34" i="3"/>
  <c r="G35" i="3"/>
  <c r="BA37" i="3"/>
  <c r="BL41" i="3"/>
  <c r="AZ41" i="3" s="1"/>
  <c r="G42" i="3"/>
  <c r="G43" i="3"/>
  <c r="BA44" i="3"/>
  <c r="AZ44" i="3" s="1"/>
  <c r="BA45" i="3"/>
  <c r="AZ45" i="3" s="1"/>
  <c r="BL48" i="3"/>
  <c r="AZ48" i="3" s="1"/>
  <c r="BL62" i="3"/>
  <c r="BL64" i="3"/>
  <c r="BL78" i="3"/>
  <c r="BL80" i="3"/>
  <c r="BL94" i="3"/>
  <c r="BL96" i="3"/>
  <c r="BL110" i="3"/>
  <c r="BL112" i="3"/>
  <c r="BL126" i="3"/>
  <c r="BL128" i="3"/>
  <c r="BL142" i="3"/>
  <c r="BL144" i="3"/>
  <c r="G149" i="3"/>
  <c r="BL158" i="3"/>
  <c r="G165" i="3"/>
  <c r="BA166" i="3"/>
  <c r="AZ166" i="3" s="1"/>
  <c r="BA167" i="3"/>
  <c r="BL172" i="3"/>
  <c r="G175" i="3"/>
  <c r="BA178" i="3"/>
  <c r="BA179" i="3"/>
  <c r="BL183" i="3"/>
  <c r="G184" i="3"/>
  <c r="G187" i="3"/>
  <c r="BL191" i="3"/>
  <c r="G192" i="3"/>
  <c r="G195" i="3"/>
  <c r="BL200" i="3"/>
  <c r="G205" i="3"/>
  <c r="BA206" i="3"/>
  <c r="AZ206" i="3" s="1"/>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AZ271" i="3" s="1"/>
  <c r="BL276" i="3"/>
  <c r="G279" i="3"/>
  <c r="BA282" i="3"/>
  <c r="AZ282" i="3" s="1"/>
  <c r="BA283" i="3"/>
  <c r="AZ283" i="3" s="1"/>
  <c r="BL287" i="3"/>
  <c r="G288" i="3"/>
  <c r="G325" i="3"/>
  <c r="BA326" i="3"/>
  <c r="AZ326" i="3" s="1"/>
  <c r="BA341" i="3"/>
  <c r="BL494" i="3"/>
  <c r="BL497" i="3"/>
  <c r="G498" i="3"/>
  <c r="G501" i="3"/>
  <c r="BA504" i="3"/>
  <c r="BA505" i="3"/>
  <c r="BL510" i="3"/>
  <c r="BL513" i="3"/>
  <c r="G514" i="3"/>
  <c r="G517" i="3"/>
  <c r="BA520" i="3"/>
  <c r="AZ520" i="3" s="1"/>
  <c r="BA521" i="3"/>
  <c r="BL526" i="3"/>
  <c r="BL529" i="3"/>
  <c r="G530" i="3"/>
  <c r="G533" i="3"/>
  <c r="BA536" i="3"/>
  <c r="AZ536" i="3" s="1"/>
  <c r="BA537" i="3"/>
  <c r="BL542" i="3"/>
  <c r="BL545" i="3"/>
  <c r="G546" i="3"/>
  <c r="G549" i="3"/>
  <c r="BA552" i="3"/>
  <c r="AZ552" i="3" s="1"/>
  <c r="BA553" i="3"/>
  <c r="BL556" i="3"/>
  <c r="G557" i="3"/>
  <c r="BA560" i="3"/>
  <c r="AZ560" i="3" s="1"/>
  <c r="BA561" i="3"/>
  <c r="BL565" i="3"/>
  <c r="G566" i="3"/>
  <c r="G569" i="3"/>
  <c r="BA579" i="3"/>
  <c r="BL582" i="3"/>
  <c r="BL585" i="3"/>
  <c r="AZ585" i="3" s="1"/>
  <c r="G586" i="3"/>
  <c r="S7" i="1"/>
  <c r="R7" i="1"/>
  <c r="S11" i="1"/>
  <c r="AR11" i="1" s="1"/>
  <c r="R13" i="1"/>
  <c r="B13" i="1"/>
  <c r="E13" i="1" s="1"/>
  <c r="H103" i="9"/>
  <c r="D23" i="15"/>
  <c r="D23" i="67"/>
  <c r="L46" i="67"/>
  <c r="D11" i="77"/>
  <c r="D7" i="77" s="1"/>
  <c r="C26" i="77" s="1"/>
  <c r="J27" i="33"/>
  <c r="AC27" i="33" s="1"/>
  <c r="H27" i="33"/>
  <c r="AB27" i="33" s="1"/>
  <c r="W40" i="34"/>
  <c r="AC40" i="34"/>
  <c r="AB10" i="35"/>
  <c r="U10" i="35"/>
  <c r="H33" i="36"/>
  <c r="F33" i="36"/>
  <c r="AA33" i="36" s="1"/>
  <c r="BL343" i="3"/>
  <c r="BL352" i="3"/>
  <c r="BL355" i="3"/>
  <c r="BA362" i="3"/>
  <c r="AZ362" i="3" s="1"/>
  <c r="BA363" i="3"/>
  <c r="BL368" i="3"/>
  <c r="BL371" i="3"/>
  <c r="BA378" i="3"/>
  <c r="AZ378" i="3" s="1"/>
  <c r="BA379" i="3"/>
  <c r="BL384" i="3"/>
  <c r="BL387" i="3"/>
  <c r="BA394" i="3"/>
  <c r="AZ394" i="3" s="1"/>
  <c r="BA395" i="3"/>
  <c r="BL400" i="3"/>
  <c r="BL403" i="3"/>
  <c r="BA410" i="3"/>
  <c r="AZ410" i="3" s="1"/>
  <c r="BA411" i="3"/>
  <c r="BL416" i="3"/>
  <c r="BL419" i="3"/>
  <c r="BA426" i="3"/>
  <c r="AZ426" i="3" s="1"/>
  <c r="BA427" i="3"/>
  <c r="BL432" i="3"/>
  <c r="BL435" i="3"/>
  <c r="BA442" i="3"/>
  <c r="AZ442" i="3" s="1"/>
  <c r="BA443" i="3"/>
  <c r="BL445" i="3"/>
  <c r="BA452" i="3"/>
  <c r="AZ452" i="3" s="1"/>
  <c r="BA453" i="3"/>
  <c r="BL458" i="3"/>
  <c r="BL461" i="3"/>
  <c r="BA468" i="3"/>
  <c r="AZ468" i="3" s="1"/>
  <c r="BA469" i="3"/>
  <c r="BL474" i="3"/>
  <c r="BL477" i="3"/>
  <c r="BA484" i="3"/>
  <c r="AZ484" i="3" s="1"/>
  <c r="BA485" i="3"/>
  <c r="BL490" i="3"/>
  <c r="AZ500" i="3"/>
  <c r="AZ516" i="3"/>
  <c r="AZ548" i="3"/>
  <c r="BL562" i="3"/>
  <c r="BL572" i="3"/>
  <c r="G573" i="3"/>
  <c r="BA576" i="3"/>
  <c r="AZ576" i="3" s="1"/>
  <c r="BA577" i="3"/>
  <c r="BL581" i="3"/>
  <c r="G582" i="3"/>
  <c r="G585" i="3"/>
  <c r="P16" i="1"/>
  <c r="C11" i="12" s="1"/>
  <c r="C12" i="12" s="1"/>
  <c r="D8" i="74"/>
  <c r="E85" i="21"/>
  <c r="F85" i="21" s="1"/>
  <c r="G85" i="21" s="1"/>
  <c r="H23" i="21"/>
  <c r="AB23" i="21" s="1"/>
  <c r="AC27" i="2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AZ334" i="3" s="1"/>
  <c r="BA335" i="3"/>
  <c r="AZ335" i="3" s="1"/>
  <c r="BL340" i="3"/>
  <c r="BA346" i="3"/>
  <c r="BA347" i="3"/>
  <c r="AZ347" i="3" s="1"/>
  <c r="BL351" i="3"/>
  <c r="AZ351" i="3" s="1"/>
  <c r="BA358" i="3"/>
  <c r="AZ358" i="3" s="1"/>
  <c r="BA359" i="3"/>
  <c r="AZ359" i="3" s="1"/>
  <c r="BL364" i="3"/>
  <c r="BL367" i="3"/>
  <c r="BA374" i="3"/>
  <c r="AZ374" i="3" s="1"/>
  <c r="BA375" i="3"/>
  <c r="BL380" i="3"/>
  <c r="BL383" i="3"/>
  <c r="AZ383" i="3" s="1"/>
  <c r="BA390" i="3"/>
  <c r="AZ390" i="3" s="1"/>
  <c r="BA391" i="3"/>
  <c r="AZ391" i="3" s="1"/>
  <c r="BL396" i="3"/>
  <c r="BL399" i="3"/>
  <c r="AZ399" i="3" s="1"/>
  <c r="BA406" i="3"/>
  <c r="AZ406" i="3" s="1"/>
  <c r="BA407" i="3"/>
  <c r="AZ407" i="3" s="1"/>
  <c r="BL412" i="3"/>
  <c r="BL415" i="3"/>
  <c r="AZ415" i="3" s="1"/>
  <c r="BA422" i="3"/>
  <c r="BA423" i="3"/>
  <c r="AZ423" i="3" s="1"/>
  <c r="BL428" i="3"/>
  <c r="BL431" i="3"/>
  <c r="AZ431" i="3" s="1"/>
  <c r="BA438" i="3"/>
  <c r="BA439" i="3"/>
  <c r="BL444" i="3"/>
  <c r="BA448" i="3"/>
  <c r="AZ448" i="3" s="1"/>
  <c r="BA449" i="3"/>
  <c r="AZ449" i="3" s="1"/>
  <c r="BL454" i="3"/>
  <c r="BL457" i="3"/>
  <c r="BA464" i="3"/>
  <c r="AZ464" i="3" s="1"/>
  <c r="BA465" i="3"/>
  <c r="BL470" i="3"/>
  <c r="BL473" i="3"/>
  <c r="BA480" i="3"/>
  <c r="AZ480" i="3" s="1"/>
  <c r="BA481" i="3"/>
  <c r="AZ481" i="3" s="1"/>
  <c r="BL486" i="3"/>
  <c r="BL489" i="3"/>
  <c r="AZ489" i="3" s="1"/>
  <c r="BA496" i="3"/>
  <c r="BA497" i="3"/>
  <c r="BL502" i="3"/>
  <c r="BL505" i="3"/>
  <c r="BA512" i="3"/>
  <c r="AZ512" i="3" s="1"/>
  <c r="BA513" i="3"/>
  <c r="AZ513" i="3" s="1"/>
  <c r="BL518" i="3"/>
  <c r="BL521" i="3"/>
  <c r="BA528" i="3"/>
  <c r="BA529" i="3"/>
  <c r="BL534" i="3"/>
  <c r="BL537" i="3"/>
  <c r="BA544" i="3"/>
  <c r="BA545" i="3"/>
  <c r="AZ545" i="3" s="1"/>
  <c r="BL550" i="3"/>
  <c r="BL553" i="3"/>
  <c r="BA556" i="3"/>
  <c r="AZ556" i="3" s="1"/>
  <c r="BL558" i="3"/>
  <c r="BL561" i="3"/>
  <c r="AZ584" i="3"/>
  <c r="W32" i="21"/>
  <c r="AC32" i="21"/>
  <c r="H34" i="35"/>
  <c r="AB34" i="35" s="1"/>
  <c r="F34" i="35"/>
  <c r="AA34" i="35" s="1"/>
  <c r="J33" i="36"/>
  <c r="AC33" i="36" s="1"/>
  <c r="BA290" i="3"/>
  <c r="BA291" i="3"/>
  <c r="BL295" i="3"/>
  <c r="AZ295" i="3" s="1"/>
  <c r="G296" i="3"/>
  <c r="G299" i="3"/>
  <c r="BL304" i="3"/>
  <c r="BL307" i="3"/>
  <c r="G308" i="3"/>
  <c r="G309" i="3"/>
  <c r="BA310" i="3"/>
  <c r="AZ310" i="3" s="1"/>
  <c r="BA311" i="3"/>
  <c r="BL316" i="3"/>
  <c r="G319" i="3"/>
  <c r="BA322" i="3"/>
  <c r="AZ322" i="3" s="1"/>
  <c r="BA323" i="3"/>
  <c r="BL327" i="3"/>
  <c r="G328" i="3"/>
  <c r="G331" i="3"/>
  <c r="BL336" i="3"/>
  <c r="BL339" i="3"/>
  <c r="AZ339" i="3" s="1"/>
  <c r="G340" i="3"/>
  <c r="G341" i="3"/>
  <c r="BA342" i="3"/>
  <c r="AZ342" i="3" s="1"/>
  <c r="BA343" i="3"/>
  <c r="BL348" i="3"/>
  <c r="G351" i="3"/>
  <c r="BA354" i="3"/>
  <c r="AZ354" i="3" s="1"/>
  <c r="BA355" i="3"/>
  <c r="BL360" i="3"/>
  <c r="BL363" i="3"/>
  <c r="G364" i="3"/>
  <c r="G367" i="3"/>
  <c r="BA370" i="3"/>
  <c r="AZ370" i="3" s="1"/>
  <c r="BA371" i="3"/>
  <c r="BL376" i="3"/>
  <c r="BL379" i="3"/>
  <c r="G380" i="3"/>
  <c r="G383" i="3"/>
  <c r="BA386" i="3"/>
  <c r="AZ386" i="3" s="1"/>
  <c r="BA387" i="3"/>
  <c r="BL392" i="3"/>
  <c r="BL395" i="3"/>
  <c r="G396" i="3"/>
  <c r="G399" i="3"/>
  <c r="BA402" i="3"/>
  <c r="AZ402" i="3" s="1"/>
  <c r="BA403" i="3"/>
  <c r="BL408" i="3"/>
  <c r="BL411" i="3"/>
  <c r="G412" i="3"/>
  <c r="G415" i="3"/>
  <c r="BA418" i="3"/>
  <c r="BA419" i="3"/>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AZ517" i="3" s="1"/>
  <c r="G518" i="3"/>
  <c r="G521" i="3"/>
  <c r="BA524" i="3"/>
  <c r="AZ524" i="3" s="1"/>
  <c r="BA525" i="3"/>
  <c r="AZ525" i="3" s="1"/>
  <c r="BL530" i="3"/>
  <c r="BL533" i="3"/>
  <c r="G534" i="3"/>
  <c r="G537" i="3"/>
  <c r="BA540" i="3"/>
  <c r="AZ540" i="3" s="1"/>
  <c r="BA541" i="3"/>
  <c r="AZ541" i="3" s="1"/>
  <c r="BL546" i="3"/>
  <c r="BL549" i="3"/>
  <c r="AZ549" i="3" s="1"/>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AZ564" i="3" s="1"/>
  <c r="BA565" i="3"/>
  <c r="AZ565" i="3" s="1"/>
  <c r="BL570" i="3"/>
  <c r="BL573" i="3"/>
  <c r="AZ573" i="3" s="1"/>
  <c r="G574" i="3"/>
  <c r="G577" i="3"/>
  <c r="BA580" i="3"/>
  <c r="BA581" i="3"/>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BA46" i="3"/>
  <c r="AZ46" i="3" s="1"/>
  <c r="BA318" i="3"/>
  <c r="AZ318" i="3" s="1"/>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AB45" i="21"/>
  <c r="AA45" i="21"/>
  <c r="U8" i="33"/>
  <c r="C15" i="78"/>
  <c r="BN5" i="3"/>
  <c r="BP5" i="3"/>
  <c r="BR5" i="3"/>
  <c r="BT5" i="3"/>
  <c r="BA36" i="3"/>
  <c r="AZ36" i="3" s="1"/>
  <c r="B4" i="62"/>
  <c r="B71" i="72" s="1"/>
  <c r="B15" i="78"/>
  <c r="G25" i="78"/>
  <c r="BM5" i="3"/>
  <c r="BL13" i="3"/>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AB14" i="37" s="1"/>
  <c r="J14" i="37"/>
  <c r="C79" i="35"/>
  <c r="H26" i="35" s="1"/>
  <c r="W36" i="35"/>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G52" i="3"/>
  <c r="BA52" i="3"/>
  <c r="BL53" i="3"/>
  <c r="AZ53" i="3" s="1"/>
  <c r="G54" i="3"/>
  <c r="BA54" i="3"/>
  <c r="AZ54" i="3" s="1"/>
  <c r="BL55" i="3"/>
  <c r="G56" i="3"/>
  <c r="BA56" i="3"/>
  <c r="BL57" i="3"/>
  <c r="G58" i="3"/>
  <c r="BA58" i="3"/>
  <c r="AZ58" i="3" s="1"/>
  <c r="BL59" i="3"/>
  <c r="G60" i="3"/>
  <c r="BA60" i="3"/>
  <c r="BL61" i="3"/>
  <c r="AZ61" i="3" s="1"/>
  <c r="G62" i="3"/>
  <c r="BA62" i="3"/>
  <c r="AZ62" i="3" s="1"/>
  <c r="BL63" i="3"/>
  <c r="G64" i="3"/>
  <c r="BA64" i="3"/>
  <c r="AZ64" i="3" s="1"/>
  <c r="BL65" i="3"/>
  <c r="G66" i="3"/>
  <c r="BA66" i="3"/>
  <c r="AZ66" i="3" s="1"/>
  <c r="BL67" i="3"/>
  <c r="G68" i="3"/>
  <c r="BA68" i="3"/>
  <c r="AZ68" i="3" s="1"/>
  <c r="BL69" i="3"/>
  <c r="G70" i="3"/>
  <c r="BA70" i="3"/>
  <c r="AZ70" i="3" s="1"/>
  <c r="BL71" i="3"/>
  <c r="G72" i="3"/>
  <c r="BA72" i="3"/>
  <c r="AZ72" i="3" s="1"/>
  <c r="BL73" i="3"/>
  <c r="G74" i="3"/>
  <c r="BA74" i="3"/>
  <c r="AZ74" i="3" s="1"/>
  <c r="BL75" i="3"/>
  <c r="G76" i="3"/>
  <c r="BA76" i="3"/>
  <c r="AZ76" i="3" s="1"/>
  <c r="BL77" i="3"/>
  <c r="G78" i="3"/>
  <c r="BA78" i="3"/>
  <c r="BL79" i="3"/>
  <c r="G80" i="3"/>
  <c r="BA80" i="3"/>
  <c r="AZ80" i="3" s="1"/>
  <c r="BL81" i="3"/>
  <c r="G82" i="3"/>
  <c r="BA82" i="3"/>
  <c r="AZ82" i="3" s="1"/>
  <c r="BL83" i="3"/>
  <c r="G84" i="3"/>
  <c r="BA84" i="3"/>
  <c r="AZ84" i="3" s="1"/>
  <c r="BL85" i="3"/>
  <c r="AZ85" i="3" s="1"/>
  <c r="G86" i="3"/>
  <c r="BA86" i="3"/>
  <c r="AZ86" i="3" s="1"/>
  <c r="BL87" i="3"/>
  <c r="G88" i="3"/>
  <c r="BA88" i="3"/>
  <c r="AZ88" i="3" s="1"/>
  <c r="BL89" i="3"/>
  <c r="G90" i="3"/>
  <c r="BA90" i="3"/>
  <c r="AZ90" i="3" s="1"/>
  <c r="BL91" i="3"/>
  <c r="G92" i="3"/>
  <c r="BA92" i="3"/>
  <c r="BL93" i="3"/>
  <c r="AZ93" i="3" s="1"/>
  <c r="G94" i="3"/>
  <c r="BA94" i="3"/>
  <c r="AZ94" i="3" s="1"/>
  <c r="BL95" i="3"/>
  <c r="G96" i="3"/>
  <c r="BA96" i="3"/>
  <c r="AZ96" i="3" s="1"/>
  <c r="BL97" i="3"/>
  <c r="G98" i="3"/>
  <c r="BA98" i="3"/>
  <c r="BL99" i="3"/>
  <c r="G100" i="3"/>
  <c r="BA100" i="3"/>
  <c r="AZ100" i="3" s="1"/>
  <c r="BL101" i="3"/>
  <c r="G102" i="3"/>
  <c r="BA102" i="3"/>
  <c r="AZ102" i="3" s="1"/>
  <c r="BL103" i="3"/>
  <c r="G104" i="3"/>
  <c r="BA104" i="3"/>
  <c r="BL105" i="3"/>
  <c r="G106" i="3"/>
  <c r="BA106" i="3"/>
  <c r="AZ106" i="3" s="1"/>
  <c r="BL107" i="3"/>
  <c r="G108" i="3"/>
  <c r="BA108" i="3"/>
  <c r="AZ108" i="3" s="1"/>
  <c r="BL109" i="3"/>
  <c r="G110" i="3"/>
  <c r="BA110" i="3"/>
  <c r="BL111" i="3"/>
  <c r="G112" i="3"/>
  <c r="BA112" i="3"/>
  <c r="AZ112" i="3" s="1"/>
  <c r="BL113" i="3"/>
  <c r="G114" i="3"/>
  <c r="BA114" i="3"/>
  <c r="AZ114" i="3" s="1"/>
  <c r="BL115" i="3"/>
  <c r="G116" i="3"/>
  <c r="BA116" i="3"/>
  <c r="BL117" i="3"/>
  <c r="G118" i="3"/>
  <c r="BA118" i="3"/>
  <c r="AZ118" i="3" s="1"/>
  <c r="BL119" i="3"/>
  <c r="G120" i="3"/>
  <c r="BA120" i="3"/>
  <c r="AZ120" i="3" s="1"/>
  <c r="BL121" i="3"/>
  <c r="G122" i="3"/>
  <c r="BA122" i="3"/>
  <c r="AZ122" i="3" s="1"/>
  <c r="BL123" i="3"/>
  <c r="G124" i="3"/>
  <c r="BA124" i="3"/>
  <c r="BL125" i="3"/>
  <c r="G126" i="3"/>
  <c r="BA126" i="3"/>
  <c r="AZ126" i="3" s="1"/>
  <c r="BL127" i="3"/>
  <c r="G128" i="3"/>
  <c r="BA128" i="3"/>
  <c r="AZ128" i="3" s="1"/>
  <c r="BL129" i="3"/>
  <c r="G130" i="3"/>
  <c r="BA130" i="3"/>
  <c r="AZ130" i="3" s="1"/>
  <c r="BL131" i="3"/>
  <c r="G132" i="3"/>
  <c r="BA132" i="3"/>
  <c r="AZ132" i="3" s="1"/>
  <c r="BL133" i="3"/>
  <c r="G134" i="3"/>
  <c r="BA134" i="3"/>
  <c r="AZ134" i="3" s="1"/>
  <c r="BL135" i="3"/>
  <c r="G136" i="3"/>
  <c r="BA136" i="3"/>
  <c r="AZ136" i="3" s="1"/>
  <c r="BL137" i="3"/>
  <c r="G138" i="3"/>
  <c r="BA138" i="3"/>
  <c r="AZ138" i="3" s="1"/>
  <c r="BL139" i="3"/>
  <c r="G140" i="3"/>
  <c r="BA140" i="3"/>
  <c r="AZ140" i="3" s="1"/>
  <c r="BL141" i="3"/>
  <c r="AZ141" i="3" s="1"/>
  <c r="G142" i="3"/>
  <c r="BA142" i="3"/>
  <c r="BL143" i="3"/>
  <c r="G144" i="3"/>
  <c r="BA144" i="3"/>
  <c r="AZ144" i="3" s="1"/>
  <c r="BL145" i="3"/>
  <c r="G146" i="3"/>
  <c r="BA146" i="3"/>
  <c r="AZ146" i="3" s="1"/>
  <c r="BL147" i="3"/>
  <c r="G148" i="3"/>
  <c r="BA148" i="3"/>
  <c r="AZ148" i="3" s="1"/>
  <c r="BL149" i="3"/>
  <c r="AZ149" i="3" s="1"/>
  <c r="G150" i="3"/>
  <c r="BA150" i="3"/>
  <c r="AZ150" i="3" s="1"/>
  <c r="BL151" i="3"/>
  <c r="G152" i="3"/>
  <c r="BA152" i="3"/>
  <c r="AZ152" i="3" s="1"/>
  <c r="BL153" i="3"/>
  <c r="G154" i="3"/>
  <c r="BA154" i="3"/>
  <c r="AZ154" i="3" s="1"/>
  <c r="BL155" i="3"/>
  <c r="G156" i="3"/>
  <c r="BA156" i="3"/>
  <c r="BL157" i="3"/>
  <c r="AZ157" i="3" s="1"/>
  <c r="G158" i="3"/>
  <c r="BA158" i="3"/>
  <c r="AZ158" i="3" s="1"/>
  <c r="BL159" i="3"/>
  <c r="G160" i="3"/>
  <c r="BA160" i="3"/>
  <c r="AZ160" i="3" s="1"/>
  <c r="BL161" i="3"/>
  <c r="G162" i="3"/>
  <c r="BA162" i="3"/>
  <c r="BL163" i="3"/>
  <c r="G164" i="3"/>
  <c r="BA164" i="3"/>
  <c r="AZ164" i="3" s="1"/>
  <c r="BL165" i="3"/>
  <c r="AZ165" i="3" s="1"/>
  <c r="G166" i="3"/>
  <c r="BA168" i="3"/>
  <c r="AZ168" i="3" s="1"/>
  <c r="BL169" i="3"/>
  <c r="G170" i="3"/>
  <c r="BA172" i="3"/>
  <c r="AZ172" i="3" s="1"/>
  <c r="BL173" i="3"/>
  <c r="G174" i="3"/>
  <c r="BA176" i="3"/>
  <c r="AZ176" i="3" s="1"/>
  <c r="BL177" i="3"/>
  <c r="G178" i="3"/>
  <c r="BA180" i="3"/>
  <c r="AZ180" i="3" s="1"/>
  <c r="BL181" i="3"/>
  <c r="G182" i="3"/>
  <c r="BA184" i="3"/>
  <c r="AZ184" i="3" s="1"/>
  <c r="BL185" i="3"/>
  <c r="G186" i="3"/>
  <c r="BA188" i="3"/>
  <c r="AZ188" i="3" s="1"/>
  <c r="BL189" i="3"/>
  <c r="G190" i="3"/>
  <c r="BA192" i="3"/>
  <c r="AZ192" i="3" s="1"/>
  <c r="BL193" i="3"/>
  <c r="G194" i="3"/>
  <c r="BA196" i="3"/>
  <c r="AZ196" i="3" s="1"/>
  <c r="BL197" i="3"/>
  <c r="G198" i="3"/>
  <c r="BA200" i="3"/>
  <c r="AZ200" i="3" s="1"/>
  <c r="BL201" i="3"/>
  <c r="G202" i="3"/>
  <c r="BA204" i="3"/>
  <c r="AZ204" i="3" s="1"/>
  <c r="BL205" i="3"/>
  <c r="G206" i="3"/>
  <c r="BA208" i="3"/>
  <c r="AZ208" i="3" s="1"/>
  <c r="BL209" i="3"/>
  <c r="G210" i="3"/>
  <c r="BA212" i="3"/>
  <c r="AZ212" i="3" s="1"/>
  <c r="BL213" i="3"/>
  <c r="AZ213" i="3" s="1"/>
  <c r="G214" i="3"/>
  <c r="BA216" i="3"/>
  <c r="AZ216" i="3" s="1"/>
  <c r="BL217" i="3"/>
  <c r="G218" i="3"/>
  <c r="BA220" i="3"/>
  <c r="AZ220" i="3" s="1"/>
  <c r="BL221" i="3"/>
  <c r="G222" i="3"/>
  <c r="BA224" i="3"/>
  <c r="AZ224" i="3" s="1"/>
  <c r="BL225" i="3"/>
  <c r="G226" i="3"/>
  <c r="BA228" i="3"/>
  <c r="AZ228" i="3" s="1"/>
  <c r="BL229" i="3"/>
  <c r="AZ229" i="3" s="1"/>
  <c r="G230" i="3"/>
  <c r="BA232" i="3"/>
  <c r="AZ232" i="3" s="1"/>
  <c r="BL233" i="3"/>
  <c r="G234" i="3"/>
  <c r="BA236" i="3"/>
  <c r="BL237" i="3"/>
  <c r="G238" i="3"/>
  <c r="BA240" i="3"/>
  <c r="AZ240" i="3" s="1"/>
  <c r="BL241" i="3"/>
  <c r="G242" i="3"/>
  <c r="BA244" i="3"/>
  <c r="AZ244" i="3" s="1"/>
  <c r="BL245" i="3"/>
  <c r="AZ245" i="3" s="1"/>
  <c r="G246" i="3"/>
  <c r="BA248" i="3"/>
  <c r="AZ248" i="3" s="1"/>
  <c r="BL249" i="3"/>
  <c r="G250" i="3"/>
  <c r="BA252" i="3"/>
  <c r="AZ252" i="3" s="1"/>
  <c r="BL253" i="3"/>
  <c r="G254" i="3"/>
  <c r="BA256" i="3"/>
  <c r="AZ256" i="3" s="1"/>
  <c r="BL257" i="3"/>
  <c r="G258" i="3"/>
  <c r="BA260" i="3"/>
  <c r="BL261" i="3"/>
  <c r="G262" i="3"/>
  <c r="BA264" i="3"/>
  <c r="AZ264" i="3" s="1"/>
  <c r="BL265" i="3"/>
  <c r="G266" i="3"/>
  <c r="BA268" i="3"/>
  <c r="AZ268" i="3" s="1"/>
  <c r="BL269" i="3"/>
  <c r="G270" i="3"/>
  <c r="BA272" i="3"/>
  <c r="AZ272" i="3" s="1"/>
  <c r="BL273" i="3"/>
  <c r="G274" i="3"/>
  <c r="BA276" i="3"/>
  <c r="AZ276" i="3" s="1"/>
  <c r="BL277" i="3"/>
  <c r="AZ277" i="3" s="1"/>
  <c r="G278" i="3"/>
  <c r="BA280" i="3"/>
  <c r="AZ280" i="3" s="1"/>
  <c r="BL281" i="3"/>
  <c r="G282" i="3"/>
  <c r="BA284" i="3"/>
  <c r="AZ284" i="3" s="1"/>
  <c r="BL285" i="3"/>
  <c r="G286" i="3"/>
  <c r="BA288" i="3"/>
  <c r="AZ288" i="3" s="1"/>
  <c r="BL289" i="3"/>
  <c r="G290" i="3"/>
  <c r="BA292" i="3"/>
  <c r="AZ292" i="3" s="1"/>
  <c r="BL293" i="3"/>
  <c r="AZ293" i="3" s="1"/>
  <c r="G294" i="3"/>
  <c r="BA296" i="3"/>
  <c r="AZ296" i="3" s="1"/>
  <c r="BL297" i="3"/>
  <c r="G298" i="3"/>
  <c r="BA300" i="3"/>
  <c r="AZ300" i="3" s="1"/>
  <c r="BL301" i="3"/>
  <c r="G302" i="3"/>
  <c r="BA304" i="3"/>
  <c r="AZ304" i="3" s="1"/>
  <c r="BL305" i="3"/>
  <c r="G306" i="3"/>
  <c r="BA308" i="3"/>
  <c r="AZ308" i="3" s="1"/>
  <c r="BL309" i="3"/>
  <c r="G310" i="3"/>
  <c r="BA312" i="3"/>
  <c r="AZ312" i="3" s="1"/>
  <c r="BL313" i="3"/>
  <c r="G314" i="3"/>
  <c r="BA316" i="3"/>
  <c r="AZ316" i="3" s="1"/>
  <c r="BL317" i="3"/>
  <c r="G318" i="3"/>
  <c r="BA320" i="3"/>
  <c r="AZ320" i="3" s="1"/>
  <c r="BL321" i="3"/>
  <c r="G322" i="3"/>
  <c r="BA324" i="3"/>
  <c r="AZ324" i="3" s="1"/>
  <c r="BL325" i="3"/>
  <c r="G326" i="3"/>
  <c r="BA328" i="3"/>
  <c r="BL329" i="3"/>
  <c r="G330" i="3"/>
  <c r="BA332" i="3"/>
  <c r="BL333" i="3"/>
  <c r="G334" i="3"/>
  <c r="BA336" i="3"/>
  <c r="BL337" i="3"/>
  <c r="G338" i="3"/>
  <c r="BA340" i="3"/>
  <c r="AZ340" i="3" s="1"/>
  <c r="BL341" i="3"/>
  <c r="AZ341" i="3" s="1"/>
  <c r="G342" i="3"/>
  <c r="BA344" i="3"/>
  <c r="AZ344" i="3" s="1"/>
  <c r="BL345" i="3"/>
  <c r="G346" i="3"/>
  <c r="BA348" i="3"/>
  <c r="BL349" i="3"/>
  <c r="G350" i="3"/>
  <c r="BA352" i="3"/>
  <c r="AZ352" i="3" s="1"/>
  <c r="BL353" i="3"/>
  <c r="G354" i="3"/>
  <c r="BA356" i="3"/>
  <c r="AZ356" i="3" s="1"/>
  <c r="BL357" i="3"/>
  <c r="AZ357" i="3" s="1"/>
  <c r="G358" i="3"/>
  <c r="BA360" i="3"/>
  <c r="BL361" i="3"/>
  <c r="AZ361" i="3" s="1"/>
  <c r="G362" i="3"/>
  <c r="BA364" i="3"/>
  <c r="BL365" i="3"/>
  <c r="G366" i="3"/>
  <c r="BA368" i="3"/>
  <c r="AZ368" i="3" s="1"/>
  <c r="BL369" i="3"/>
  <c r="G370" i="3"/>
  <c r="BA372" i="3"/>
  <c r="AZ372" i="3" s="1"/>
  <c r="BL373" i="3"/>
  <c r="AZ373" i="3" s="1"/>
  <c r="G374" i="3"/>
  <c r="BA376" i="3"/>
  <c r="BL377" i="3"/>
  <c r="AZ377" i="3" s="1"/>
  <c r="G378" i="3"/>
  <c r="BA380" i="3"/>
  <c r="AZ380" i="3" s="1"/>
  <c r="BL381" i="3"/>
  <c r="AZ381" i="3" s="1"/>
  <c r="G382" i="3"/>
  <c r="BA384" i="3"/>
  <c r="AZ384" i="3" s="1"/>
  <c r="BL385" i="3"/>
  <c r="AZ385" i="3" s="1"/>
  <c r="G386" i="3"/>
  <c r="BA388" i="3"/>
  <c r="BL389" i="3"/>
  <c r="G390" i="3"/>
  <c r="BA392" i="3"/>
  <c r="BL393" i="3"/>
  <c r="AZ393" i="3" s="1"/>
  <c r="G394" i="3"/>
  <c r="BA396" i="3"/>
  <c r="AZ396" i="3" s="1"/>
  <c r="BL397" i="3"/>
  <c r="AZ397" i="3" s="1"/>
  <c r="G398" i="3"/>
  <c r="BA400" i="3"/>
  <c r="AZ400" i="3" s="1"/>
  <c r="BL401" i="3"/>
  <c r="AZ401" i="3" s="1"/>
  <c r="G402" i="3"/>
  <c r="BA404" i="3"/>
  <c r="BL405" i="3"/>
  <c r="AZ405" i="3" s="1"/>
  <c r="G406" i="3"/>
  <c r="BA408" i="3"/>
  <c r="BL409" i="3"/>
  <c r="G410" i="3"/>
  <c r="BA412" i="3"/>
  <c r="AZ412" i="3" s="1"/>
  <c r="BL413" i="3"/>
  <c r="G414" i="3"/>
  <c r="BA416" i="3"/>
  <c r="AZ416" i="3" s="1"/>
  <c r="BL417" i="3"/>
  <c r="AZ417" i="3" s="1"/>
  <c r="G418" i="3"/>
  <c r="BA420" i="3"/>
  <c r="AZ420" i="3" s="1"/>
  <c r="BL421" i="3"/>
  <c r="AZ421" i="3" s="1"/>
  <c r="G422" i="3"/>
  <c r="BA424" i="3"/>
  <c r="BL425" i="3"/>
  <c r="AZ425" i="3" s="1"/>
  <c r="G426" i="3"/>
  <c r="BA428" i="3"/>
  <c r="AZ428" i="3" s="1"/>
  <c r="BL429" i="3"/>
  <c r="G430" i="3"/>
  <c r="BA432" i="3"/>
  <c r="AZ432" i="3" s="1"/>
  <c r="BL433" i="3"/>
  <c r="G434" i="3"/>
  <c r="BA436" i="3"/>
  <c r="AZ436" i="3" s="1"/>
  <c r="BL437" i="3"/>
  <c r="AZ437" i="3" s="1"/>
  <c r="G438" i="3"/>
  <c r="BA440" i="3"/>
  <c r="BL441" i="3"/>
  <c r="AZ441" i="3" s="1"/>
  <c r="G442" i="3"/>
  <c r="BA444" i="3"/>
  <c r="AZ444" i="3" s="1"/>
  <c r="S9" i="1"/>
  <c r="T9" i="1" s="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AZ446" i="3" s="1"/>
  <c r="BL447" i="3"/>
  <c r="AZ447" i="3" s="1"/>
  <c r="G448" i="3"/>
  <c r="BA450" i="3"/>
  <c r="BL451" i="3"/>
  <c r="G452" i="3"/>
  <c r="BA454" i="3"/>
  <c r="BL455" i="3"/>
  <c r="G456" i="3"/>
  <c r="BA458" i="3"/>
  <c r="BL459" i="3"/>
  <c r="G460" i="3"/>
  <c r="BA462" i="3"/>
  <c r="BL463" i="3"/>
  <c r="G464" i="3"/>
  <c r="BA466" i="3"/>
  <c r="BL467" i="3"/>
  <c r="AZ467" i="3" s="1"/>
  <c r="G468" i="3"/>
  <c r="BA470" i="3"/>
  <c r="BL471" i="3"/>
  <c r="G472" i="3"/>
  <c r="BA474" i="3"/>
  <c r="BL475" i="3"/>
  <c r="G476" i="3"/>
  <c r="BA478" i="3"/>
  <c r="AZ478" i="3" s="1"/>
  <c r="BL479" i="3"/>
  <c r="G480" i="3"/>
  <c r="BA482" i="3"/>
  <c r="BL483" i="3"/>
  <c r="G484" i="3"/>
  <c r="BA486" i="3"/>
  <c r="BL487" i="3"/>
  <c r="AZ487" i="3" s="1"/>
  <c r="G488" i="3"/>
  <c r="BA490" i="3"/>
  <c r="BL491" i="3"/>
  <c r="G492" i="3"/>
  <c r="BA494" i="3"/>
  <c r="BL495" i="3"/>
  <c r="AZ495" i="3" s="1"/>
  <c r="G496" i="3"/>
  <c r="BA498" i="3"/>
  <c r="BL499" i="3"/>
  <c r="G500" i="3"/>
  <c r="BA502" i="3"/>
  <c r="BL503" i="3"/>
  <c r="AZ503" i="3" s="1"/>
  <c r="G504" i="3"/>
  <c r="BA506" i="3"/>
  <c r="AZ506" i="3" s="1"/>
  <c r="BL507" i="3"/>
  <c r="AZ507" i="3" s="1"/>
  <c r="G508" i="3"/>
  <c r="BA510" i="3"/>
  <c r="AZ510" i="3" s="1"/>
  <c r="BL511" i="3"/>
  <c r="AZ511" i="3" s="1"/>
  <c r="G512" i="3"/>
  <c r="BA514" i="3"/>
  <c r="BL515" i="3"/>
  <c r="AZ515" i="3" s="1"/>
  <c r="G516" i="3"/>
  <c r="BA518" i="3"/>
  <c r="BL519" i="3"/>
  <c r="G520" i="3"/>
  <c r="BA522" i="3"/>
  <c r="AZ522" i="3" s="1"/>
  <c r="BL523" i="3"/>
  <c r="G524" i="3"/>
  <c r="BA526" i="3"/>
  <c r="BL527" i="3"/>
  <c r="AZ527" i="3" s="1"/>
  <c r="G528" i="3"/>
  <c r="BA530" i="3"/>
  <c r="BL531" i="3"/>
  <c r="AZ531" i="3" s="1"/>
  <c r="G532" i="3"/>
  <c r="BA534" i="3"/>
  <c r="BL535" i="3"/>
  <c r="G536" i="3"/>
  <c r="BA538" i="3"/>
  <c r="AZ538" i="3" s="1"/>
  <c r="BL539" i="3"/>
  <c r="G540" i="3"/>
  <c r="BA542" i="3"/>
  <c r="AZ542" i="3" s="1"/>
  <c r="BL543" i="3"/>
  <c r="AZ543" i="3" s="1"/>
  <c r="G544" i="3"/>
  <c r="BA546" i="3"/>
  <c r="BL547" i="3"/>
  <c r="AZ547" i="3" s="1"/>
  <c r="G548" i="3"/>
  <c r="BA550" i="3"/>
  <c r="BL551" i="3"/>
  <c r="G552" i="3"/>
  <c r="BA554" i="3"/>
  <c r="BL555" i="3"/>
  <c r="G556" i="3"/>
  <c r="BA558" i="3"/>
  <c r="AZ558" i="3" s="1"/>
  <c r="BL559" i="3"/>
  <c r="G560" i="3"/>
  <c r="BA562" i="3"/>
  <c r="AZ562" i="3" s="1"/>
  <c r="BL563" i="3"/>
  <c r="G564" i="3"/>
  <c r="BA566" i="3"/>
  <c r="AZ566" i="3" s="1"/>
  <c r="BL567" i="3"/>
  <c r="AZ567" i="3" s="1"/>
  <c r="G568" i="3"/>
  <c r="BA570" i="3"/>
  <c r="AZ570" i="3" s="1"/>
  <c r="BL571" i="3"/>
  <c r="G572" i="3"/>
  <c r="BA574" i="3"/>
  <c r="AZ574" i="3" s="1"/>
  <c r="BL575" i="3"/>
  <c r="AZ575" i="3" s="1"/>
  <c r="G576" i="3"/>
  <c r="BA578" i="3"/>
  <c r="AZ578" i="3" s="1"/>
  <c r="BL579" i="3"/>
  <c r="AZ579" i="3" s="1"/>
  <c r="G580" i="3"/>
  <c r="BA582" i="3"/>
  <c r="BL583" i="3"/>
  <c r="AZ583" i="3" s="1"/>
  <c r="G584" i="3"/>
  <c r="BA586" i="3"/>
  <c r="AZ586" i="3" s="1"/>
  <c r="BL587" i="3"/>
  <c r="P27" i="6"/>
  <c r="K7" i="1"/>
  <c r="M7" i="1" s="1"/>
  <c r="B24" i="1"/>
  <c r="F34" i="11" s="1"/>
  <c r="D7" i="74"/>
  <c r="R14" i="77"/>
  <c r="R25" i="77" s="1"/>
  <c r="R5" i="77" s="1"/>
  <c r="U5" i="77" s="1"/>
  <c r="K145" i="21"/>
  <c r="U8" i="34"/>
  <c r="W27" i="34"/>
  <c r="AA42" i="34"/>
  <c r="H27" i="34"/>
  <c r="U27" i="34" s="1"/>
  <c r="F27" i="34"/>
  <c r="AA27" i="34" s="1"/>
  <c r="AB9" i="37"/>
  <c r="W30" i="37"/>
  <c r="W38" i="37"/>
  <c r="J40" i="37"/>
  <c r="F40" i="37"/>
  <c r="W28" i="35"/>
  <c r="W32" i="35"/>
  <c r="AA8" i="36"/>
  <c r="S8" i="36"/>
  <c r="H11" i="36"/>
  <c r="F11" i="36"/>
  <c r="AA11" i="36" s="1"/>
  <c r="H13" i="36"/>
  <c r="J13" i="36"/>
  <c r="AC13" i="36" s="1"/>
  <c r="H23" i="36"/>
  <c r="F23" i="36"/>
  <c r="AA23" i="36" s="1"/>
  <c r="H25" i="36"/>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F28" i="6"/>
  <c r="G24" i="78"/>
  <c r="BA14" i="3"/>
  <c r="AZ14" i="3" s="1"/>
  <c r="BB5" i="3"/>
  <c r="AZ15" i="3"/>
  <c r="AZ21" i="3"/>
  <c r="AZ25" i="3"/>
  <c r="AZ27" i="3"/>
  <c r="AZ29" i="3"/>
  <c r="AZ35" i="3"/>
  <c r="AZ37" i="3"/>
  <c r="AZ39" i="3"/>
  <c r="AZ47" i="3"/>
  <c r="AZ49" i="3"/>
  <c r="AZ51" i="3"/>
  <c r="AZ59" i="3"/>
  <c r="AZ67" i="3"/>
  <c r="AZ69" i="3"/>
  <c r="AZ71" i="3"/>
  <c r="AZ73" i="3"/>
  <c r="AZ75" i="3"/>
  <c r="AZ77" i="3"/>
  <c r="AZ79" i="3"/>
  <c r="AZ83" i="3"/>
  <c r="AZ87" i="3"/>
  <c r="AZ89" i="3"/>
  <c r="AZ91" i="3"/>
  <c r="AZ95" i="3"/>
  <c r="AZ97" i="3"/>
  <c r="AZ105" i="3"/>
  <c r="AZ107" i="3"/>
  <c r="AZ111" i="3"/>
  <c r="AZ113" i="3"/>
  <c r="AZ115" i="3"/>
  <c r="AZ119" i="3"/>
  <c r="AZ123" i="3"/>
  <c r="AZ125" i="3"/>
  <c r="AZ129" i="3"/>
  <c r="AZ135" i="3"/>
  <c r="AZ139" i="3"/>
  <c r="AZ143" i="3"/>
  <c r="AZ145" i="3"/>
  <c r="AZ147" i="3"/>
  <c r="AZ151" i="3"/>
  <c r="AZ155" i="3"/>
  <c r="AZ159" i="3"/>
  <c r="AZ163" i="3"/>
  <c r="AZ173" i="3"/>
  <c r="AZ177" i="3"/>
  <c r="AZ181" i="3"/>
  <c r="AZ185" i="3"/>
  <c r="AZ189" i="3"/>
  <c r="AZ193" i="3"/>
  <c r="AZ201" i="3"/>
  <c r="AZ205" i="3"/>
  <c r="AZ209" i="3"/>
  <c r="AZ217" i="3"/>
  <c r="AZ225" i="3"/>
  <c r="AZ233" i="3"/>
  <c r="AZ237" i="3"/>
  <c r="AZ241" i="3"/>
  <c r="AZ249" i="3"/>
  <c r="AZ253" i="3"/>
  <c r="AZ265" i="3"/>
  <c r="AZ273" i="3"/>
  <c r="AZ285" i="3"/>
  <c r="AZ289" i="3"/>
  <c r="AZ297" i="3"/>
  <c r="AZ301" i="3"/>
  <c r="AZ305" i="3"/>
  <c r="AZ317" i="3"/>
  <c r="AZ325" i="3"/>
  <c r="AZ329" i="3"/>
  <c r="AZ337" i="3"/>
  <c r="AZ345" i="3"/>
  <c r="AZ349" i="3"/>
  <c r="AB8" i="71"/>
  <c r="X8" i="71"/>
  <c r="AA8" i="71"/>
  <c r="Y8" i="71"/>
  <c r="Z8" i="71" s="1"/>
  <c r="A118" i="9"/>
  <c r="A2" i="9"/>
  <c r="M56" i="9"/>
  <c r="J56" i="9"/>
  <c r="J57" i="9" s="1"/>
  <c r="J59" i="9" s="1"/>
  <c r="J61" i="9" s="1"/>
  <c r="N56" i="9"/>
  <c r="K56" i="9"/>
  <c r="I4" i="6"/>
  <c r="AZ435" i="3"/>
  <c r="AZ443" i="3"/>
  <c r="AZ459" i="3"/>
  <c r="AZ463" i="3"/>
  <c r="AZ471" i="3"/>
  <c r="AZ483" i="3"/>
  <c r="AZ491" i="3"/>
  <c r="AZ523" i="3"/>
  <c r="AZ539" i="3"/>
  <c r="AZ559" i="3"/>
  <c r="AZ587" i="3"/>
  <c r="AR8" i="1"/>
  <c r="AQ8" i="1"/>
  <c r="T8" i="1"/>
  <c r="C18" i="9"/>
  <c r="D18" i="9" s="1"/>
  <c r="C94" i="9"/>
  <c r="C92" i="9"/>
  <c r="H89" i="21"/>
  <c r="I89" i="21" s="1"/>
  <c r="J89" i="21" s="1"/>
  <c r="K89" i="21" s="1"/>
  <c r="L89" i="21" s="1"/>
  <c r="M89" i="21" s="1"/>
  <c r="W30" i="21"/>
  <c r="AQ7" i="1"/>
  <c r="T7" i="1"/>
  <c r="AR7" i="1"/>
  <c r="AR10" i="1"/>
  <c r="AQ10" i="1"/>
  <c r="T10" i="1"/>
  <c r="AB13" i="21"/>
  <c r="U13" i="21"/>
  <c r="S37" i="21"/>
  <c r="F127" i="21"/>
  <c r="J44" i="21" s="1"/>
  <c r="H44" i="21"/>
  <c r="AC46" i="21"/>
  <c r="W46" i="21"/>
  <c r="W27" i="33"/>
  <c r="AC29" i="33"/>
  <c r="W29" i="33"/>
  <c r="AC31" i="33"/>
  <c r="W31" i="33"/>
  <c r="AB45" i="33"/>
  <c r="U45" i="33"/>
  <c r="B6" i="1"/>
  <c r="E6" i="1" s="1"/>
  <c r="O16" i="1"/>
  <c r="G7" i="1"/>
  <c r="B8" i="1"/>
  <c r="E8" i="1" s="1"/>
  <c r="K8" i="1"/>
  <c r="M8" i="1" s="1"/>
  <c r="R8" i="1"/>
  <c r="G9" i="1"/>
  <c r="B10" i="1"/>
  <c r="E10" i="1" s="1"/>
  <c r="K10" i="1"/>
  <c r="M10" i="1" s="1"/>
  <c r="R10" i="1"/>
  <c r="K11" i="1"/>
  <c r="M11" i="1" s="1"/>
  <c r="K12" i="1"/>
  <c r="M12" i="1" s="1"/>
  <c r="K13" i="1"/>
  <c r="M13" i="1" s="1"/>
  <c r="T13" i="1"/>
  <c r="AQ13" i="1"/>
  <c r="E19" i="11"/>
  <c r="E19" i="69"/>
  <c r="B72" i="43"/>
  <c r="C15" i="39"/>
  <c r="B61" i="43"/>
  <c r="C19" i="39"/>
  <c r="B90" i="43"/>
  <c r="C21" i="40"/>
  <c r="B97" i="43"/>
  <c r="B75" i="43"/>
  <c r="B65" i="43"/>
  <c r="B54" i="43"/>
  <c r="B14" i="74"/>
  <c r="B1" i="74" s="1"/>
  <c r="L63" i="9"/>
  <c r="M63" i="9" s="1"/>
  <c r="M69" i="9" s="1"/>
  <c r="N69" i="9" s="1"/>
  <c r="L64" i="9"/>
  <c r="M64" i="9" s="1"/>
  <c r="L65" i="9"/>
  <c r="M65" i="9" s="1"/>
  <c r="L66" i="9"/>
  <c r="M66" i="9" s="1"/>
  <c r="L67" i="9"/>
  <c r="M67" i="9" s="1"/>
  <c r="H110" i="9"/>
  <c r="D18" i="53" s="1"/>
  <c r="B35" i="72" s="1"/>
  <c r="H111" i="9"/>
  <c r="G1" i="68"/>
  <c r="G41" i="68"/>
  <c r="K1" i="12"/>
  <c r="G1" i="15"/>
  <c r="F28" i="67"/>
  <c r="P74" i="67"/>
  <c r="E23" i="77"/>
  <c r="D26" i="77"/>
  <c r="C29" i="77"/>
  <c r="R35" i="77"/>
  <c r="U34" i="77" s="1"/>
  <c r="U8" i="21"/>
  <c r="U9" i="21"/>
  <c r="S10" i="21"/>
  <c r="W10" i="21"/>
  <c r="U11" i="21"/>
  <c r="W12" i="21"/>
  <c r="S14" i="21"/>
  <c r="F15" i="21"/>
  <c r="J15" i="21"/>
  <c r="F17" i="21"/>
  <c r="J17" i="21"/>
  <c r="F19" i="21"/>
  <c r="J19" i="21"/>
  <c r="S21" i="21"/>
  <c r="W21" i="21"/>
  <c r="F23" i="21"/>
  <c r="J23" i="21"/>
  <c r="U25" i="21"/>
  <c r="F28" i="21"/>
  <c r="AA28" i="21" s="1"/>
  <c r="F30" i="21"/>
  <c r="U31" i="21"/>
  <c r="U32" i="21"/>
  <c r="U39" i="21"/>
  <c r="S40" i="21"/>
  <c r="W40" i="21"/>
  <c r="U41" i="21"/>
  <c r="F44" i="21"/>
  <c r="F46" i="21"/>
  <c r="K141" i="21"/>
  <c r="K143" i="21"/>
  <c r="S8" i="33"/>
  <c r="W8" i="33"/>
  <c r="S9"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W10" i="34"/>
  <c r="S12" i="34"/>
  <c r="U13" i="34"/>
  <c r="S15" i="34"/>
  <c r="W17" i="34"/>
  <c r="S19" i="34"/>
  <c r="W21" i="34"/>
  <c r="S23" i="34"/>
  <c r="U25" i="34"/>
  <c r="S27" i="34"/>
  <c r="W29" i="34"/>
  <c r="S31" i="34"/>
  <c r="U32" i="34"/>
  <c r="AB33" i="34"/>
  <c r="U33" i="34"/>
  <c r="AC34" i="34"/>
  <c r="W34" i="34"/>
  <c r="AA38" i="34"/>
  <c r="AB41" i="34"/>
  <c r="U41" i="34"/>
  <c r="AC42" i="34"/>
  <c r="W42" i="34"/>
  <c r="AA46" i="34"/>
  <c r="AB47" i="34"/>
  <c r="AA15" i="37"/>
  <c r="AA19" i="37"/>
  <c r="AA23" i="37"/>
  <c r="AB31" i="37"/>
  <c r="U31" i="37"/>
  <c r="AC32" i="37"/>
  <c r="W32" i="37"/>
  <c r="AA36" i="37"/>
  <c r="AC40" i="37"/>
  <c r="W40" i="37"/>
  <c r="J9" i="37"/>
  <c r="F9" i="37"/>
  <c r="H26" i="37"/>
  <c r="F26" i="37"/>
  <c r="H28" i="37"/>
  <c r="F28" i="37"/>
  <c r="AA9" i="35"/>
  <c r="AA16" i="35"/>
  <c r="AA20" i="35"/>
  <c r="AC25" i="35"/>
  <c r="W25" i="35"/>
  <c r="S25" i="35"/>
  <c r="G1" i="69"/>
  <c r="F3" i="35"/>
  <c r="G8" i="1"/>
  <c r="G10" i="1"/>
  <c r="E1" i="73"/>
  <c r="G41" i="11"/>
  <c r="G22" i="11"/>
  <c r="G41" i="69"/>
  <c r="G22" i="69"/>
  <c r="B83" i="43"/>
  <c r="C15" i="40"/>
  <c r="B84" i="43"/>
  <c r="C17" i="40"/>
  <c r="B87" i="43"/>
  <c r="C23" i="40"/>
  <c r="B88" i="43"/>
  <c r="C25" i="40"/>
  <c r="H112" i="9"/>
  <c r="G22" i="68"/>
  <c r="G25" i="12"/>
  <c r="G27" i="12"/>
  <c r="F31" i="12"/>
  <c r="D29" i="77"/>
  <c r="D32" i="77" s="1"/>
  <c r="U10" i="21"/>
  <c r="S11" i="21"/>
  <c r="W11" i="21"/>
  <c r="U12" i="21"/>
  <c r="S13" i="21"/>
  <c r="W13" i="21"/>
  <c r="U14" i="21"/>
  <c r="U15" i="21"/>
  <c r="G17" i="21"/>
  <c r="I17" i="21"/>
  <c r="U17" i="21"/>
  <c r="U19" i="21"/>
  <c r="U21" i="21"/>
  <c r="U23" i="21"/>
  <c r="S25" i="21"/>
  <c r="W25" i="21"/>
  <c r="U30" i="21"/>
  <c r="W31" i="21"/>
  <c r="S39" i="21"/>
  <c r="W39" i="21"/>
  <c r="U40" i="21"/>
  <c r="S41" i="21"/>
  <c r="W41" i="21"/>
  <c r="W45" i="21"/>
  <c r="R47" i="21"/>
  <c r="V47" i="21"/>
  <c r="G54" i="21"/>
  <c r="H54" i="21" s="1"/>
  <c r="K144" i="21"/>
  <c r="U9" i="33"/>
  <c r="S10" i="33"/>
  <c r="W10" i="33"/>
  <c r="U11" i="33"/>
  <c r="S12" i="33"/>
  <c r="U13" i="33"/>
  <c r="W14" i="33"/>
  <c r="S15" i="33"/>
  <c r="W15" i="33"/>
  <c r="S17" i="33"/>
  <c r="W17" i="33"/>
  <c r="S19" i="33"/>
  <c r="W19" i="33"/>
  <c r="S21" i="33"/>
  <c r="W21" i="33"/>
  <c r="S23" i="33"/>
  <c r="W23" i="33"/>
  <c r="U25" i="33"/>
  <c r="S26" i="33"/>
  <c r="U27" i="33"/>
  <c r="S28" i="33"/>
  <c r="W28" i="33"/>
  <c r="U31" i="33"/>
  <c r="S32" i="33"/>
  <c r="W32" i="33"/>
  <c r="U33" i="33"/>
  <c r="S34" i="33"/>
  <c r="W34" i="33"/>
  <c r="U35" i="33"/>
  <c r="S36" i="33"/>
  <c r="W36" i="33"/>
  <c r="S38" i="33"/>
  <c r="S42" i="33"/>
  <c r="S46" i="33"/>
  <c r="J45" i="33"/>
  <c r="F45" i="33"/>
  <c r="S10" i="34"/>
  <c r="S14" i="34"/>
  <c r="S17" i="34"/>
  <c r="S21" i="34"/>
  <c r="S29" i="34"/>
  <c r="AB37" i="34"/>
  <c r="U37" i="34"/>
  <c r="AC38" i="34"/>
  <c r="W38" i="34"/>
  <c r="AC46"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1" i="35"/>
  <c r="W11" i="35"/>
  <c r="AC13" i="35"/>
  <c r="W13" i="35"/>
  <c r="AC16" i="35"/>
  <c r="W16" i="35"/>
  <c r="AC20" i="35"/>
  <c r="W20" i="35"/>
  <c r="AB29" i="35"/>
  <c r="U29" i="35"/>
  <c r="AA30" i="35"/>
  <c r="S30" i="35"/>
  <c r="S34" i="35"/>
  <c r="U35" i="35"/>
  <c r="AB11" i="35"/>
  <c r="U11" i="35"/>
  <c r="AB13" i="35"/>
  <c r="U13" i="35"/>
  <c r="J35" i="35"/>
  <c r="F35" i="35"/>
  <c r="AB33" i="36"/>
  <c r="U33" i="36"/>
  <c r="AC12" i="39"/>
  <c r="AC14" i="39"/>
  <c r="W14" i="39"/>
  <c r="AB30" i="40"/>
  <c r="U30" i="40"/>
  <c r="U38" i="33"/>
  <c r="S39" i="33"/>
  <c r="W39" i="33"/>
  <c r="U40" i="33"/>
  <c r="S41" i="33"/>
  <c r="W41" i="33"/>
  <c r="U42" i="33"/>
  <c r="S43" i="33"/>
  <c r="W43" i="33"/>
  <c r="U44" i="33"/>
  <c r="U46" i="33"/>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U14" i="37"/>
  <c r="J39" i="37"/>
  <c r="F39" i="37"/>
  <c r="AB8" i="35"/>
  <c r="F11" i="35"/>
  <c r="F13" i="35"/>
  <c r="S14" i="35"/>
  <c r="S18" i="35"/>
  <c r="S23" i="35"/>
  <c r="U24" i="35"/>
  <c r="S28" i="35"/>
  <c r="W30" i="35"/>
  <c r="S32" i="35"/>
  <c r="U33" i="35"/>
  <c r="W34" i="35"/>
  <c r="S36" i="35"/>
  <c r="J24" i="35"/>
  <c r="F24" i="35"/>
  <c r="AB8" i="36"/>
  <c r="AB11" i="36"/>
  <c r="U11" i="36"/>
  <c r="AB13" i="36"/>
  <c r="U13" i="36"/>
  <c r="AB23" i="36"/>
  <c r="U23" i="36"/>
  <c r="AB25" i="36"/>
  <c r="U25" i="36"/>
  <c r="S33" i="34"/>
  <c r="W33" i="34"/>
  <c r="U34" i="34"/>
  <c r="S35" i="34"/>
  <c r="W35" i="34"/>
  <c r="U36" i="34"/>
  <c r="S37" i="34"/>
  <c r="W37" i="34"/>
  <c r="U38" i="34"/>
  <c r="S39" i="34"/>
  <c r="W39" i="34"/>
  <c r="U40" i="34"/>
  <c r="S41" i="34"/>
  <c r="W41" i="34"/>
  <c r="U42" i="34"/>
  <c r="S43" i="34"/>
  <c r="W43" i="34"/>
  <c r="U44" i="34"/>
  <c r="U46" i="34"/>
  <c r="U10" i="37"/>
  <c r="S11" i="37"/>
  <c r="W11"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S10" i="35"/>
  <c r="W10" i="35"/>
  <c r="S12" i="35"/>
  <c r="W12" i="35"/>
  <c r="U14" i="35"/>
  <c r="U16" i="35"/>
  <c r="U18" i="35"/>
  <c r="U20" i="35"/>
  <c r="S22" i="35"/>
  <c r="W22" i="35"/>
  <c r="U25" i="35"/>
  <c r="S27" i="35"/>
  <c r="W27" i="35"/>
  <c r="U28" i="35"/>
  <c r="S29" i="35"/>
  <c r="W29" i="35"/>
  <c r="U30" i="35"/>
  <c r="S31" i="35"/>
  <c r="W31" i="35"/>
  <c r="U32" i="35"/>
  <c r="S33" i="35"/>
  <c r="W33" i="35"/>
  <c r="U34" i="35"/>
  <c r="U36" i="35"/>
  <c r="U9" i="36"/>
  <c r="S10" i="36"/>
  <c r="W10" i="36"/>
  <c r="S12" i="36"/>
  <c r="U14" i="36"/>
  <c r="U16" i="36"/>
  <c r="U18" i="36"/>
  <c r="U20" i="36"/>
  <c r="S22" i="36"/>
  <c r="W22" i="36"/>
  <c r="S24" i="36"/>
  <c r="S26" i="36"/>
  <c r="W26" i="36"/>
  <c r="U27" i="36"/>
  <c r="S28" i="36"/>
  <c r="W28" i="36"/>
  <c r="U29" i="36"/>
  <c r="S30" i="36"/>
  <c r="W30" i="36"/>
  <c r="U31"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U14" i="40"/>
  <c r="J38" i="40"/>
  <c r="F38" i="40"/>
  <c r="J40" i="40"/>
  <c r="F40" i="40"/>
  <c r="E11" i="43"/>
  <c r="E10" i="43"/>
  <c r="E9" i="43"/>
  <c r="E8" i="43"/>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S76" i="71"/>
  <c r="B75" i="71"/>
  <c r="B74" i="71" s="1"/>
  <c r="V76" i="71"/>
  <c r="D83" i="71"/>
  <c r="C82" i="71"/>
  <c r="D82" i="71" s="1"/>
  <c r="X29" i="71"/>
  <c r="X33" i="71"/>
  <c r="X37" i="71"/>
  <c r="D54" i="71"/>
  <c r="D62" i="71"/>
  <c r="F66" i="71"/>
  <c r="P67" i="71"/>
  <c r="D71" i="71"/>
  <c r="C70" i="71"/>
  <c r="D70" i="71" s="1"/>
  <c r="S72" i="71"/>
  <c r="B71" i="71"/>
  <c r="B70" i="71" s="1"/>
  <c r="V72" i="71"/>
  <c r="D79"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G125" i="21"/>
  <c r="J43" i="21"/>
  <c r="AC43" i="21" s="1"/>
  <c r="F43" i="21"/>
  <c r="AA43" i="21" s="1"/>
  <c r="H43" i="21"/>
  <c r="AB43" i="21" s="1"/>
  <c r="U36" i="21"/>
  <c r="S36" i="21"/>
  <c r="W36" i="21"/>
  <c r="S38" i="21"/>
  <c r="W38" i="21"/>
  <c r="U38" i="21"/>
  <c r="S32" i="21"/>
  <c r="AB27" i="21"/>
  <c r="U28" i="21"/>
  <c r="S28" i="21"/>
  <c r="M20" i="67"/>
  <c r="F34" i="67"/>
  <c r="F62" i="67" s="1"/>
  <c r="M20" i="15"/>
  <c r="A18" i="51"/>
  <c r="B13" i="72" s="1"/>
  <c r="C53" i="10"/>
  <c r="C5" i="78"/>
  <c r="D5" i="78" s="1"/>
  <c r="C6" i="78"/>
  <c r="D6" i="78" s="1"/>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1" i="67"/>
  <c r="F68" i="67"/>
  <c r="B20" i="31"/>
  <c r="B21" i="31" s="1"/>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D7" i="73"/>
  <c r="F6" i="73"/>
  <c r="F7" i="67"/>
  <c r="L48" i="67"/>
  <c r="C6" i="43" l="1"/>
  <c r="F26" i="21"/>
  <c r="AA26" i="21" s="1"/>
  <c r="AQ9" i="1"/>
  <c r="AZ13" i="3"/>
  <c r="S29" i="21"/>
  <c r="U45" i="21"/>
  <c r="F30" i="69"/>
  <c r="F48" i="69" s="1"/>
  <c r="M18" i="15"/>
  <c r="K6" i="1"/>
  <c r="AR9" i="1"/>
  <c r="AZ451" i="3"/>
  <c r="AZ133" i="3"/>
  <c r="AZ309" i="3"/>
  <c r="AZ261" i="3"/>
  <c r="AZ197" i="3"/>
  <c r="AZ117" i="3"/>
  <c r="AZ109" i="3"/>
  <c r="U9" i="35"/>
  <c r="W30" i="33"/>
  <c r="S14" i="33"/>
  <c r="F30" i="11"/>
  <c r="C48" i="11" s="1"/>
  <c r="AB27" i="34"/>
  <c r="S12" i="21"/>
  <c r="M18" i="67"/>
  <c r="F53" i="9"/>
  <c r="T11" i="1"/>
  <c r="H26" i="21"/>
  <c r="AB26" i="21" s="1"/>
  <c r="AZ530" i="3"/>
  <c r="AZ498" i="3"/>
  <c r="AZ466" i="3"/>
  <c r="AZ419" i="3"/>
  <c r="AZ387" i="3"/>
  <c r="AZ355" i="3"/>
  <c r="AZ343" i="3"/>
  <c r="AZ529" i="3"/>
  <c r="AZ497" i="3"/>
  <c r="AZ504" i="3"/>
  <c r="AZ439" i="3"/>
  <c r="S32" i="36"/>
  <c r="U23" i="35"/>
  <c r="S30" i="33"/>
  <c r="W9" i="21"/>
  <c r="F54" i="9"/>
  <c r="F32" i="15"/>
  <c r="F60" i="15" s="1"/>
  <c r="F52" i="9"/>
  <c r="AZ550" i="3"/>
  <c r="AZ534" i="3"/>
  <c r="AZ518" i="3"/>
  <c r="AZ502" i="3"/>
  <c r="AZ486" i="3"/>
  <c r="AZ470" i="3"/>
  <c r="AZ454" i="3"/>
  <c r="AZ424" i="3"/>
  <c r="AZ392" i="3"/>
  <c r="AZ360" i="3"/>
  <c r="AZ418" i="3"/>
  <c r="AZ323" i="3"/>
  <c r="AZ307" i="3"/>
  <c r="AZ544" i="3"/>
  <c r="AZ528" i="3"/>
  <c r="AZ496" i="3"/>
  <c r="AZ367" i="3"/>
  <c r="AZ194" i="3"/>
  <c r="U34" i="21"/>
  <c r="S9" i="36"/>
  <c r="W12" i="36"/>
  <c r="S13" i="37"/>
  <c r="S9" i="34"/>
  <c r="U29" i="33"/>
  <c r="W26" i="33"/>
  <c r="S31" i="21"/>
  <c r="F30" i="68"/>
  <c r="F48" i="68" s="1"/>
  <c r="F48" i="9"/>
  <c r="O52" i="9" s="1"/>
  <c r="W14" i="34"/>
  <c r="U9" i="34"/>
  <c r="F28" i="15"/>
  <c r="D68" i="9"/>
  <c r="AQ12" i="1"/>
  <c r="AZ554" i="3"/>
  <c r="AZ490" i="3"/>
  <c r="AZ474" i="3"/>
  <c r="AZ458" i="3"/>
  <c r="AZ433" i="3"/>
  <c r="AZ369" i="3"/>
  <c r="AZ348" i="3"/>
  <c r="AZ332" i="3"/>
  <c r="AZ236" i="3"/>
  <c r="AZ104" i="3"/>
  <c r="AZ56" i="3"/>
  <c r="AZ403" i="3"/>
  <c r="AZ371" i="3"/>
  <c r="AZ170" i="3"/>
  <c r="F11" i="12"/>
  <c r="C23" i="12" s="1"/>
  <c r="S45" i="21"/>
  <c r="W29" i="21"/>
  <c r="U29" i="21"/>
  <c r="T12" i="1"/>
  <c r="AQ11" i="1"/>
  <c r="S13" i="39"/>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E64" i="39" s="1"/>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C49" i="67" s="1"/>
  <c r="M7" i="67"/>
  <c r="J6" i="67" s="1"/>
  <c r="F31" i="67"/>
  <c r="G5" i="3"/>
  <c r="B3" i="3" s="1"/>
  <c r="E317" i="3" s="1"/>
  <c r="AZ477" i="3"/>
  <c r="AZ445" i="3"/>
  <c r="C33" i="21"/>
  <c r="AB33" i="21" s="1"/>
  <c r="F106" i="21"/>
  <c r="G106" i="21" s="1"/>
  <c r="H106" i="21" s="1"/>
  <c r="I106" i="21" s="1"/>
  <c r="J106" i="21" s="1"/>
  <c r="K106" i="21" s="1"/>
  <c r="L106" i="21" s="1"/>
  <c r="M106" i="21" s="1"/>
  <c r="F34" i="21"/>
  <c r="J34" i="21"/>
  <c r="AC34" i="21" s="1"/>
  <c r="U37" i="21"/>
  <c r="W37" i="21"/>
  <c r="AA37" i="21"/>
  <c r="E8" i="6"/>
  <c r="AZ364" i="3"/>
  <c r="AZ311" i="3"/>
  <c r="AZ338" i="3"/>
  <c r="AZ275" i="3"/>
  <c r="AZ303" i="3"/>
  <c r="E17" i="43"/>
  <c r="AB37" i="21"/>
  <c r="J26" i="21"/>
  <c r="AC26" i="21" s="1"/>
  <c r="S27" i="21"/>
  <c r="W42" i="21"/>
  <c r="W27" i="21"/>
  <c r="E13" i="6"/>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E11" i="6"/>
  <c r="E56" i="40" s="1"/>
  <c r="AZ485" i="3"/>
  <c r="AZ469" i="3"/>
  <c r="AZ453" i="3"/>
  <c r="D120" i="9"/>
  <c r="D8" i="53"/>
  <c r="AZ183" i="3"/>
  <c r="AZ279" i="3"/>
  <c r="AZ259" i="3"/>
  <c r="AZ247" i="3"/>
  <c r="AZ187" i="3"/>
  <c r="AB26" i="35"/>
  <c r="U26" i="35"/>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E285" i="3"/>
  <c r="AJ6" i="3"/>
  <c r="E271" i="3"/>
  <c r="E187" i="3"/>
  <c r="E101" i="3"/>
  <c r="E37" i="3"/>
  <c r="W36" i="39"/>
  <c r="AC36" i="39"/>
  <c r="S40" i="37"/>
  <c r="AA40" i="37"/>
  <c r="W31" i="39"/>
  <c r="AC31" i="39"/>
  <c r="AC23" i="35"/>
  <c r="W23" i="35"/>
  <c r="AB30" i="34"/>
  <c r="U30" i="34"/>
  <c r="AC12" i="34"/>
  <c r="W12" i="34"/>
  <c r="F26" i="35"/>
  <c r="T56" i="71"/>
  <c r="D56" i="71"/>
  <c r="C35" i="71"/>
  <c r="D34" i="71"/>
  <c r="D27" i="71"/>
  <c r="C26" i="71"/>
  <c r="D26" i="71" s="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P59" i="21"/>
  <c r="F27" i="6"/>
  <c r="E58" i="40"/>
  <c r="E62" i="39"/>
  <c r="E60" i="40"/>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M6" i="1"/>
  <c r="Q16" i="1"/>
  <c r="E59" i="40"/>
  <c r="E63" i="39"/>
  <c r="AS6" i="3"/>
  <c r="Y6" i="3"/>
  <c r="E150" i="3"/>
  <c r="E142" i="3"/>
  <c r="E118" i="3"/>
  <c r="E110" i="3"/>
  <c r="E86" i="3"/>
  <c r="E78" i="3"/>
  <c r="E54" i="3"/>
  <c r="E46" i="3"/>
  <c r="E22" i="3"/>
  <c r="AQ6" i="3"/>
  <c r="F30" i="6"/>
  <c r="E28" i="6"/>
  <c r="BA5" i="3"/>
  <c r="E27" i="6" s="1"/>
  <c r="J6" i="3"/>
  <c r="U42" i="21"/>
  <c r="S42" i="21"/>
  <c r="W35" i="21"/>
  <c r="S35" i="21"/>
  <c r="AA35" i="21"/>
  <c r="W43" i="21"/>
  <c r="U43" i="21"/>
  <c r="U27" i="21"/>
  <c r="L58" i="67"/>
  <c r="Q73" i="67" s="1"/>
  <c r="I24" i="43"/>
  <c r="C24" i="43" s="1"/>
  <c r="G6" i="1"/>
  <c r="G16" i="1" s="1"/>
  <c r="C7" i="40"/>
  <c r="C63" i="40" s="1"/>
  <c r="C7" i="39"/>
  <c r="C67" i="39" s="1"/>
  <c r="G23" i="43"/>
  <c r="C7" i="36"/>
  <c r="C46" i="36" s="1"/>
  <c r="C7" i="34"/>
  <c r="C59" i="34" s="1"/>
  <c r="J51" i="67"/>
  <c r="L60" i="67" s="1"/>
  <c r="Q66" i="67" s="1"/>
  <c r="M47" i="9"/>
  <c r="C7" i="35"/>
  <c r="C48" i="35" s="1"/>
  <c r="C7" i="37"/>
  <c r="C52" i="37" s="1"/>
  <c r="C7" i="33"/>
  <c r="C58" i="33" s="1"/>
  <c r="C7" i="21"/>
  <c r="C58" i="21" s="1"/>
  <c r="C42" i="1"/>
  <c r="M28" i="15"/>
  <c r="D6" i="73"/>
  <c r="M6" i="15"/>
  <c r="F5" i="73"/>
  <c r="D3" i="73"/>
  <c r="F7" i="15"/>
  <c r="M22" i="15"/>
  <c r="F35" i="15"/>
  <c r="M9" i="15"/>
  <c r="M27" i="15"/>
  <c r="M21" i="15"/>
  <c r="F26" i="15"/>
  <c r="F6" i="15"/>
  <c r="M23" i="15"/>
  <c r="M24" i="15"/>
  <c r="C76" i="15"/>
  <c r="F37" i="15"/>
  <c r="L48" i="15"/>
  <c r="L47" i="15"/>
  <c r="F7" i="73"/>
  <c r="J15" i="15"/>
  <c r="M8" i="15"/>
  <c r="D5" i="73"/>
  <c r="F41" i="15"/>
  <c r="F8" i="15"/>
  <c r="F43" i="15"/>
  <c r="F42" i="15"/>
  <c r="F38" i="15"/>
  <c r="M26" i="15"/>
  <c r="F36" i="15"/>
  <c r="F43" i="67"/>
  <c r="M29" i="15"/>
  <c r="F4" i="73"/>
  <c r="F9" i="15"/>
  <c r="F40" i="15"/>
  <c r="F3" i="73"/>
  <c r="F13" i="15"/>
  <c r="C14" i="15"/>
  <c r="F16" i="15"/>
  <c r="D4" i="73"/>
  <c r="M29" i="67"/>
  <c r="H72" i="43" l="1"/>
  <c r="H78" i="43"/>
  <c r="S26" i="21"/>
  <c r="Z6" i="3"/>
  <c r="K6" i="3"/>
  <c r="E30" i="3"/>
  <c r="E62" i="3"/>
  <c r="E94" i="3"/>
  <c r="E126" i="3"/>
  <c r="E158" i="3"/>
  <c r="E53" i="3"/>
  <c r="E125" i="3"/>
  <c r="E207" i="3"/>
  <c r="E303" i="3"/>
  <c r="E189" i="3"/>
  <c r="E456" i="3"/>
  <c r="E252" i="3"/>
  <c r="E282" i="3"/>
  <c r="E551" i="3"/>
  <c r="E119" i="3"/>
  <c r="AL6" i="3"/>
  <c r="E399" i="3"/>
  <c r="E516" i="3"/>
  <c r="E436" i="3"/>
  <c r="E554" i="3"/>
  <c r="E506" i="3"/>
  <c r="E466" i="3"/>
  <c r="E434" i="3"/>
  <c r="E375" i="3"/>
  <c r="E396" i="3"/>
  <c r="E337" i="3"/>
  <c r="E305" i="3"/>
  <c r="E273" i="3"/>
  <c r="E241" i="3"/>
  <c r="E209" i="3"/>
  <c r="E177" i="3"/>
  <c r="E374" i="3"/>
  <c r="E302" i="3"/>
  <c r="E238" i="3"/>
  <c r="E174" i="3"/>
  <c r="E111" i="3"/>
  <c r="E47" i="3"/>
  <c r="T6" i="3"/>
  <c r="E581" i="3"/>
  <c r="E565" i="3"/>
  <c r="E549" i="3"/>
  <c r="E533" i="3"/>
  <c r="E517" i="3"/>
  <c r="E501" i="3"/>
  <c r="E485" i="3"/>
  <c r="E469" i="3"/>
  <c r="E453" i="3"/>
  <c r="E437" i="3"/>
  <c r="E579" i="3"/>
  <c r="E563" i="3"/>
  <c r="E547" i="3"/>
  <c r="E531" i="3"/>
  <c r="E515" i="3"/>
  <c r="E499" i="3"/>
  <c r="E483" i="3"/>
  <c r="E467" i="3"/>
  <c r="E451" i="3"/>
  <c r="E435" i="3"/>
  <c r="E417" i="3"/>
  <c r="E401" i="3"/>
  <c r="E385" i="3"/>
  <c r="E369" i="3"/>
  <c r="E416" i="3"/>
  <c r="E384" i="3"/>
  <c r="E357" i="3"/>
  <c r="E341" i="3"/>
  <c r="E325" i="3"/>
  <c r="E309" i="3"/>
  <c r="E293" i="3"/>
  <c r="E277" i="3"/>
  <c r="E261" i="3"/>
  <c r="E245" i="3"/>
  <c r="E229" i="3"/>
  <c r="E213" i="3"/>
  <c r="E197" i="3"/>
  <c r="E181" i="3"/>
  <c r="AR6" i="3"/>
  <c r="E426" i="3"/>
  <c r="E394" i="3"/>
  <c r="E362" i="3"/>
  <c r="E343" i="3"/>
  <c r="E327" i="3"/>
  <c r="E311" i="3"/>
  <c r="E295" i="3"/>
  <c r="E279" i="3"/>
  <c r="E263" i="3"/>
  <c r="E247" i="3"/>
  <c r="E231" i="3"/>
  <c r="E215" i="3"/>
  <c r="E199" i="3"/>
  <c r="E183" i="3"/>
  <c r="E167" i="3"/>
  <c r="E153" i="3"/>
  <c r="E137" i="3"/>
  <c r="E121" i="3"/>
  <c r="E105" i="3"/>
  <c r="E123" i="3"/>
  <c r="E527" i="3"/>
  <c r="E422" i="3"/>
  <c r="E492" i="3"/>
  <c r="E182" i="3"/>
  <c r="E204" i="3"/>
  <c r="E479" i="3"/>
  <c r="E580" i="3"/>
  <c r="E500" i="3"/>
  <c r="E586" i="3"/>
  <c r="E538" i="3"/>
  <c r="E498" i="3"/>
  <c r="E458" i="3"/>
  <c r="E423" i="3"/>
  <c r="E359" i="3"/>
  <c r="E364" i="3"/>
  <c r="E329" i="3"/>
  <c r="E297" i="3"/>
  <c r="E265" i="3"/>
  <c r="E233" i="3"/>
  <c r="E201" i="3"/>
  <c r="E169" i="3"/>
  <c r="E350" i="3"/>
  <c r="E286" i="3"/>
  <c r="E222" i="3"/>
  <c r="E159" i="3"/>
  <c r="E95" i="3"/>
  <c r="E31" i="3"/>
  <c r="L6" i="3"/>
  <c r="E577" i="3"/>
  <c r="E561" i="3"/>
  <c r="E545" i="3"/>
  <c r="E529" i="3"/>
  <c r="E513" i="3"/>
  <c r="E497" i="3"/>
  <c r="E481" i="3"/>
  <c r="E465" i="3"/>
  <c r="E449" i="3"/>
  <c r="E433" i="3"/>
  <c r="E574" i="3"/>
  <c r="E558" i="3"/>
  <c r="E542" i="3"/>
  <c r="E526" i="3"/>
  <c r="E510" i="3"/>
  <c r="E494" i="3"/>
  <c r="E478" i="3"/>
  <c r="E462" i="3"/>
  <c r="E446" i="3"/>
  <c r="E429" i="3"/>
  <c r="E413" i="3"/>
  <c r="E397" i="3"/>
  <c r="E381" i="3"/>
  <c r="E365" i="3"/>
  <c r="E408" i="3"/>
  <c r="E376" i="3"/>
  <c r="E352" i="3"/>
  <c r="E336" i="3"/>
  <c r="E320" i="3"/>
  <c r="E304" i="3"/>
  <c r="E288" i="3"/>
  <c r="E272" i="3"/>
  <c r="E256" i="3"/>
  <c r="E240" i="3"/>
  <c r="E224" i="3"/>
  <c r="E208" i="3"/>
  <c r="E192" i="3"/>
  <c r="E176" i="3"/>
  <c r="AN6" i="3"/>
  <c r="E418" i="3"/>
  <c r="E386" i="3"/>
  <c r="E355" i="3"/>
  <c r="E339" i="3"/>
  <c r="E323" i="3"/>
  <c r="E307" i="3"/>
  <c r="E291" i="3"/>
  <c r="E275" i="3"/>
  <c r="E567" i="3"/>
  <c r="E308" i="3"/>
  <c r="E246" i="3"/>
  <c r="E575" i="3"/>
  <c r="E548" i="3"/>
  <c r="E562" i="3"/>
  <c r="E474" i="3"/>
  <c r="E391" i="3"/>
  <c r="E345" i="3"/>
  <c r="E281" i="3"/>
  <c r="E217" i="3"/>
  <c r="E406" i="3"/>
  <c r="E254" i="3"/>
  <c r="E127" i="3"/>
  <c r="AB6" i="3"/>
  <c r="E569" i="3"/>
  <c r="E537" i="3"/>
  <c r="E505" i="3"/>
  <c r="E473" i="3"/>
  <c r="E441" i="3"/>
  <c r="E566" i="3"/>
  <c r="E534" i="3"/>
  <c r="E502" i="3"/>
  <c r="E470" i="3"/>
  <c r="E438" i="3"/>
  <c r="E405" i="3"/>
  <c r="E373" i="3"/>
  <c r="E392" i="3"/>
  <c r="E344" i="3"/>
  <c r="E312" i="3"/>
  <c r="E280" i="3"/>
  <c r="E248" i="3"/>
  <c r="E216" i="3"/>
  <c r="E184" i="3"/>
  <c r="AF6" i="3"/>
  <c r="E370" i="3"/>
  <c r="E331" i="3"/>
  <c r="E299" i="3"/>
  <c r="E267" i="3"/>
  <c r="E243" i="3"/>
  <c r="E223" i="3"/>
  <c r="E203" i="3"/>
  <c r="E179" i="3"/>
  <c r="E161" i="3"/>
  <c r="E141" i="3"/>
  <c r="E117" i="3"/>
  <c r="E97" i="3"/>
  <c r="E81" i="3"/>
  <c r="E65" i="3"/>
  <c r="E49" i="3"/>
  <c r="E33" i="3"/>
  <c r="E17" i="3"/>
  <c r="AO6" i="3"/>
  <c r="U6" i="3"/>
  <c r="E164" i="3"/>
  <c r="E156" i="3"/>
  <c r="E148" i="3"/>
  <c r="E140" i="3"/>
  <c r="E132" i="3"/>
  <c r="E124" i="3"/>
  <c r="E116" i="3"/>
  <c r="E108" i="3"/>
  <c r="E100" i="3"/>
  <c r="E92" i="3"/>
  <c r="E84" i="3"/>
  <c r="E76" i="3"/>
  <c r="E68" i="3"/>
  <c r="E60" i="3"/>
  <c r="E52" i="3"/>
  <c r="E44" i="3"/>
  <c r="E36" i="3"/>
  <c r="E28" i="3"/>
  <c r="E20" i="3"/>
  <c r="AM6" i="3"/>
  <c r="W6" i="3"/>
  <c r="V6" i="3"/>
  <c r="E14" i="3"/>
  <c r="E178" i="3"/>
  <c r="E55" i="3"/>
  <c r="E420" i="3"/>
  <c r="E564" i="3"/>
  <c r="E570" i="3"/>
  <c r="E490" i="3"/>
  <c r="E353" i="3"/>
  <c r="E289" i="3"/>
  <c r="E225" i="3"/>
  <c r="E270" i="3"/>
  <c r="E15" i="3"/>
  <c r="E541" i="3"/>
  <c r="E477" i="3"/>
  <c r="E571" i="3"/>
  <c r="E507" i="3"/>
  <c r="E443" i="3"/>
  <c r="E377" i="3"/>
  <c r="E234" i="3"/>
  <c r="E395" i="3"/>
  <c r="E354" i="3"/>
  <c r="E496" i="3"/>
  <c r="E484" i="3"/>
  <c r="E530" i="3"/>
  <c r="E450" i="3"/>
  <c r="E321" i="3"/>
  <c r="E257" i="3"/>
  <c r="E193" i="3"/>
  <c r="E334" i="3"/>
  <c r="E206" i="3"/>
  <c r="E79" i="3"/>
  <c r="E557" i="3"/>
  <c r="E525" i="3"/>
  <c r="E493" i="3"/>
  <c r="E461" i="3"/>
  <c r="E587" i="3"/>
  <c r="E555" i="3"/>
  <c r="E523" i="3"/>
  <c r="E491" i="3"/>
  <c r="E459" i="3"/>
  <c r="E425" i="3"/>
  <c r="E393" i="3"/>
  <c r="E361" i="3"/>
  <c r="E368" i="3"/>
  <c r="E333" i="3"/>
  <c r="E301" i="3"/>
  <c r="E269" i="3"/>
  <c r="E237" i="3"/>
  <c r="E205" i="3"/>
  <c r="E173" i="3"/>
  <c r="E410" i="3"/>
  <c r="E351" i="3"/>
  <c r="E319" i="3"/>
  <c r="E287" i="3"/>
  <c r="E259" i="3"/>
  <c r="E239" i="3"/>
  <c r="E219" i="3"/>
  <c r="E195" i="3"/>
  <c r="E175" i="3"/>
  <c r="E157" i="3"/>
  <c r="E133" i="3"/>
  <c r="E113" i="3"/>
  <c r="E93" i="3"/>
  <c r="E77" i="3"/>
  <c r="E61" i="3"/>
  <c r="E45" i="3"/>
  <c r="E29" i="3"/>
  <c r="E13" i="3"/>
  <c r="AK6" i="3"/>
  <c r="Q6" i="3"/>
  <c r="E162" i="3"/>
  <c r="E154" i="3"/>
  <c r="E146" i="3"/>
  <c r="E138" i="3"/>
  <c r="E130" i="3"/>
  <c r="E122" i="3"/>
  <c r="E114" i="3"/>
  <c r="E106" i="3"/>
  <c r="E98" i="3"/>
  <c r="E90" i="3"/>
  <c r="E82" i="3"/>
  <c r="E74" i="3"/>
  <c r="E66" i="3"/>
  <c r="E58" i="3"/>
  <c r="E50" i="3"/>
  <c r="E42" i="3"/>
  <c r="E34" i="3"/>
  <c r="E26" i="3"/>
  <c r="E18" i="3"/>
  <c r="AI6" i="3"/>
  <c r="S6" i="3"/>
  <c r="R6" i="3"/>
  <c r="E51" i="3"/>
  <c r="E576" i="3"/>
  <c r="E300" i="3"/>
  <c r="E452" i="3"/>
  <c r="E522" i="3"/>
  <c r="E442" i="3"/>
  <c r="E428" i="3"/>
  <c r="E313" i="3"/>
  <c r="E249" i="3"/>
  <c r="E185" i="3"/>
  <c r="E318" i="3"/>
  <c r="E190" i="3"/>
  <c r="E63" i="3"/>
  <c r="E585" i="3"/>
  <c r="E553" i="3"/>
  <c r="E521" i="3"/>
  <c r="E489" i="3"/>
  <c r="E457" i="3"/>
  <c r="E582" i="3"/>
  <c r="E550" i="3"/>
  <c r="E518" i="3"/>
  <c r="E486" i="3"/>
  <c r="E454" i="3"/>
  <c r="E421" i="3"/>
  <c r="E389" i="3"/>
  <c r="E424" i="3"/>
  <c r="E360" i="3"/>
  <c r="E328" i="3"/>
  <c r="E296" i="3"/>
  <c r="E264" i="3"/>
  <c r="E232" i="3"/>
  <c r="E200" i="3"/>
  <c r="E168" i="3"/>
  <c r="E402" i="3"/>
  <c r="E347" i="3"/>
  <c r="E315" i="3"/>
  <c r="E283" i="3"/>
  <c r="E255" i="3"/>
  <c r="E235" i="3"/>
  <c r="E211" i="3"/>
  <c r="E191" i="3"/>
  <c r="E171" i="3"/>
  <c r="E149" i="3"/>
  <c r="E129" i="3"/>
  <c r="E109" i="3"/>
  <c r="E89" i="3"/>
  <c r="E73" i="3"/>
  <c r="E57" i="3"/>
  <c r="E41" i="3"/>
  <c r="E25" i="3"/>
  <c r="X6" i="3"/>
  <c r="I3" i="6"/>
  <c r="AG6" i="3"/>
  <c r="M6" i="3"/>
  <c r="E160" i="3"/>
  <c r="E152" i="3"/>
  <c r="E144" i="3"/>
  <c r="E136" i="3"/>
  <c r="E128" i="3"/>
  <c r="E120" i="3"/>
  <c r="E112" i="3"/>
  <c r="E104" i="3"/>
  <c r="E96" i="3"/>
  <c r="E88" i="3"/>
  <c r="E80" i="3"/>
  <c r="E72" i="3"/>
  <c r="E64" i="3"/>
  <c r="E56" i="3"/>
  <c r="E48" i="3"/>
  <c r="E40" i="3"/>
  <c r="E32" i="3"/>
  <c r="E24" i="3"/>
  <c r="E16" i="3"/>
  <c r="AE6" i="3"/>
  <c r="O6" i="3"/>
  <c r="N6" i="3"/>
  <c r="E407" i="3"/>
  <c r="AP6" i="3"/>
  <c r="AC6" i="3" s="1"/>
  <c r="E143" i="3"/>
  <c r="E573" i="3"/>
  <c r="E509" i="3"/>
  <c r="E445" i="3"/>
  <c r="E539" i="3"/>
  <c r="E475" i="3"/>
  <c r="E409" i="3"/>
  <c r="AA6" i="3"/>
  <c r="E38" i="3"/>
  <c r="E70" i="3"/>
  <c r="E102" i="3"/>
  <c r="E134" i="3"/>
  <c r="I6" i="3"/>
  <c r="E69" i="3"/>
  <c r="E145" i="3"/>
  <c r="E227" i="3"/>
  <c r="E335" i="3"/>
  <c r="E221" i="3"/>
  <c r="E349" i="3"/>
  <c r="E21" i="3"/>
  <c r="E85" i="3"/>
  <c r="E165" i="3"/>
  <c r="E251" i="3"/>
  <c r="E378" i="3"/>
  <c r="E253" i="3"/>
  <c r="E400" i="3"/>
  <c r="F71" i="67"/>
  <c r="E61" i="39"/>
  <c r="E432" i="3"/>
  <c r="E447" i="3"/>
  <c r="E332" i="3"/>
  <c r="E172" i="3"/>
  <c r="E310" i="3"/>
  <c r="E139" i="3"/>
  <c r="E35" i="3"/>
  <c r="E583" i="3"/>
  <c r="E340" i="3"/>
  <c r="E306" i="3"/>
  <c r="E91" i="3"/>
  <c r="E367" i="3"/>
  <c r="E131" i="3"/>
  <c r="E482" i="3"/>
  <c r="E514" i="3"/>
  <c r="E546" i="3"/>
  <c r="E578" i="3"/>
  <c r="E468" i="3"/>
  <c r="E532" i="3"/>
  <c r="E511" i="3"/>
  <c r="E379" i="3"/>
  <c r="E268" i="3"/>
  <c r="E390" i="3"/>
  <c r="E226" i="3"/>
  <c r="E99" i="3"/>
  <c r="E512" i="3"/>
  <c r="E415" i="3"/>
  <c r="E180" i="3"/>
  <c r="E198" i="3"/>
  <c r="E508" i="3"/>
  <c r="E366" i="3"/>
  <c r="E398" i="3"/>
  <c r="E536" i="3"/>
  <c r="E448" i="3"/>
  <c r="E487" i="3"/>
  <c r="E372" i="3"/>
  <c r="E212" i="3"/>
  <c r="E346" i="3"/>
  <c r="E218" i="3"/>
  <c r="E115" i="3"/>
  <c r="E572" i="3"/>
  <c r="E444" i="3"/>
  <c r="E431" i="3"/>
  <c r="E348" i="3"/>
  <c r="AD6" i="3"/>
  <c r="E298" i="3"/>
  <c r="E194" i="3"/>
  <c r="E524" i="3"/>
  <c r="E383" i="3"/>
  <c r="E274" i="3"/>
  <c r="U26" i="21"/>
  <c r="E528" i="3"/>
  <c r="E559" i="3"/>
  <c r="E411" i="3"/>
  <c r="E284" i="3"/>
  <c r="E414" i="3"/>
  <c r="E278" i="3"/>
  <c r="E151" i="3"/>
  <c r="E504" i="3"/>
  <c r="E324" i="3"/>
  <c r="E147" i="3"/>
  <c r="E540" i="3"/>
  <c r="E16" i="6"/>
  <c r="E560" i="3"/>
  <c r="E543" i="3"/>
  <c r="E419" i="3"/>
  <c r="E380" i="3"/>
  <c r="E236" i="3"/>
  <c r="E430" i="3"/>
  <c r="E290" i="3"/>
  <c r="E163" i="3"/>
  <c r="E75" i="3"/>
  <c r="E556" i="3"/>
  <c r="E472" i="3"/>
  <c r="E519" i="3"/>
  <c r="E371" i="3"/>
  <c r="E244" i="3"/>
  <c r="E382" i="3"/>
  <c r="E262" i="3"/>
  <c r="E135" i="3"/>
  <c r="E27" i="3"/>
  <c r="E488" i="3"/>
  <c r="E463" i="3"/>
  <c r="E404" i="3"/>
  <c r="E220" i="3"/>
  <c r="E322" i="3"/>
  <c r="E214" i="3"/>
  <c r="E87" i="3"/>
  <c r="E427" i="3"/>
  <c r="E358" i="3"/>
  <c r="E39" i="3"/>
  <c r="K1" i="73"/>
  <c r="E56" i="39"/>
  <c r="E60" i="39"/>
  <c r="E51" i="40"/>
  <c r="E455" i="3"/>
  <c r="E412" i="3"/>
  <c r="E276" i="3"/>
  <c r="AH6" i="3"/>
  <c r="E326" i="3"/>
  <c r="E242" i="3"/>
  <c r="E155" i="3"/>
  <c r="E71" i="3"/>
  <c r="E552" i="3"/>
  <c r="E464" i="3"/>
  <c r="E495" i="3"/>
  <c r="E387" i="3"/>
  <c r="E316" i="3"/>
  <c r="E188" i="3"/>
  <c r="E342" i="3"/>
  <c r="E258" i="3"/>
  <c r="E170" i="3"/>
  <c r="E43" i="3"/>
  <c r="E535" i="3"/>
  <c r="E292" i="3"/>
  <c r="E230" i="3"/>
  <c r="E19" i="3"/>
  <c r="AC37" i="21"/>
  <c r="E107" i="3"/>
  <c r="E568" i="3"/>
  <c r="E440" i="3"/>
  <c r="E439" i="3"/>
  <c r="E388" i="3"/>
  <c r="E196" i="3"/>
  <c r="E294" i="3"/>
  <c r="E186" i="3"/>
  <c r="E59" i="3"/>
  <c r="E476" i="3"/>
  <c r="E266" i="3"/>
  <c r="E520" i="3"/>
  <c r="E584" i="3"/>
  <c r="E23" i="3"/>
  <c r="E480" i="3"/>
  <c r="E471" i="3"/>
  <c r="E363" i="3"/>
  <c r="E260" i="3"/>
  <c r="E314" i="3"/>
  <c r="E210" i="3"/>
  <c r="E103" i="3"/>
  <c r="E202" i="3"/>
  <c r="M17" i="67"/>
  <c r="J17" i="67" s="1"/>
  <c r="F59" i="67"/>
  <c r="C59" i="67" s="1"/>
  <c r="J18" i="67"/>
  <c r="C31" i="67"/>
  <c r="E67" i="3"/>
  <c r="E544" i="3"/>
  <c r="E460" i="3"/>
  <c r="E503" i="3"/>
  <c r="E403" i="3"/>
  <c r="E356" i="3"/>
  <c r="E228" i="3"/>
  <c r="E338" i="3"/>
  <c r="E250" i="3"/>
  <c r="E166" i="3"/>
  <c r="E83" i="3"/>
  <c r="P6" i="3"/>
  <c r="W34" i="21"/>
  <c r="S34" i="21"/>
  <c r="AA34" i="21"/>
  <c r="E330" i="3"/>
  <c r="J19" i="67"/>
  <c r="D9" i="69"/>
  <c r="C9" i="69" s="1"/>
  <c r="D9" i="11"/>
  <c r="C9" i="11" s="1"/>
  <c r="W26" i="21"/>
  <c r="H79" i="43"/>
  <c r="D9" i="68"/>
  <c r="C9" i="68" s="1"/>
  <c r="E32" i="77"/>
  <c r="H77" i="43"/>
  <c r="AZ5" i="3"/>
  <c r="E3" i="6" s="1"/>
  <c r="E6" i="6" s="1"/>
  <c r="H73" i="43"/>
  <c r="H75" i="43"/>
  <c r="H74" i="43"/>
  <c r="H76" i="43"/>
  <c r="W26" i="35"/>
  <c r="AC26" i="35"/>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E31" i="6" s="1"/>
  <c r="H6" i="3"/>
  <c r="F27" i="11"/>
  <c r="F27" i="69"/>
  <c r="F28" i="12"/>
  <c r="F27" i="68"/>
  <c r="C32" i="71"/>
  <c r="D31" i="71"/>
  <c r="C40" i="71"/>
  <c r="D39" i="71"/>
  <c r="T44" i="71"/>
  <c r="D44" i="71"/>
  <c r="D20" i="53"/>
  <c r="B40" i="72" s="1"/>
  <c r="B38" i="72"/>
  <c r="N66" i="71"/>
  <c r="N65" i="71"/>
  <c r="C36" i="71"/>
  <c r="D35" i="71"/>
  <c r="S12" i="71"/>
  <c r="B11" i="71"/>
  <c r="B10" i="71" s="1"/>
  <c r="B9" i="71" s="1"/>
  <c r="B8" i="71" s="1"/>
  <c r="B7" i="71" s="1"/>
  <c r="B6" i="71" s="1"/>
  <c r="B5" i="71" s="1"/>
  <c r="V16" i="71"/>
  <c r="E15" i="71"/>
  <c r="E14" i="71" s="1"/>
  <c r="E13" i="71" s="1"/>
  <c r="E12" i="71" s="1"/>
  <c r="M23" i="43"/>
  <c r="D22" i="71"/>
  <c r="C21" i="71"/>
  <c r="F31" i="6"/>
  <c r="R59" i="21"/>
  <c r="S59" i="21" s="1"/>
  <c r="T59" i="21" s="1"/>
  <c r="U59" i="21" s="1"/>
  <c r="V59" i="21" s="1"/>
  <c r="Q59" i="2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G1" i="73"/>
  <c r="C17" i="15"/>
  <c r="C16" i="15"/>
  <c r="C16" i="67"/>
  <c r="E65" i="39" l="1"/>
  <c r="B40" i="1"/>
  <c r="F22" i="11" s="1"/>
  <c r="C23" i="11" s="1"/>
  <c r="AY6" i="3"/>
  <c r="AY585" i="3" s="1"/>
  <c r="H7" i="35"/>
  <c r="AB7" i="35" s="1"/>
  <c r="T38" i="35" s="1"/>
  <c r="G38" i="35" s="1"/>
  <c r="AY441" i="3"/>
  <c r="AY433" i="3"/>
  <c r="AY462" i="3"/>
  <c r="AY414" i="3"/>
  <c r="AY287" i="3"/>
  <c r="AY255" i="3"/>
  <c r="AY423" i="3"/>
  <c r="AY383" i="3"/>
  <c r="AY573" i="3"/>
  <c r="AY525" i="3"/>
  <c r="AY562" i="3"/>
  <c r="AY554" i="3"/>
  <c r="AY426" i="3"/>
  <c r="AY394" i="3"/>
  <c r="AY299" i="3"/>
  <c r="AY219" i="3"/>
  <c r="AY387" i="3"/>
  <c r="D37" i="11"/>
  <c r="C37" i="11" s="1"/>
  <c r="D19" i="11"/>
  <c r="C19" i="11" s="1"/>
  <c r="C20" i="11" s="1"/>
  <c r="D3" i="33"/>
  <c r="B3" i="33" s="1"/>
  <c r="D3" i="37"/>
  <c r="B3" i="37" s="1"/>
  <c r="D14" i="12"/>
  <c r="C14" i="12" s="1"/>
  <c r="C16" i="12" s="1"/>
  <c r="D3" i="34"/>
  <c r="B3" i="34" s="1"/>
  <c r="C17" i="4"/>
  <c r="B4" i="52" s="1"/>
  <c r="B43" i="72" s="1"/>
  <c r="E6" i="3"/>
  <c r="J7" i="34"/>
  <c r="W7" i="34" s="1"/>
  <c r="M11" i="15"/>
  <c r="J10" i="15" s="1"/>
  <c r="J5" i="15" s="1"/>
  <c r="F7" i="33"/>
  <c r="AA7" i="33" s="1"/>
  <c r="R48" i="33" s="1"/>
  <c r="L18" i="9"/>
  <c r="M18" i="9"/>
  <c r="B118" i="9" s="1"/>
  <c r="K15" i="1"/>
  <c r="K16" i="1" s="1"/>
  <c r="L19" i="6"/>
  <c r="L27" i="6" s="1"/>
  <c r="C29" i="12"/>
  <c r="D28" i="12" s="1"/>
  <c r="H7" i="33"/>
  <c r="U7" i="33" s="1"/>
  <c r="J7" i="21"/>
  <c r="J24" i="67"/>
  <c r="F11" i="67"/>
  <c r="C53" i="67" s="1"/>
  <c r="C48" i="67" s="1"/>
  <c r="C66" i="67" s="1"/>
  <c r="F11" i="15"/>
  <c r="C53" i="15" s="1"/>
  <c r="F59" i="15"/>
  <c r="C31" i="15"/>
  <c r="C19" i="15"/>
  <c r="C20" i="15" s="1"/>
  <c r="X59" i="21"/>
  <c r="Y59" i="21" s="1"/>
  <c r="W59" i="21"/>
  <c r="D21" i="71"/>
  <c r="C20" i="71"/>
  <c r="B29" i="1"/>
  <c r="C8" i="68" s="1"/>
  <c r="C5" i="68" s="1"/>
  <c r="D10" i="11"/>
  <c r="C10" i="11" s="1"/>
  <c r="D10" i="69"/>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S7" i="33"/>
  <c r="D65" i="40"/>
  <c r="E63" i="40"/>
  <c r="AC7" i="34"/>
  <c r="V49" i="34" s="1"/>
  <c r="I49" i="34" s="1"/>
  <c r="J7" i="37"/>
  <c r="C14" i="67"/>
  <c r="AE6" i="1"/>
  <c r="C17" i="67"/>
  <c r="AY171" i="3" l="1"/>
  <c r="AY307" i="3"/>
  <c r="AY466" i="3"/>
  <c r="AY477" i="3"/>
  <c r="AY527" i="3"/>
  <c r="AY175" i="3"/>
  <c r="AY343" i="3"/>
  <c r="AY502" i="3"/>
  <c r="AY473" i="3"/>
  <c r="AY211" i="3"/>
  <c r="AY339" i="3"/>
  <c r="AY506" i="3"/>
  <c r="AY493" i="3"/>
  <c r="AY575" i="3"/>
  <c r="AY247" i="3"/>
  <c r="AY374" i="3"/>
  <c r="AY510" i="3"/>
  <c r="AY529" i="3"/>
  <c r="AY403" i="3"/>
  <c r="AY251" i="3"/>
  <c r="AY378" i="3"/>
  <c r="AY474" i="3"/>
  <c r="AY437" i="3"/>
  <c r="AY565" i="3"/>
  <c r="AY583" i="3"/>
  <c r="AY207" i="3"/>
  <c r="AY335" i="3"/>
  <c r="AY430" i="3"/>
  <c r="AY542" i="3"/>
  <c r="AY513" i="3"/>
  <c r="AY561" i="3"/>
  <c r="AY179" i="3"/>
  <c r="AY267" i="3"/>
  <c r="AY347" i="3"/>
  <c r="AY434" i="3"/>
  <c r="AY522" i="3"/>
  <c r="AY445" i="3"/>
  <c r="AY533" i="3"/>
  <c r="AY543" i="3"/>
  <c r="AY391" i="3"/>
  <c r="AY215" i="3"/>
  <c r="AY303" i="3"/>
  <c r="AY382" i="3"/>
  <c r="AY470" i="3"/>
  <c r="AY558" i="3"/>
  <c r="AY481" i="3"/>
  <c r="AY569" i="3"/>
  <c r="AB7" i="33"/>
  <c r="T48" i="33" s="1"/>
  <c r="G48" i="33" s="1"/>
  <c r="C25" i="11"/>
  <c r="C26" i="11"/>
  <c r="D22" i="11" s="1"/>
  <c r="F25" i="12"/>
  <c r="C26" i="12" s="1"/>
  <c r="D25" i="12" s="1"/>
  <c r="F22" i="69"/>
  <c r="C24" i="69" s="1"/>
  <c r="F24" i="67"/>
  <c r="C24" i="67" s="1"/>
  <c r="F22" i="68"/>
  <c r="C26" i="68" s="1"/>
  <c r="D22" i="68" s="1"/>
  <c r="F24" i="15"/>
  <c r="C24" i="15" s="1"/>
  <c r="L36" i="43"/>
  <c r="Q36" i="43" s="1"/>
  <c r="C44" i="11"/>
  <c r="D41" i="11" s="1"/>
  <c r="AY371" i="3"/>
  <c r="AY411" i="3"/>
  <c r="AY187" i="3"/>
  <c r="AY235" i="3"/>
  <c r="AY275" i="3"/>
  <c r="AY315" i="3"/>
  <c r="AY362" i="3"/>
  <c r="AY402" i="3"/>
  <c r="AY442" i="3"/>
  <c r="AY490" i="3"/>
  <c r="AY530" i="3"/>
  <c r="AY570" i="3"/>
  <c r="AY461" i="3"/>
  <c r="AY501" i="3"/>
  <c r="AY541" i="3"/>
  <c r="D3" i="6"/>
  <c r="D11" i="6" s="1"/>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D25" i="6"/>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s="1"/>
  <c r="C18" i="12"/>
  <c r="AB7" i="21"/>
  <c r="T48" i="21" s="1"/>
  <c r="G48" i="21" s="1"/>
  <c r="G52" i="21" s="1"/>
  <c r="H52" i="21" s="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V48" i="21" s="1"/>
  <c r="I48" i="21" s="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F41" i="67"/>
  <c r="D15" i="6" l="1"/>
  <c r="D21" i="6"/>
  <c r="D8" i="6"/>
  <c r="D23" i="6"/>
  <c r="F41" i="68"/>
  <c r="M36" i="43"/>
  <c r="C22" i="11"/>
  <c r="C31" i="11" s="1"/>
  <c r="C23" i="15"/>
  <c r="C29" i="15" s="1"/>
  <c r="Q49" i="15" s="1"/>
  <c r="O36" i="43"/>
  <c r="C44" i="69"/>
  <c r="D41" i="69" s="1"/>
  <c r="P36" i="43"/>
  <c r="F41" i="69"/>
  <c r="C44" i="68"/>
  <c r="D41" i="68" s="1"/>
  <c r="C23" i="68"/>
  <c r="C26" i="69"/>
  <c r="D22" i="69" s="1"/>
  <c r="L37" i="43"/>
  <c r="Q37" i="43" s="1"/>
  <c r="N36" i="43"/>
  <c r="D28" i="6"/>
  <c r="D20" i="6"/>
  <c r="D29" i="6"/>
  <c r="H24" i="6"/>
  <c r="D22" i="6"/>
  <c r="D9" i="6"/>
  <c r="D14" i="6"/>
  <c r="D16" i="6" s="1"/>
  <c r="D6" i="6"/>
  <c r="H26" i="6"/>
  <c r="D24" i="6"/>
  <c r="H21" i="6"/>
  <c r="R21" i="6" s="1"/>
  <c r="D5" i="6"/>
  <c r="D13" i="6"/>
  <c r="C18" i="4"/>
  <c r="H22" i="6"/>
  <c r="E61" i="40"/>
  <c r="D26" i="6"/>
  <c r="R26" i="6" s="1"/>
  <c r="H23" i="6"/>
  <c r="H20" i="6"/>
  <c r="L19" i="9"/>
  <c r="D12" i="6"/>
  <c r="M19" i="9"/>
  <c r="C118" i="9" s="1"/>
  <c r="H25" i="6"/>
  <c r="R25" i="6" s="1"/>
  <c r="D19" i="6"/>
  <c r="D10" i="6"/>
  <c r="C21" i="12"/>
  <c r="C22" i="12" s="1"/>
  <c r="C27" i="12" s="1"/>
  <c r="C25" i="12" s="1"/>
  <c r="C30" i="43"/>
  <c r="B2" i="43" s="1"/>
  <c r="C31" i="43"/>
  <c r="C19" i="67"/>
  <c r="C20" i="67" s="1"/>
  <c r="C23" i="67" s="1"/>
  <c r="C33" i="69"/>
  <c r="C39" i="69" s="1"/>
  <c r="C43" i="69" s="1"/>
  <c r="C19" i="68"/>
  <c r="D37" i="68"/>
  <c r="C37" i="68" s="1"/>
  <c r="N16" i="1"/>
  <c r="L16" i="1"/>
  <c r="C34" i="68"/>
  <c r="C34" i="11"/>
  <c r="I27" i="6"/>
  <c r="S19" i="6"/>
  <c r="S27" i="6" s="1"/>
  <c r="H19" i="6"/>
  <c r="C18" i="71"/>
  <c r="D19" i="71"/>
  <c r="F69" i="67"/>
  <c r="I52" i="21"/>
  <c r="J52" i="21" s="1"/>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53" i="21"/>
  <c r="H53" i="21" s="1"/>
  <c r="G41" i="36"/>
  <c r="H41" i="36" s="1"/>
  <c r="G40" i="36"/>
  <c r="H40" i="36" s="1"/>
  <c r="R50" i="34"/>
  <c r="E49" i="34"/>
  <c r="G47" i="37"/>
  <c r="H47" i="37" s="1"/>
  <c r="G46" i="37"/>
  <c r="H46" i="37" s="1"/>
  <c r="R49" i="21"/>
  <c r="E48" i="21"/>
  <c r="E53" i="33"/>
  <c r="F53" i="33" s="1"/>
  <c r="E52" i="33"/>
  <c r="F52" i="33" s="1"/>
  <c r="E6" i="76"/>
  <c r="B6" i="76"/>
  <c r="R23" i="6" l="1"/>
  <c r="R24" i="6"/>
  <c r="O37" i="43"/>
  <c r="P37" i="43"/>
  <c r="M37" i="43"/>
  <c r="N37" i="43"/>
  <c r="R20" i="6"/>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49" i="21"/>
  <c r="C48" i="21"/>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D31" i="6" l="1"/>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B3" i="21"/>
  <c r="H69" i="39"/>
  <c r="I67" i="39"/>
  <c r="H65" i="40"/>
  <c r="I63" i="40"/>
  <c r="F35" i="67"/>
  <c r="D19" i="9"/>
  <c r="D20" i="9"/>
  <c r="M21" i="67"/>
  <c r="I6" i="6" l="1"/>
  <c r="I5" i="6"/>
  <c r="Q68" i="15"/>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D103" i="9"/>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J26" i="67" s="1"/>
  <c r="J29"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AO6" i="1"/>
  <c r="C20" i="9"/>
  <c r="C19" i="9"/>
  <c r="G20" i="9" l="1"/>
  <c r="C103" i="9"/>
  <c r="B6" i="70"/>
  <c r="B2" i="70" s="1"/>
  <c r="B3" i="70" s="1"/>
  <c r="C21" i="9"/>
  <c r="C102" i="9"/>
  <c r="D22" i="9"/>
  <c r="T12" i="71"/>
  <c r="D12" i="71"/>
  <c r="U12" i="71" s="1"/>
  <c r="C11" i="71"/>
  <c r="M65" i="40"/>
  <c r="N63" i="40"/>
  <c r="M69" i="39"/>
  <c r="N67" i="39"/>
  <c r="G19" i="9" l="1"/>
  <c r="I21" i="9" s="1"/>
  <c r="E14" i="74"/>
  <c r="D14" i="74" s="1"/>
  <c r="C32" i="9"/>
  <c r="C35" i="9" s="1"/>
  <c r="C34" i="9" s="1"/>
  <c r="D11" i="71"/>
  <c r="C10" i="71"/>
  <c r="N69" i="39"/>
  <c r="O67" i="39"/>
  <c r="O69" i="39" s="1"/>
  <c r="N65" i="40"/>
  <c r="O63" i="40"/>
  <c r="O65" i="40" s="1"/>
  <c r="D27" i="9" l="1"/>
  <c r="D30" i="9" s="1"/>
  <c r="C30" i="9" s="1"/>
  <c r="I20" i="9"/>
  <c r="D10" i="71"/>
  <c r="C9" i="71"/>
  <c r="G24" i="9"/>
  <c r="F14" i="74"/>
  <c r="B5" i="74"/>
  <c r="D5" i="74" s="1"/>
  <c r="G21" i="9"/>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D9" i="52" l="1"/>
  <c r="D123" i="9"/>
  <c r="C73" i="9"/>
  <c r="C78" i="9"/>
  <c r="M54" i="9"/>
  <c r="C97" i="9"/>
  <c r="D58" i="9"/>
  <c r="D56" i="9"/>
  <c r="D54" i="9"/>
  <c r="C68" i="9"/>
  <c r="H5" i="52"/>
  <c r="H119" i="9"/>
  <c r="B48" i="72"/>
  <c r="E4" i="52"/>
  <c r="B47" i="72"/>
  <c r="D4" i="52"/>
  <c r="C86" i="9"/>
  <c r="C93" i="9"/>
  <c r="B53" i="72"/>
  <c r="F5" i="52"/>
  <c r="F119" i="9"/>
  <c r="M55" i="9"/>
  <c r="C64" i="9"/>
  <c r="C63" i="9"/>
  <c r="C67" i="9"/>
  <c r="D59" i="9"/>
  <c r="B31" i="72"/>
  <c r="D15" i="53"/>
  <c r="B22" i="72"/>
  <c r="D6" i="53"/>
  <c r="C5" i="74"/>
  <c r="G4" i="52"/>
  <c r="B52" i="72"/>
  <c r="P57" i="9"/>
  <c r="N58" i="9"/>
  <c r="E81" i="9"/>
  <c r="E80" i="9"/>
  <c r="C80" i="9"/>
  <c r="B49" i="72"/>
  <c r="E118" i="9"/>
  <c r="D118" i="9"/>
  <c r="D119" i="9"/>
  <c r="D5" i="52"/>
  <c r="B32" i="72"/>
  <c r="D14" i="53"/>
  <c r="H102" i="9"/>
  <c r="D7" i="53"/>
  <c r="B21" i="72"/>
  <c r="B51" i="72"/>
  <c r="G118" i="9"/>
  <c r="F118" i="9"/>
  <c r="F4" i="52"/>
  <c r="H108" i="9"/>
  <c r="C6" i="74"/>
  <c r="M48" i="9"/>
  <c r="D5" i="53"/>
  <c r="B20" i="72"/>
  <c r="I4" i="52"/>
  <c r="C105" i="9"/>
  <c r="C72" i="9"/>
  <c r="C79" i="9"/>
  <c r="C81" i="9"/>
  <c r="D13" i="53"/>
  <c r="B30" i="72"/>
  <c r="N60" i="9"/>
  <c r="D55" i="9"/>
  <c r="M53" i="9"/>
  <c r="N57" i="9"/>
  <c r="N59" i="9"/>
  <c r="N61" i="9"/>
  <c r="D52" i="9"/>
  <c r="D53" i="9"/>
  <c r="D45" i="9"/>
  <c r="C85" i="9"/>
  <c r="C95" i="9"/>
  <c r="C96" i="9"/>
  <c r="E96" i="9"/>
  <c r="E97" i="9"/>
  <c r="H4" i="52"/>
  <c r="C104" i="9"/>
  <c r="I118" i="9"/>
  <c r="H118" i="9"/>
  <c r="H101" i="9"/>
  <c r="H107" i="9"/>
  <c r="D122" i="9"/>
  <c r="D8"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<sst xmlns="http://schemas.openxmlformats.org/spreadsheetml/2006/main" count="7982" uniqueCount="3499">
  <si>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</si>
  <si>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</si>
  <si>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</si>
  <si>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</si>
  <si>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</si>
  <si>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</si>
  <si>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</si>
  <si>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</si>
  <si>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</si>
  <si>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</si>
  <si>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</si>
  <si>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</si>
  <si>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</si>
  <si>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</si>
  <si>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</si>
  <si>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</si>
  <si>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</si>
  <si>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</si>
  <si>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</si>
  <si>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</si>
  <si>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</si>
  <si>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</si>
  <si>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</si>
  <si>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</si>
  <si>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</si>
  <si>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</si>
  <si>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</si>
  <si>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</si>
  <si>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</si>
  <si>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</si>
  <si>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</si>
  <si>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</si>
  <si>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</si>
  <si>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</si>
  <si>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</si>
  <si>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</si>
  <si>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</si>
  <si>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</si>
  <si>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</si>
  <si>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</si>
  <si>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</si>
  <si>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</si>
  <si>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</si>
  <si>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</si>
  <si>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</si>
  <si>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</si>
  <si>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</si>
  <si>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</si>
  <si>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</si>
  <si>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</si>
  <si>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</si>
  <si>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</si>
  <si>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</si>
  <si>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</si>
  <si>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</si>
  <si>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</si>
  <si>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</si>
  <si>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</si>
  <si>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</si>
  <si>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</si>
  <si>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</si>
  <si>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</si>
  <si>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</si>
  <si>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</si>
  <si>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</si>
  <si>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</si>
  <si>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</si>
  <si>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</si>
  <si>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</si>
  <si>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</si>
  <si>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</si>
  <si>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</si>
  <si>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</si>
  <si>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</si>
  <si>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</si>
  <si>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</si>
  <si>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</si>
  <si>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</si>
  <si>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</si>
  <si>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</si>
  <si>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</si>
  <si>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</si>
  <si>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</si>
  <si>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</si>
  <si>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</si>
  <si>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</si>
  <si>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</si>
  <si>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</si>
  <si>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</si>
  <si>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</si>
  <si>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</si>
  <si>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</si>
  <si>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</si>
  <si>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</si>
  <si>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</si>
  <si>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</si>
  <si>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</si>
  <si>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</si>
  <si>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</si>
  <si>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</si>
  <si>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</si>
  <si>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</si>
  <si>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</si>
  <si>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</si>
  <si>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</si>
  <si>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</si>
  <si>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</si>
  <si>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</si>
  <si>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</si>
  <si>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</si>
  <si>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</si>
  <si>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</si>
  <si>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</si>
  <si>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</si>
  <si>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</si>
  <si>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</si>
  <si>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</si>
  <si>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</si>
  <si>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</si>
  <si>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</si>
  <si>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</si>
  <si>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</si>
  <si>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</si>
  <si>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</si>
  <si>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</si>
  <si>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</si>
  <si>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</si>
  <si>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</si>
  <si>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</si>
  <si>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</si>
  <si>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</si>
  <si>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</si>
  <si>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</si>
  <si>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</si>
  <si>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</si>
  <si>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</si>
  <si>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</si>
  <si>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</si>
  <si>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</si>
  <si>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</si>
  <si>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</si>
  <si>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</si>
  <si>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</si>
  <si>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</si>
  <si>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</si>
  <si>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</si>
  <si>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</si>
  <si>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</si>
  <si>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</si>
  <si>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</si>
  <si>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</si>
  <si>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</si>
  <si>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</si>
  <si>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</si>
  <si>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</si>
  <si>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</si>
  <si>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</si>
  <si>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</si>
  <si>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</si>
  <si>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</si>
  <si>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</si>
  <si>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</si>
  <si>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</si>
  <si>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</si>
  <si>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</si>
  <si>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</si>
  <si>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</si>
  <si>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</si>
  <si>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</si>
  <si>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</si>
  <si>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</si>
  <si>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</si>
  <si>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</si>
  <si>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</si>
  <si>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</si>
  <si>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</si>
  <si>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</si>
  <si>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</si>
  <si>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</si>
  <si>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</si>
  <si>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</si>
  <si>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</si>
  <si>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</si>
  <si>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</si>
  <si>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</si>
  <si>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</si>
  <si>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</si>
  <si>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</si>
  <si>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</si>
  <si>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</si>
  <si>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</si>
  <si>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</si>
  <si>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</si>
  <si>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</si>
  <si>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</si>
  <si>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</si>
  <si>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</si>
  <si>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</si>
  <si>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</si>
  <si>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</si>
  <si>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</si>
  <si>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</si>
  <si>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</si>
  <si>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</si>
  <si>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</si>
  <si>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</si>
  <si>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</si>
  <si>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</si>
  <si>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</si>
  <si>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</si>
  <si>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</si>
  <si>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</si>
  <si>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</si>
  <si>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</si>
  <si>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</si>
  <si>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</si>
  <si>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</si>
  <si>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</si>
  <si>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</si>
  <si>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</si>
  <si>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</si>
  <si>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</si>
  <si>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</si>
  <si>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</si>
  <si>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</si>
  <si>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</si>
  <si>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</si>
  <si>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</si>
  <si>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</si>
  <si>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</si>
  <si>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</si>
  <si>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</si>
  <si>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</si>
  <si>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</si>
  <si>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</si>
  <si>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</si>
  <si>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</si>
  <si>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</si>
  <si>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</si>
  <si>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</si>
  <si>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</si>
  <si>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</si>
  <si>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</si>
  <si>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</si>
  <si>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</si>
  <si>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</si>
  <si>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</si>
  <si>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</si>
  <si>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</si>
  <si>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</si>
  <si>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</si>
  <si>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</si>
  <si>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</si>
  <si>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</si>
  <si>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</si>
  <si>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</si>
  <si>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</si>
  <si>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</si>
  <si>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</si>
  <si>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</si>
  <si>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</si>
  <si>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</si>
  <si>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</si>
  <si>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</si>
  <si>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</si>
  <si>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</si>
  <si>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</si>
  <si>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</si>
  <si>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</si>
  <si>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</si>
  <si>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</si>
  <si>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</si>
  <si>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</si>
  <si>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</si>
  <si>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</si>
  <si>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</si>
  <si>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</si>
  <si>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</si>
  <si>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</si>
  <si>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</si>
  <si>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</si>
  <si>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</si>
  <si>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</si>
  <si>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</si>
  <si>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</si>
  <si>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</si>
  <si>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</si>
  <si>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</si>
  <si>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</si>
  <si>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</si>
  <si>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</si>
  <si>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</si>
  <si>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</si>
  <si>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</si>
  <si>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</si>
  <si>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</si>
  <si>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</si>
  <si>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</si>
  <si>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</si>
  <si>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</si>
  <si>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</si>
  <si>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</si>
  <si>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</si>
  <si>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</si>
  <si>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</si>
  <si>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</si>
  <si>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</si>
  <si>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</si>
  <si>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</si>
  <si>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</si>
  <si>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</si>
  <si>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</si>
  <si>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</si>
  <si>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</si>
  <si>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</si>
  <si>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</si>
  <si>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</si>
  <si>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</si>
  <si>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</si>
  <si>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</si>
  <si>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</si>
  <si>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</si>
  <si>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</si>
  <si>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</si>
  <si>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</si>
  <si>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</si>
  <si>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</si>
  <si>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</si>
  <si>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</si>
  <si>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</si>
  <si>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</si>
  <si>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</si>
  <si>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</si>
  <si>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</si>
  <si>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</si>
  <si>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</si>
  <si>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</si>
  <si>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</si>
  <si>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</si>
  <si>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</si>
  <si>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</si>
  <si>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</si>
  <si>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</si>
  <si>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</si>
  <si>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</si>
  <si>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</si>
  <si>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</si>
  <si>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</si>
  <si>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</si>
  <si>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</si>
  <si>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</si>
  <si>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</si>
  <si>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</si>
  <si>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</si>
  <si>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</si>
  <si>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</si>
  <si>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</si>
  <si>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</si>
  <si>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</si>
  <si>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</si>
  <si>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</si>
  <si>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</si>
  <si>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</si>
  <si>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</si>
  <si>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</si>
  <si>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</si>
  <si>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</si>
  <si>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</si>
  <si>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</si>
  <si>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</si>
  <si>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</si>
  <si>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</si>
  <si>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</si>
  <si>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</si>
  <si>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</si>
  <si>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</si>
  <si>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</si>
  <si>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</si>
  <si>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</si>
  <si>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</si>
  <si>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</si>
  <si>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</si>
  <si>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</si>
  <si>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</si>
  <si>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</si>
  <si>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</si>
  <si>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</si>
  <si>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</si>
  <si>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</si>
  <si>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</si>
  <si>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</si>
  <si>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</si>
  <si>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</si>
  <si>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</si>
  <si>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</si>
  <si>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</si>
  <si>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</si>
  <si>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</si>
  <si>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</si>
  <si>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</si>
  <si>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</si>
  <si>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</si>
  <si>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</si>
  <si>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</si>
  <si>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</si>
  <si>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</si>
  <si>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</si>
  <si>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</si>
  <si>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</si>
  <si>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</si>
  <si>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</si>
  <si>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</si>
  <si>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</si>
  <si>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</si>
  <si>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</si>
  <si>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</si>
  <si>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</si>
  <si>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</si>
  <si>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</si>
  <si>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</si>
  <si>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</si>
  <si>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</si>
  <si>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</si>
  <si>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</si>
  <si>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</si>
  <si>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</si>
  <si>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</si>
  <si>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</si>
  <si>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</si>
  <si>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</si>
  <si>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</si>
  <si>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</si>
  <si>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</si>
  <si>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</si>
  <si>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</si>
  <si>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</si>
  <si>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</si>
  <si>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</si>
  <si>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</si>
  <si>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</si>
  <si>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</si>
  <si>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</si>
  <si>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</si>
  <si>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</si>
  <si>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</si>
  <si>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</si>
  <si>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</si>
  <si>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</si>
  <si>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</si>
  <si>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</si>
  <si>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</si>
  <si>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</si>
  <si>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</si>
  <si>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</si>
  <si>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</si>
  <si>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</si>
  <si>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</si>
  <si>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</si>
  <si>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</si>
  <si>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</si>
  <si>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</si>
  <si>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</si>
  <si>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</si>
  <si>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</si>
  <si>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</si>
  <si>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</si>
  <si>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</si>
  <si>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</si>
  <si>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</si>
  <si>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</si>
  <si>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</si>
  <si>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</si>
  <si>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</si>
  <si>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</si>
  <si>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</si>
  <si>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</si>
  <si>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</si>
  <si>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</si>
  <si>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</si>
  <si>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</si>
  <si>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</si>
  <si>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</si>
  <si>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</si>
  <si>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</si>
  <si>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</si>
  <si>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</si>
  <si>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</si>
  <si>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</si>
  <si>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</si>
  <si>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</si>
  <si>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</si>
  <si>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</si>
  <si>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</si>
  <si>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</si>
  <si>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</si>
  <si>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</si>
  <si>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</si>
  <si>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</si>
  <si>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</si>
  <si>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</si>
  <si>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</si>
  <si>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</si>
  <si>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</si>
  <si>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</si>
  <si>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</si>
  <si>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</si>
  <si>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</si>
  <si>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</si>
  <si>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</si>
  <si>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</si>
  <si>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</si>
  <si>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</si>
  <si>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</si>
  <si>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</si>
  <si>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</si>
  <si>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</si>
  <si>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</si>
  <si>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</si>
  <si>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</si>
  <si>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</si>
  <si>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</si>
  <si>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</si>
  <si>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</si>
  <si>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</si>
  <si>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</si>
  <si>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</si>
  <si>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</si>
  <si>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</si>
  <si>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</si>
  <si>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</si>
  <si>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</si>
  <si>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</si>
  <si>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</si>
  <si>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</si>
  <si>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</si>
  <si>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</si>
  <si>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</si>
  <si>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</si>
  <si>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</si>
  <si>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</si>
  <si>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</si>
  <si>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</si>
  <si>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</si>
  <si>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</si>
  <si>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</si>
  <si>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</si>
  <si>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</si>
  <si>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</si>
  <si>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</si>
  <si>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</si>
  <si>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</si>
  <si>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</si>
  <si>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</si>
  <si>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</si>
  <si>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</si>
  <si>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</si>
  <si>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</si>
  <si>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</si>
  <si>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</si>
  <si>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</si>
  <si>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</si>
  <si>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</si>
  <si>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</si>
  <si>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</si>
  <si>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</si>
  <si>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</si>
  <si>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</si>
  <si>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</si>
  <si>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</si>
  <si>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</si>
  <si>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</si>
  <si>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</si>
  <si>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</si>
  <si>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</si>
  <si>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</si>
  <si>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</si>
  <si>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</si>
  <si>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</si>
  <si>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</si>
  <si>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</si>
  <si>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</si>
  <si>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</si>
  <si>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</si>
  <si>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</si>
  <si>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</si>
  <si>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</si>
  <si>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</si>
  <si>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</si>
  <si>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</si>
  <si>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</si>
  <si>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</si>
  <si>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</si>
  <si>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</si>
  <si>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</si>
  <si>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</si>
  <si>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</si>
  <si>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</si>
  <si>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</si>
  <si>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</si>
  <si>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</si>
  <si>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</si>
  <si>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</si>
  <si>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</si>
  <si>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</si>
  <si>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</si>
  <si>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</si>
  <si>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</si>
  <si>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</si>
  <si>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</si>
  <si>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</si>
  <si>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</si>
  <si>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</si>
  <si>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</si>
  <si>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</si>
  <si>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</si>
  <si>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</si>
  <si>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</si>
  <si>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</si>
  <si>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</si>
  <si>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</si>
  <si>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</si>
  <si>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</si>
  <si>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</si>
  <si>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</si>
  <si>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</si>
  <si>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</si>
  <si>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</si>
  <si>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</si>
  <si>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</si>
  <si>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</si>
  <si>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</si>
  <si>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</si>
  <si>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</si>
  <si>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</si>
  <si>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</si>
  <si>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</si>
  <si>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</si>
  <si>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</si>
  <si>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</si>
  <si>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</si>
  <si>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</si>
  <si>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</si>
  <si>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</si>
  <si>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</si>
  <si>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</si>
  <si>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</si>
  <si>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</si>
  <si>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</si>
  <si>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</si>
  <si>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</si>
  <si>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</si>
  <si>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</si>
  <si>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</si>
  <si>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</si>
  <si>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</si>
  <si>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</si>
  <si>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</si>
  <si>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</si>
  <si>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</si>
  <si>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</si>
  <si>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</si>
  <si>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</si>
  <si>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</si>
  <si>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</si>
  <si>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</si>
  <si>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</si>
  <si>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</si>
  <si>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</si>
  <si>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</si>
  <si>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</si>
  <si>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</si>
  <si>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</si>
  <si>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</si>
  <si>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</si>
  <si>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</si>
  <si>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</si>
  <si>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</si>
  <si>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</si>
  <si>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</si>
  <si>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</si>
  <si>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</si>
  <si>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</si>
  <si>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</si>
  <si>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</si>
  <si>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</si>
  <si>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</si>
  <si>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</si>
  <si>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</si>
  <si>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</si>
  <si>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</si>
  <si>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</si>
  <si>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</si>
  <si>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</si>
  <si>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</si>
  <si>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</si>
  <si>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</si>
  <si>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</si>
  <si>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</si>
  <si>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</si>
  <si>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</si>
  <si>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</si>
  <si>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</si>
  <si>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</si>
  <si>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</si>
  <si>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</si>
  <si>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</si>
  <si>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</si>
  <si>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</si>
  <si>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</si>
  <si>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</si>
  <si>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</si>
  <si>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</si>
  <si>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</si>
  <si>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</si>
  <si>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</si>
  <si>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</si>
  <si>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</si>
  <si>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</si>
  <si>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</si>
  <si>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</si>
  <si>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</si>
  <si>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</si>
  <si>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</si>
  <si>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</si>
  <si>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</si>
  <si>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</si>
  <si>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</si>
  <si>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</si>
  <si>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</si>
  <si>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</si>
  <si>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</si>
  <si>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</si>
  <si>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</si>
  <si>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</si>
  <si>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</si>
  <si>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</si>
  <si>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</si>
  <si>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</si>
  <si>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</si>
  <si>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</si>
  <si>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</si>
  <si>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</si>
  <si>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</si>
  <si>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</si>
  <si>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</si>
  <si>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</si>
  <si>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</si>
  <si>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</si>
  <si>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</si>
  <si>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</si>
  <si>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</si>
  <si>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</si>
  <si>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</si>
  <si>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</si>
  <si>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</si>
  <si>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</si>
  <si>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</si>
  <si>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</si>
  <si>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</si>
  <si>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</si>
  <si>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</si>
  <si>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</si>
  <si>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</si>
  <si>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</si>
  <si>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</si>
  <si>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</si>
  <si>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</si>
  <si>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</si>
  <si>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</si>
  <si>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</si>
  <si>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</si>
  <si>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</si>
  <si>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</si>
  <si>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</si>
  <si>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</si>
  <si>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</si>
  <si>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</si>
  <si>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</si>
  <si>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</si>
  <si>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</si>
  <si>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</si>
  <si>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</si>
  <si>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</si>
  <si>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</si>
  <si>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</si>
  <si>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</si>
  <si>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</si>
  <si>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</si>
  <si>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</si>
  <si>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</si>
  <si>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</si>
  <si>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</si>
  <si>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</si>
  <si>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</si>
  <si>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</si>
  <si>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</si>
  <si>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</si>
  <si>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</si>
  <si>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</si>
  <si>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</si>
  <si>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</si>
  <si>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</si>
  <si>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</si>
  <si>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</si>
  <si>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</si>
  <si>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</si>
  <si>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</si>
  <si>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</si>
  <si>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</si>
  <si>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</si>
  <si>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</si>
  <si>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</si>
  <si>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</si>
  <si>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</si>
  <si>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</si>
  <si>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</si>
  <si>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</si>
  <si>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</si>
  <si>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</si>
  <si>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</si>
  <si>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</si>
  <si>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</si>
  <si>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</si>
  <si>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</si>
  <si>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</si>
  <si>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</si>
  <si>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</si>
  <si>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</si>
  <si>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</si>
  <si>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</si>
  <si>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</si>
  <si>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</si>
  <si>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</si>
  <si>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</si>
  <si>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</si>
  <si>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</si>
  <si>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</si>
  <si>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</si>
  <si>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</si>
  <si>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</si>
  <si>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</si>
  <si>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</si>
  <si>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</si>
  <si>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</si>
  <si>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</si>
  <si>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</si>
  <si>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</si>
  <si>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</si>
  <si>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</si>
  <si>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</si>
  <si>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</si>
  <si>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</si>
  <si>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</si>
  <si>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</si>
  <si>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</si>
  <si>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</si>
  <si>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</si>
  <si>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</si>
  <si>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</si>
  <si>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</si>
  <si>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</si>
  <si>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</si>
  <si>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</si>
  <si>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</si>
  <si>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</si>
  <si>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</si>
  <si>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</si>
  <si>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</si>
  <si>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</si>
  <si>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</si>
  <si>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</si>
  <si>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</si>
  <si>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</si>
  <si>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</si>
  <si>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</si>
  <si>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</si>
  <si>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</si>
  <si>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</si>
  <si>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</si>
  <si>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</si>
  <si>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</si>
  <si>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</si>
  <si>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</si>
  <si>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</si>
  <si>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</si>
  <si>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</si>
  <si>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</si>
  <si>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</si>
  <si>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</si>
  <si>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</si>
  <si>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</si>
  <si>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</si>
  <si>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</si>
  <si>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</si>
  <si>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</si>
  <si>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</si>
  <si>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</si>
  <si>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</si>
  <si>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</si>
  <si>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</si>
  <si>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</si>
  <si>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</si>
  <si>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</si>
  <si>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</si>
  <si>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</si>
  <si>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</si>
  <si>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</si>
  <si>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</si>
  <si>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</si>
  <si>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</si>
  <si>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</si>
  <si>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</si>
  <si>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</si>
  <si>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</si>
  <si>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</si>
  <si>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</si>
  <si>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</si>
  <si>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</si>
  <si>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</si>
  <si>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</si>
  <si>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</si>
  <si>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</si>
  <si>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</si>
  <si>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</si>
  <si>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</si>
  <si>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</si>
  <si>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</si>
  <si>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</si>
  <si>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</si>
  <si>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</si>
  <si>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</si>
  <si>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</si>
  <si>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</si>
  <si>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</si>
  <si>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</si>
  <si>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</si>
  <si>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</si>
  <si>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</si>
  <si>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</si>
  <si>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</si>
  <si>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</si>
  <si>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</si>
  <si>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</si>
  <si>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</si>
  <si>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</si>
  <si>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</si>
  <si>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</si>
  <si>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</si>
  <si>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</si>
  <si>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</si>
  <si>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</si>
  <si>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</si>
  <si>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</si>
  <si>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</si>
  <si>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</si>
  <si>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</si>
  <si>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</si>
  <si>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</si>
  <si>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</si>
  <si>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</si>
  <si>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</si>
  <si>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</si>
  <si>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</si>
  <si>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</si>
  <si>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</si>
  <si>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</si>
  <si>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</si>
  <si>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</si>
  <si>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</si>
  <si>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</si>
  <si>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</si>
  <si>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</si>
  <si>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</si>
  <si>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</si>
  <si>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</si>
  <si>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</si>
  <si>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</si>
  <si>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</si>
  <si>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</si>
  <si>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</si>
  <si>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</si>
  <si>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</si>
  <si>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</si>
  <si>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</si>
  <si>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</si>
  <si>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</si>
  <si>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</si>
  <si>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</si>
  <si>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</si>
  <si>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</si>
  <si>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</si>
  <si>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</si>
  <si>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</si>
  <si>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</si>
  <si>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</si>
  <si>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</si>
  <si>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</si>
  <si>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</si>
  <si>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</si>
  <si>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</si>
  <si>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</si>
  <si>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</si>
  <si>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</si>
  <si>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</si>
  <si>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</si>
  <si>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</si>
  <si>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</si>
  <si>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</si>
  <si>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</si>
  <si>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</si>
  <si>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</si>
  <si>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</si>
  <si>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</si>
  <si>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</si>
  <si>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</si>
  <si>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</si>
  <si>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</si>
  <si>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</si>
  <si>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</si>
  <si>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</si>
  <si>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</si>
  <si>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</si>
  <si>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</si>
  <si>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</si>
  <si>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</si>
  <si>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</si>
  <si>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</si>
  <si>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</si>
  <si>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</si>
  <si>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</si>
  <si>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</si>
  <si>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</si>
  <si>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</si>
  <si>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</si>
  <si>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</si>
  <si>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</si>
  <si>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</si>
  <si>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</si>
  <si>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</si>
  <si>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</si>
  <si>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</si>
  <si>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</si>
  <si>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</si>
  <si>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</si>
  <si>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</si>
  <si>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</si>
  <si>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</si>
  <si>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</si>
  <si>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</si>
  <si>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</si>
  <si>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</si>
  <si>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</si>
  <si>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</si>
  <si>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</si>
  <si>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</si>
  <si>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</si>
  <si>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</si>
  <si>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</si>
  <si>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</si>
  <si>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</si>
  <si>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</si>
  <si>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</si>
  <si>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</si>
  <si>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</si>
  <si>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</si>
  <si>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</si>
  <si>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</si>
  <si>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</si>
  <si>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</si>
  <si>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</si>
  <si>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</si>
  <si>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</si>
  <si>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</si>
  <si>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</si>
  <si>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</si>
  <si>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</si>
  <si>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</si>
  <si>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</si>
  <si>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</si>
  <si>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</si>
  <si>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</si>
  <si>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</si>
  <si>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</si>
  <si>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</si>
  <si>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</si>
  <si>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</si>
  <si>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</si>
  <si>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</si>
  <si>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</si>
  <si>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</si>
  <si>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</si>
  <si>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</si>
  <si>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</si>
  <si>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</si>
  <si>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</si>
  <si>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</si>
  <si>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</si>
  <si>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</si>
  <si>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</si>
  <si>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</si>
  <si>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</si>
  <si>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</si>
  <si>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</si>
  <si>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</si>
  <si>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</si>
  <si>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</si>
  <si>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</si>
  <si>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</si>
  <si>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</si>
  <si>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</si>
  <si>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</si>
  <si>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</si>
  <si>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</si>
  <si>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</si>
  <si>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</si>
  <si>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</si>
  <si>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</si>
  <si>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</si>
  <si>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</si>
  <si>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</si>
  <si>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</si>
  <si>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</si>
  <si>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</si>
  <si>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</si>
  <si>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</si>
  <si>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</si>
  <si>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</si>
  <si>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</si>
  <si>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</si>
  <si>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</si>
  <si>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</si>
  <si>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</si>
  <si>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</si>
  <si>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</si>
  <si>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</si>
  <si>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</si>
  <si>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</si>
  <si>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</si>
  <si>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</si>
  <si>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</si>
  <si>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</si>
  <si>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</si>
  <si>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</si>
  <si>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</si>
  <si>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</si>
  <si>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</si>
  <si>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</si>
  <si>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</si>
  <si>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</si>
  <si>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</si>
  <si>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</si>
  <si>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</si>
  <si>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</si>
  <si>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</si>
  <si>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</si>
  <si>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</si>
  <si>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</si>
  <si>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</si>
  <si>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</si>
  <si>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</si>
  <si>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</si>
  <si>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</si>
  <si>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</si>
  <si>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</si>
  <si>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</si>
  <si>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</si>
  <si>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</si>
  <si>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</si>
  <si>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</si>
  <si>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</si>
  <si>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</si>
  <si>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</si>
  <si>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</si>
  <si>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</si>
  <si>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</si>
  <si>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</si>
  <si>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</si>
  <si>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</si>
  <si>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</si>
  <si>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</si>
  <si>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</si>
  <si>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</si>
  <si>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</si>
  <si>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</si>
  <si>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</si>
  <si>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</si>
  <si>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</si>
  <si>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</si>
  <si>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</si>
  <si>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</si>
  <si>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</si>
  <si>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</si>
  <si>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</si>
  <si>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</si>
  <si>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</si>
  <si>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</si>
  <si>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</si>
  <si>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</si>
  <si>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</si>
  <si>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</si>
  <si>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</si>
  <si>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</si>
  <si>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</si>
  <si>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</si>
  <si>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</si>
  <si>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</si>
  <si>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</si>
  <si>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</si>
  <si>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</si>
  <si>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</si>
  <si>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</si>
  <si>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</si>
  <si>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</si>
  <si>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</si>
  <si>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</si>
  <si>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</si>
  <si>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</si>
  <si>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</si>
  <si>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</si>
  <si>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</si>
  <si>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</si>
  <si>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</si>
  <si>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</si>
  <si>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</si>
  <si>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</si>
  <si>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</si>
  <si>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</si>
  <si>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</si>
  <si>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</si>
  <si>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</si>
  <si>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</si>
  <si>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</si>
  <si>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</si>
  <si>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</si>
  <si>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</si>
  <si>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</si>
  <si>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</si>
  <si>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</si>
  <si>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</si>
  <si>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</si>
  <si>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</si>
  <si>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</si>
  <si>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</si>
  <si>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</si>
  <si>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</si>
  <si>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</si>
  <si>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</si>
  <si>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</si>
  <si>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</si>
  <si>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</si>
  <si>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</si>
  <si>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</si>
  <si>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</si>
  <si>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</si>
  <si>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</si>
  <si>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</si>
  <si>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</si>
  <si>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</si>
  <si>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</si>
  <si>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</si>
  <si>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</si>
  <si>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</si>
  <si>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</si>
  <si>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</si>
  <si>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</si>
  <si>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</si>
  <si>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</si>
  <si>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</si>
  <si>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</si>
  <si>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</si>
  <si>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</si>
  <si>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</si>
  <si>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</si>
  <si>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</si>
  <si>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</si>
  <si>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</si>
  <si>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</si>
  <si>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</si>
  <si>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</si>
  <si>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</si>
  <si>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</si>
  <si>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</si>
  <si>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</si>
  <si>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</si>
  <si>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</si>
  <si>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</si>
  <si>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</si>
  <si>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</si>
  <si>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</si>
  <si>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</si>
  <si>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</si>
  <si>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</si>
  <si>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</si>
  <si>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</si>
  <si>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</si>
  <si>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</si>
  <si>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</si>
  <si>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</si>
  <si>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</si>
  <si>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</si>
  <si>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</si>
  <si>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</si>
  <si>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</si>
  <si>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</si>
  <si>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</si>
  <si>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</si>
  <si>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</si>
  <si>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</si>
  <si>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</si>
  <si>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</si>
  <si>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</si>
  <si>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</si>
  <si>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</si>
  <si>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</si>
  <si>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</si>
  <si>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</si>
  <si>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</si>
  <si>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</si>
  <si>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</si>
  <si>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</si>
  <si>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</si>
  <si>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</si>
  <si>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</si>
  <si>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</si>
  <si>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</si>
  <si>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</si>
  <si>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</si>
  <si>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</si>
  <si>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</si>
  <si>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</si>
  <si>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</si>
  <si>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</si>
  <si>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</si>
  <si>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</si>
  <si>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</si>
  <si>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</si>
  <si>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</si>
  <si>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</si>
  <si>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</si>
  <si>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</si>
  <si>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</si>
  <si>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</si>
  <si>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</si>
  <si>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</si>
  <si>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</si>
  <si>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</si>
  <si>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</si>
  <si>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</si>
  <si>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</si>
  <si>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</si>
  <si>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</si>
  <si>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</si>
  <si>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</si>
  <si>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</si>
  <si>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</si>
  <si>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</si>
  <si>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</si>
  <si>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</si>
  <si>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</si>
  <si>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</si>
  <si>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</si>
  <si>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</si>
  <si>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</si>
  <si>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</si>
  <si>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</si>
  <si>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</si>
  <si>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</si>
  <si>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</si>
  <si>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</si>
  <si>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</si>
  <si>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</si>
  <si>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</si>
  <si>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</si>
  <si>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</si>
  <si>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</si>
  <si>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</si>
  <si>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</si>
  <si>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</si>
  <si>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</si>
  <si>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</si>
  <si>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</si>
  <si>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</si>
  <si>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</si>
  <si>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</si>
  <si>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</si>
  <si>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</si>
  <si>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</si>
  <si>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</si>
  <si>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</si>
  <si>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</si>
  <si>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</si>
  <si>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</si>
  <si>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</si>
  <si>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</si>
  <si>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</si>
  <si>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</si>
  <si>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</si>
  <si>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</si>
  <si>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</si>
  <si>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</si>
  <si>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</si>
  <si>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</si>
  <si>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</si>
  <si>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</si>
  <si>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</si>
  <si>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</si>
  <si>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</si>
  <si>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</si>
  <si>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</si>
  <si>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</si>
  <si>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</si>
  <si>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</si>
  <si>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</si>
  <si>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</si>
  <si>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</si>
  <si>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</si>
  <si>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</si>
  <si>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</si>
  <si>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</si>
  <si>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</si>
  <si>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</si>
  <si>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</si>
  <si>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</si>
  <si>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</si>
  <si>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</si>
  <si>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</si>
  <si>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</si>
  <si>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</si>
  <si>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</si>
  <si>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</si>
  <si>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</si>
  <si>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</si>
  <si>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</si>
  <si>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</si>
  <si>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</si>
  <si>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</si>
  <si>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</si>
  <si>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</si>
  <si>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</si>
  <si>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</si>
  <si>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</si>
  <si>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</si>
  <si>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</si>
  <si>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</si>
  <si>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</si>
  <si>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</si>
  <si>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</si>
  <si>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</si>
  <si>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</si>
  <si>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</si>
  <si>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</si>
  <si>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</si>
  <si>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</si>
  <si>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</si>
  <si>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</si>
  <si>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</si>
  <si>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</si>
  <si>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</si>
  <si>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</si>
  <si>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</si>
  <si>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</si>
  <si>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</si>
  <si>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</si>
  <si>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</si>
  <si>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</si>
  <si>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</si>
  <si>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</si>
  <si>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</si>
  <si>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</si>
  <si>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</si>
  <si>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</si>
  <si>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</si>
  <si>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</si>
  <si>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</si>
  <si>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</si>
  <si>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</si>
  <si>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</si>
  <si>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</si>
  <si>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</si>
  <si>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</si>
  <si>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</si>
  <si>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</si>
  <si>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</si>
  <si>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</si>
  <si>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</si>
  <si>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</si>
  <si>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</si>
  <si>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</si>
  <si>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</si>
  <si>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</si>
  <si>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</si>
  <si>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</si>
  <si>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</si>
  <si>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</si>
  <si>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</si>
  <si>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</si>
  <si>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</si>
  <si>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</si>
  <si>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</si>
  <si>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</si>
  <si>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</si>
  <si>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</si>
  <si>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</si>
  <si>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</si>
  <si>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</si>
  <si>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</si>
  <si>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</si>
  <si>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</si>
  <si>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</si>
  <si>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</si>
  <si>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</si>
  <si>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</si>
  <si>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</si>
  <si>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</si>
  <si>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</si>
  <si>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</si>
  <si>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</si>
  <si>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</si>
  <si>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</si>
  <si>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</si>
  <si>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</si>
  <si>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</si>
  <si>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</si>
  <si>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</si>
  <si>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</si>
  <si>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</si>
  <si>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</si>
  <si>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</si>
  <si>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</si>
  <si>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</si>
  <si>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</si>
  <si>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</si>
  <si>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</si>
  <si>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</si>
  <si>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</si>
  <si>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</si>
  <si>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</si>
  <si>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</si>
  <si>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</si>
  <si>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</si>
  <si>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</si>
  <si>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</si>
  <si>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</si>
  <si>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</si>
  <si>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</si>
  <si>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</si>
  <si>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</si>
  <si>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</si>
  <si>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</si>
  <si>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</si>
  <si>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</si>
  <si>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</si>
  <si>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</si>
  <si>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</si>
  <si>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</si>
  <si>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</si>
  <si>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</si>
  <si>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</si>
  <si>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</si>
  <si>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</si>
  <si>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</si>
  <si>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</si>
  <si>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</si>
  <si>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</si>
  <si>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</si>
  <si>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</si>
  <si>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</si>
  <si>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</si>
  <si>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</si>
  <si>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</si>
  <si>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</si>
  <si>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</si>
  <si>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</si>
  <si>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</si>
  <si>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</si>
  <si>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</si>
  <si>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</si>
  <si>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</si>
  <si>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</si>
  <si>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</si>
  <si>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</si>
  <si>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</si>
  <si>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</si>
  <si>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</si>
  <si>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</si>
  <si>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</si>
  <si>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</si>
  <si>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</si>
  <si>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</si>
  <si>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</si>
  <si>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</si>
  <si>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</si>
  <si>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</si>
  <si>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</si>
  <si>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</si>
  <si>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</si>
  <si>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</si>
  <si>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</si>
  <si>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</si>
  <si>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</si>
  <si>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</si>
  <si>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</si>
  <si>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</si>
  <si>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</si>
  <si>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</si>
  <si>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</si>
  <si>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</si>
  <si>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</si>
  <si>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</si>
  <si>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</si>
  <si>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</si>
  <si>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</si>
  <si>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</si>
  <si>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</si>
  <si>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</si>
  <si>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</si>
  <si>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</si>
  <si>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</si>
  <si>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</si>
  <si>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</si>
  <si>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</si>
  <si>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</si>
  <si>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</si>
  <si>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</si>
  <si>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</si>
  <si>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</si>
  <si>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</si>
  <si>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</si>
  <si>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</si>
  <si>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</si>
  <si>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</si>
  <si>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</si>
  <si>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</si>
  <si>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</si>
  <si>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</si>
  <si>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</si>
  <si>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</si>
  <si>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</si>
  <si>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</si>
  <si>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</si>
  <si>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</si>
  <si>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</si>
  <si>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</si>
  <si>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</si>
  <si>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</si>
  <si>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</si>
  <si>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</si>
  <si>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</si>
  <si>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</si>
  <si>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</si>
  <si>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</si>
  <si>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</si>
  <si>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</si>
  <si>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</si>
  <si>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</si>
  <si>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</si>
  <si>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</si>
  <si>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</si>
  <si>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</si>
  <si>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</si>
  <si>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</si>
  <si>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</si>
  <si>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</si>
  <si>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</si>
  <si>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</si>
  <si>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</si>
  <si>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</si>
  <si>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</si>
  <si>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</si>
  <si>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</si>
  <si>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</si>
  <si>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</si>
  <si>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</si>
  <si>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</si>
  <si>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</si>
  <si>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</si>
  <si>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</si>
  <si>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</si>
  <si>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</si>
  <si>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</si>
  <si>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</si>
  <si>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</si>
  <si>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</si>
  <si>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</si>
  <si>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</si>
  <si>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</si>
  <si>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</si>
  <si>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</si>
  <si>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</si>
  <si>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</si>
  <si>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</si>
  <si>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</si>
  <si>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</si>
  <si>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</si>
  <si>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</si>
  <si>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</si>
  <si>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</si>
  <si>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</si>
  <si>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</si>
  <si>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</si>
  <si>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</si>
  <si>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</si>
  <si>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</si>
  <si>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</si>
  <si>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</si>
  <si>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</si>
  <si>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</si>
  <si>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</si>
  <si>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</si>
  <si>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</si>
  <si>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</si>
  <si>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</si>
  <si>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</si>
  <si>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</si>
  <si>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</si>
  <si>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</si>
  <si>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</si>
  <si>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</si>
  <si>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</si>
  <si>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</si>
  <si>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</si>
  <si>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</si>
  <si>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</si>
  <si>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</si>
  <si>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</si>
  <si>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</si>
  <si>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</si>
  <si>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</si>
  <si>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</si>
  <si>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</si>
  <si>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</si>
  <si>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</si>
  <si>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</si>
  <si>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</si>
  <si>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</si>
  <si>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</si>
  <si>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</si>
  <si>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</si>
  <si>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</si>
  <si>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</si>
  <si>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</si>
  <si>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</si>
  <si>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</si>
  <si>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</si>
  <si>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</si>
  <si>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</si>
  <si>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</si>
  <si>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</si>
  <si>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</si>
  <si>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</si>
  <si>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</si>
  <si>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</si>
  <si>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</si>
  <si>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</si>
  <si>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</si>
  <si>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</si>
  <si>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</si>
  <si>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</si>
  <si>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</si>
  <si>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</si>
  <si>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</si>
  <si>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</si>
  <si>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</si>
  <si>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</si>
  <si>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</si>
  <si>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</si>
  <si>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</si>
  <si>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</si>
  <si>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</si>
  <si>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</si>
  <si>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</si>
  <si>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</si>
  <si>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</si>
  <si>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</si>
  <si>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</si>
  <si>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</si>
  <si>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</si>
  <si>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</si>
  <si>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</si>
  <si>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</si>
  <si>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</si>
  <si>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</si>
  <si>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</si>
  <si>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</si>
  <si>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</si>
  <si>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</si>
  <si>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</si>
  <si>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</si>
  <si>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</si>
  <si>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</si>
  <si>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</si>
  <si>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</si>
  <si>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</si>
  <si>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</si>
  <si>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</si>
  <si>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</si>
  <si>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</si>
  <si>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</si>
  <si>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</si>
  <si>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</si>
  <si>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</si>
  <si>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</si>
  <si>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</si>
  <si>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</si>
  <si>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</si>
  <si>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</si>
  <si>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</si>
  <si>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</si>
  <si>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</si>
  <si>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</si>
  <si>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</si>
  <si>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</si>
  <si>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</si>
  <si>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</si>
  <si>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</si>
  <si>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</si>
  <si>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</si>
  <si>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</si>
  <si>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</si>
  <si>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</si>
  <si>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</si>
  <si>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</si>
  <si>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</si>
  <si>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</si>
  <si>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</si>
  <si>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</si>
  <si>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</si>
  <si>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</si>
  <si>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</si>
  <si>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</si>
  <si>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</si>
  <si>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</si>
  <si>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</si>
  <si>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</si>
  <si>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</si>
  <si>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</si>
  <si>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</si>
  <si>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</si>
  <si>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</si>
  <si>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</si>
  <si>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</si>
  <si>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</si>
  <si>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</si>
  <si>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</si>
  <si>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</si>
  <si>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</si>
  <si>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</si>
  <si>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</si>
  <si>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</si>
  <si>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</si>
  <si>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</si>
  <si>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</si>
  <si>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</si>
  <si>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</si>
  <si>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</si>
  <si>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</si>
  <si>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</si>
  <si>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</si>
  <si>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</si>
  <si>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</si>
  <si>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</si>
  <si>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</si>
  <si>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</si>
  <si>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</si>
  <si>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</si>
  <si>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</si>
  <si>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</si>
  <si>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</si>
  <si>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</si>
  <si>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</si>
  <si>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</si>
  <si>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</si>
  <si>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</si>
  <si>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</si>
  <si>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</si>
  <si>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</si>
  <si>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</si>
  <si>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</si>
  <si>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</si>
  <si>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</si>
  <si>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</si>
  <si>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</si>
  <si>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</si>
  <si>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</si>
  <si>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</si>
  <si>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</si>
  <si>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</si>
  <si>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</si>
  <si>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</si>
  <si>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</si>
  <si>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</si>
  <si>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</si>
  <si>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</si>
  <si>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</si>
  <si>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</si>
  <si>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</si>
  <si>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</si>
  <si>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</si>
  <si>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</si>
  <si>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</si>
  <si>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</si>
  <si>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</si>
  <si>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</si>
  <si>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</si>
  <si>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</si>
  <si>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</si>
  <si>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</si>
  <si>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</si>
  <si>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</si>
  <si>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</si>
  <si>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</si>
  <si>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</si>
  <si>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</si>
  <si>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</si>
  <si>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</si>
  <si>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</si>
  <si>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</si>
  <si>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</si>
  <si>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</si>
  <si>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</si>
  <si>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</si>
  <si>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</si>
  <si>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</si>
  <si>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</si>
  <si>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</si>
  <si>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</si>
  <si>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</si>
  <si>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</si>
  <si>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</si>
  <si>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</si>
  <si>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</si>
  <si>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</si>
  <si>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</si>
  <si>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</si>
  <si>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</si>
  <si>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</si>
  <si>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</si>
  <si>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</si>
  <si>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</si>
  <si>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</si>
  <si>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</si>
  <si>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</si>
  <si>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</si>
  <si>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</si>
  <si>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</si>
  <si>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</si>
  <si>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</si>
  <si>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</si>
  <si>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</si>
  <si>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</si>
  <si>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</si>
  <si>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</si>
  <si>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</si>
  <si>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</si>
  <si>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</si>
  <si>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</si>
  <si>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</si>
  <si>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</si>
  <si>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</si>
  <si>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</si>
  <si>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</si>
  <si>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</si>
  <si>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</si>
  <si>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</si>
  <si>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</si>
  <si>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</si>
  <si>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</si>
  <si>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</si>
  <si>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</si>
  <si>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</si>
  <si>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</si>
  <si>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</si>
  <si>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</si>
  <si>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</si>
  <si>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</si>
  <si>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</si>
  <si>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</si>
  <si>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</si>
  <si>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</si>
  <si>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</si>
  <si>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</si>
  <si>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</si>
  <si>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</si>
  <si>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</si>
  <si>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</si>
  <si>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</si>
  <si>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</si>
  <si>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</si>
  <si>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</si>
  <si>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</si>
  <si>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</si>
  <si>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</si>
  <si>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</si>
  <si>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</si>
  <si>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</si>
  <si>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</si>
  <si>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</si>
  <si>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</si>
  <si>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</si>
  <si>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</si>
  <si>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</si>
  <si>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</si>
  <si>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</si>
  <si>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</si>
  <si>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</si>
  <si>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</si>
  <si>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</si>
  <si>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</si>
  <si>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</si>
  <si>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</si>
  <si>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</si>
  <si>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</si>
  <si>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</si>
  <si>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</si>
  <si>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</si>
  <si>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</si>
  <si>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</si>
  <si>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</si>
  <si>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</si>
  <si>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</si>
  <si>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</si>
  <si>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</si>
  <si>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</si>
  <si>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</si>
  <si>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</si>
  <si>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</si>
  <si>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</si>
  <si>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</si>
  <si>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</si>
  <si>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</si>
  <si>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</si>
  <si>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</si>
  <si>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</si>
  <si>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</si>
  <si>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</si>
  <si>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</si>
  <si>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</si>
  <si>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</si>
  <si>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</si>
  <si>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</si>
  <si>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</si>
  <si>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</si>
  <si>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</si>
  <si>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</si>
  <si>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</si>
  <si>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</si>
  <si>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</si>
  <si>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</si>
  <si>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</si>
  <si>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</si>
  <si>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</si>
  <si>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</si>
  <si>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</si>
  <si>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</si>
  <si>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</si>
  <si>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</si>
  <si>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</si>
  <si>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</si>
  <si>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</si>
  <si>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</si>
  <si>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</si>
  <si>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</si>
  <si>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</si>
  <si>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</si>
  <si>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</si>
  <si>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</si>
  <si>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</si>
  <si>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</si>
  <si>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</si>
  <si>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</si>
  <si>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</si>
  <si>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</si>
  <si>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</si>
  <si>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</si>
  <si>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</si>
  <si>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</si>
  <si>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</si>
  <si>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</si>
  <si>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</si>
  <si>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</si>
  <si>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</si>
  <si>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</si>
  <si>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</si>
  <si>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</si>
  <si>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</si>
  <si>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</si>
  <si>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</si>
  <si>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</si>
  <si>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</si>
  <si>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</si>
  <si>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</si>
  <si>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</si>
  <si>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</si>
  <si>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</si>
  <si>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</si>
  <si>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</si>
  <si>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</si>
  <si>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</si>
  <si>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</si>
  <si>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</si>
  <si>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</si>
  <si>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</si>
  <si>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</si>
  <si>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</si>
  <si>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</si>
  <si>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</si>
  <si>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</si>
  <si>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</si>
  <si>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</si>
  <si>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</si>
  <si>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</si>
  <si>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</si>
  <si>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</si>
  <si>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</si>
  <si>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</si>
  <si>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</si>
  <si>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</si>
  <si>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</si>
  <si>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</si>
  <si>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</si>
  <si>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</si>
  <si>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</si>
  <si>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</si>
  <si>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</si>
  <si>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</si>
  <si>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</si>
  <si>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</si>
  <si>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</si>
  <si>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</si>
  <si>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</si>
  <si>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</si>
  <si>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</si>
  <si>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</si>
  <si>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</si>
  <si>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</si>
  <si>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</si>
  <si>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</si>
  <si>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</si>
  <si>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</si>
  <si>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</si>
  <si>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</si>
  <si>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</si>
  <si>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</si>
  <si>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</si>
  <si>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</si>
  <si>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</si>
  <si>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</si>
  <si>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</si>
  <si>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</si>
  <si>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</si>
  <si>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</si>
  <si>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</si>
  <si>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</si>
  <si>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</si>
  <si>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</si>
  <si>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</si>
  <si>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</si>
  <si>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</si>
  <si>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</si>
  <si>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</si>
  <si>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</si>
  <si>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</si>
  <si>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</si>
  <si>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</si>
  <si>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</si>
  <si>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</si>
  <si>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</si>
  <si>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</si>
  <si>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</si>
  <si>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</si>
  <si>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</si>
  <si>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</si>
  <si>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</si>
  <si>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</si>
  <si>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</si>
  <si>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</si>
  <si>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</si>
  <si>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</si>
  <si>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</si>
  <si>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</si>
  <si>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</si>
  <si>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</si>
  <si>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</si>
  <si>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</si>
  <si>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</si>
  <si>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</si>
  <si>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</si>
  <si>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</si>
  <si>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</si>
  <si>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</si>
  <si>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</si>
  <si>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</si>
  <si>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</si>
  <si>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</si>
  <si>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</si>
  <si>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</si>
  <si>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</si>
  <si>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</si>
  <si>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</si>
  <si>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</si>
  <si>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</si>
  <si>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</si>
  <si>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</si>
  <si>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</si>
  <si>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</si>
  <si>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</si>
  <si>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</si>
  <si>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</si>
  <si>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</si>
  <si>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</si>
  <si>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</si>
  <si>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</si>
  <si>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</si>
  <si>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</si>
  <si>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</si>
  <si>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</si>
  <si>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</si>
  <si>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</si>
  <si>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</si>
  <si>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</si>
  <si>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</si>
  <si>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</si>
  <si>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</si>
  <si>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</si>
  <si>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</si>
  <si>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</si>
  <si>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</si>
  <si>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</si>
  <si>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</si>
  <si>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</si>
  <si>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</si>
  <si>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</si>
  <si>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</si>
  <si>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</si>
  <si>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</si>
  <si>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</si>
  <si>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</si>
  <si>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</si>
  <si>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</si>
  <si>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</si>
  <si>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</si>
  <si>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</si>
  <si>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</si>
  <si>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</si>
  <si>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</si>
  <si>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</si>
  <si>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</si>
  <si>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</si>
  <si>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</si>
  <si>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</si>
  <si>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</si>
  <si>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</si>
  <si>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</si>
  <si>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</si>
  <si>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</si>
  <si>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</si>
  <si>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</si>
  <si>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</si>
  <si>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</si>
  <si>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</si>
  <si>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</si>
  <si>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</si>
  <si>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</si>
  <si>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</si>
  <si>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</si>
  <si>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</si>
  <si>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</si>
  <si>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</si>
  <si>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</si>
  <si>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</si>
  <si>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</si>
  <si>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</si>
  <si>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</si>
  <si>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</si>
  <si>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</si>
  <si>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</si>
  <si>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</si>
  <si>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</si>
  <si>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</si>
  <si>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</si>
  <si>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</si>
  <si>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</si>
  <si>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</si>
  <si>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</si>
  <si>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</si>
  <si>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</si>
  <si>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</si>
  <si>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</si>
  <si>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</si>
  <si>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</si>
  <si>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</si>
  <si>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</si>
  <si>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</si>
  <si>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</si>
  <si>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</si>
  <si>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</si>
  <si>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</si>
  <si>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</si>
  <si>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</si>
  <si>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</si>
  <si>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</si>
  <si>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</si>
  <si>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</si>
  <si>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</si>
  <si>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</si>
  <si>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</si>
  <si>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</si>
  <si>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</si>
  <si>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</si>
  <si>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</si>
  <si>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</si>
  <si>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</si>
  <si>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</si>
  <si>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</si>
  <si>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</si>
  <si>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</si>
  <si>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</si>
  <si>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</si>
  <si>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</si>
  <si>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</si>
  <si>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</si>
  <si>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</si>
  <si>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</si>
  <si>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</si>
  <si>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</si>
  <si>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</si>
  <si>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</si>
  <si>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</si>
  <si>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</si>
  <si>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</si>
  <si>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</si>
  <si>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</si>
  <si>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</si>
  <si>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</si>
  <si>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</si>
  <si>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</si>
  <si>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</si>
  <si>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</si>
  <si>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</si>
  <si>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</si>
  <si>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</si>
  <si>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</si>
  <si>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</si>
  <si>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</si>
  <si>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</si>
  <si>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</si>
  <si>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</si>
  <si>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</si>
  <si>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</si>
  <si>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</si>
  <si>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</si>
  <si>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</si>
  <si>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</si>
  <si>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</si>
  <si>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</si>
  <si>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</si>
  <si>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</si>
  <si>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</si>
  <si>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</si>
  <si>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</si>
  <si>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</si>
  <si>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</si>
  <si>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</si>
  <si>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</si>
  <si>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</si>
  <si>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</si>
  <si>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</si>
  <si>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</si>
  <si>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</si>
  <si>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</si>
  <si>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</si>
  <si>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</si>
  <si>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</si>
  <si>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</si>
  <si>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</si>
  <si>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</si>
  <si>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</si>
  <si>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</si>
  <si>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</si>
  <si>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</si>
  <si>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</si>
  <si>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</si>
  <si>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</si>
  <si>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</si>
  <si>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</si>
  <si>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</si>
  <si>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</si>
  <si>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</si>
  <si>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</si>
  <si>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</si>
  <si>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</si>
  <si>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</si>
  <si>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</si>
  <si>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</si>
  <si>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</si>
  <si>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</si>
  <si>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</si>
  <si>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</si>
  <si>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</si>
  <si>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</si>
  <si>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</si>
  <si>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</si>
  <si>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</si>
  <si>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</si>
  <si>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</si>
  <si>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</si>
  <si>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</si>
  <si>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</si>
  <si>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</si>
  <si>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</si>
  <si>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</si>
  <si>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</si>
  <si>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</si>
  <si>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</si>
  <si>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</si>
  <si>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</si>
  <si>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</si>
  <si>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</si>
  <si>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</si>
  <si>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</si>
  <si>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</si>
  <si>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</si>
  <si>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</si>
  <si>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</si>
  <si>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</si>
  <si>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</si>
  <si>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</si>
  <si>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</si>
  <si>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</si>
  <si>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</si>
  <si>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</si>
  <si>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</si>
  <si>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</si>
  <si>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</si>
  <si>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</si>
  <si>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</si>
  <si>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</si>
  <si>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</si>
  <si>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</si>
  <si>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</si>
  <si>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</si>
  <si>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</si>
  <si>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</si>
  <si>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</si>
  <si>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</si>
  <si>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</si>
  <si>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</si>
  <si>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</si>
  <si>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</si>
  <si>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</si>
  <si>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</si>
  <si>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</si>
  <si>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</si>
  <si>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</si>
  <si>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</si>
  <si>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</si>
  <si>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</si>
  <si>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</si>
  <si>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</si>
  <si>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</si>
  <si>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</si>
  <si>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</si>
  <si>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</si>
  <si>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</si>
  <si>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</si>
  <si>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</si>
  <si>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</si>
  <si>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</si>
  <si>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</si>
  <si>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</si>
  <si>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</si>
  <si>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</si>
  <si>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</si>
  <si>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</si>
  <si>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</si>
  <si>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</si>
  <si>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</si>
  <si>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</si>
  <si>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</si>
  <si>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</si>
  <si>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</si>
  <si>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</si>
  <si>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</si>
  <si>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</si>
  <si>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</si>
  <si>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</si>
  <si>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</si>
  <si>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</si>
  <si>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</si>
  <si>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</si>
  <si>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</si>
  <si>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</si>
  <si>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</si>
  <si>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</si>
  <si>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</si>
  <si>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</si>
  <si>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</si>
  <si>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</si>
  <si>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</si>
  <si>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</si>
  <si>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</si>
  <si>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</si>
  <si>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</si>
  <si>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</si>
  <si>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</si>
  <si>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</si>
  <si>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</si>
  <si>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</si>
  <si>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</si>
  <si>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</si>
  <si>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</si>
  <si>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</si>
  <si>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</si>
  <si>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</si>
  <si>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</si>
  <si>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</si>
  <si>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</si>
  <si>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</si>
  <si>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</si>
  <si>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</si>
  <si>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</si>
  <si>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</si>
  <si>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</si>
  <si>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</si>
  <si>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</si>
  <si>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</si>
  <si>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</si>
  <si>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</si>
  <si>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</si>
  <si>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</si>
  <si>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</si>
  <si>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</si>
  <si>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</si>
  <si>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</si>
  <si>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</si>
  <si>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</si>
  <si>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</si>
  <si>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</si>
  <si>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</si>
  <si>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</si>
  <si>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</si>
  <si>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</si>
  <si>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</si>
  <si>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</si>
  <si>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</si>
  <si>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</si>
  <si>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</si>
  <si>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</si>
  <si>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</si>
  <si>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</si>
  <si>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</si>
  <si>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</si>
  <si>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</si>
  <si>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</si>
  <si>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</si>
  <si>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</si>
  <si>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</si>
  <si>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</si>
  <si>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</si>
  <si>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</si>
  <si>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</si>
  <si>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</si>
  <si>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</si>
  <si>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</si>
  <si>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</si>
  <si>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</si>
  <si>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</si>
  <si>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</si>
  <si>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</si>
  <si>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</si>
  <si>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</si>
  <si>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</si>
  <si>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</si>
  <si>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</si>
  <si>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</si>
  <si>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</si>
  <si>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</si>
  <si>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</si>
  <si>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</si>
  <si>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</si>
  <si>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</si>
  <si>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</si>
  <si>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</si>
  <si>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</si>
  <si>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</si>
  <si>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</si>
  <si>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</si>
  <si>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</si>
  <si>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</si>
  <si>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</si>
  <si>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</si>
  <si>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</si>
  <si>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</si>
  <si>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</si>
  <si>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</si>
  <si>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</si>
  <si>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</si>
  <si>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</si>
  <si>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</si>
  <si>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</si>
  <si>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</si>
  <si>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</si>
  <si>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</si>
  <si>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</si>
  <si>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</si>
  <si>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</si>
  <si>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</si>
  <si>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</si>
  <si>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</si>
  <si>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</si>
  <si>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</si>
  <si>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</si>
  <si>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</si>
  <si>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</si>
  <si>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</si>
  <si>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</si>
  <si>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</si>
  <si>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</si>
  <si>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</si>
  <si>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</si>
  <si>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</si>
  <si>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</si>
  <si>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</si>
  <si>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</si>
  <si>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</si>
  <si>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</si>
  <si>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</si>
  <si>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</si>
  <si>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</si>
  <si>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</si>
  <si>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</si>
  <si>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</si>
  <si>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</si>
  <si>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</si>
  <si>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</si>
  <si>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</si>
  <si>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</si>
  <si>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</si>
  <si>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</si>
  <si>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</si>
  <si>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</si>
  <si>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</si>
  <si>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</si>
  <si>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</si>
  <si>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</si>
  <si>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</si>
  <si>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</si>
  <si>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</si>
  <si>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</si>
  <si>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</si>
  <si>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</si>
  <si>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</si>
  <si>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</si>
  <si>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</si>
  <si>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</si>
  <si>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</si>
  <si>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</si>
  <si>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</si>
  <si>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</si>
  <si>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</si>
  <si>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</si>
  <si>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</si>
  <si>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</si>
  <si>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</si>
  <si>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</si>
  <si>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</si>
  <si>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</si>
  <si>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</si>
  <si>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</si>
  <si>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</si>
  <si>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</si>
  <si>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</si>
  <si>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</si>
  <si>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</si>
  <si>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</si>
  <si>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</si>
  <si>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</si>
  <si>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</si>
  <si>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</si>
  <si>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</si>
  <si>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</si>
  <si>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</si>
  <si>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</si>
  <si>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</si>
  <si>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</si>
  <si>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</si>
  <si>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</si>
  <si>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</si>
  <si>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</si>
  <si>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</si>
  <si>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</si>
  <si>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</si>
  <si>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</si>
  <si>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</si>
  <si>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</si>
  <si>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</si>
  <si>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</si>
  <si>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</si>
  <si>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</si>
  <si>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</si>
  <si>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</si>
  <si>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</si>
  <si>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</si>
  <si>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</si>
  <si>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</si>
  <si>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</si>
  <si>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</si>
  <si>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</si>
  <si>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</si>
  <si>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</si>
  <si>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</si>
  <si>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</si>
  <si>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</si>
  <si>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</si>
  <si>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</si>
  <si>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</si>
  <si>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</si>
  <si>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</si>
  <si>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</si>
  <si>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</si>
  <si>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</si>
  <si>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</si>
  <si>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</si>
  <si>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</si>
  <si>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</si>
  <si>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</si>
  <si>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</si>
  <si>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</si>
  <si>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</si>
  <si>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</si>
  <si>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</si>
  <si>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</si>
  <si>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</si>
  <si>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</si>
  <si>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</si>
  <si>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</si>
  <si>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</si>
  <si>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</si>
  <si>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</si>
  <si>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</si>
  <si>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</si>
  <si>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</si>
  <si>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</si>
  <si>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</si>
  <si>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</si>
  <si>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</si>
  <si>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</si>
  <si>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</si>
  <si>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</si>
  <si>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</si>
  <si>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</si>
  <si>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</si>
  <si>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</si>
  <si>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</si>
  <si>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</si>
  <si>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</si>
  <si>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</si>
  <si>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</si>
  <si>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</si>
  <si>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</si>
  <si>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</si>
  <si>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</si>
  <si>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</si>
  <si>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</si>
  <si>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</si>
  <si>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</si>
  <si>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</si>
  <si>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</si>
  <si>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</si>
  <si>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</si>
  <si>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</si>
  <si>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</si>
  <si>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</si>
  <si>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</si>
  <si>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</si>
  <si>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</si>
  <si>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</si>
  <si>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</si>
  <si>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</si>
  <si>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</si>
  <si>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</si>
  <si>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</si>
  <si>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</si>
  <si>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</si>
  <si>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</si>
  <si>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</si>
  <si>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</si>
  <si>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</si>
  <si>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</si>
  <si>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</si>
  <si>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</si>
  <si>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</si>
  <si>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</si>
  <si>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</si>
  <si>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</si>
  <si>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</si>
  <si>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</si>
  <si>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</si>
  <si>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</si>
  <si>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</si>
  <si>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</si>
  <si>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</si>
  <si>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</si>
  <si>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</si>
  <si>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</si>
  <si>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</si>
  <si>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</si>
  <si>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</si>
  <si>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</si>
  <si>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</si>
  <si>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</si>
  <si>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</si>
  <si>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</si>
  <si>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</si>
  <si>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</si>
  <si>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</si>
  <si>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</si>
  <si>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</si>
  <si>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</si>
  <si>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</si>
  <si>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</si>
  <si>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</si>
  <si>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</si>
  <si>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</si>
  <si>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</si>
  <si>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</si>
  <si>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</si>
  <si>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</si>
  <si>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</si>
  <si>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</si>
  <si>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</si>
  <si>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</si>
  <si>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</si>
  <si>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</si>
  <si>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</si>
  <si>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</si>
  <si>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</si>
  <si>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</si>
  <si>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</si>
  <si>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</si>
  <si>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</si>
  <si>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</si>
  <si>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</si>
  <si>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</si>
  <si>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</si>
  <si>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</si>
  <si>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</si>
  <si>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</si>
  <si>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</si>
  <si>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</si>
  <si>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</si>
  <si>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</si>
  <si>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</si>
  <si>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</si>
  <si>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</si>
  <si>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</si>
  <si>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</si>
  <si>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</si>
  <si>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</si>
  <si>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</si>
  <si>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</si>
  <si>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</si>
  <si>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</si>
  <si>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</si>
  <si>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</si>
  <si>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</si>
  <si>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</si>
  <si>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</si>
  <si>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</si>
  <si>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</si>
  <si>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</si>
  <si>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</si>
  <si>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</si>
  <si>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</si>
  <si>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</si>
  <si>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</si>
  <si>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</si>
  <si>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</si>
  <si>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</si>
  <si>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</si>
  <si>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</si>
  <si>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</si>
  <si>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</si>
  <si>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</si>
  <si>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</si>
  <si>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</si>
  <si>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</si>
  <si>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</si>
  <si>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</si>
  <si>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</si>
  <si>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</si>
  <si>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</si>
  <si>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</si>
  <si>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</si>
  <si>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</si>
  <si>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</si>
  <si>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</si>
  <si>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</si>
  <si>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</si>
  <si>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</si>
  <si>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</si>
  <si>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</si>
  <si>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</si>
  <si>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</si>
  <si>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</si>
  <si>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</si>
  <si>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</si>
  <si>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</si>
  <si>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</si>
  <si>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</si>
  <si>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</si>
  <si>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</si>
  <si>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</si>
  <si>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</si>
  <si>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</si>
  <si>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</si>
  <si>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</si>
  <si>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</si>
  <si>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</si>
  <si>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</si>
  <si>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</si>
  <si>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</si>
  <si>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</si>
  <si>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</si>
  <si>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</si>
  <si>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</si>
  <si>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</si>
  <si>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</si>
  <si>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</si>
  <si>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</si>
  <si>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</si>
  <si>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</si>
  <si>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</si>
  <si>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</si>
  <si>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</si>
  <si>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</si>
  <si>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</si>
  <si>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</si>
  <si>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</si>
  <si>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</si>
  <si>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</si>
  <si>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</si>
  <si>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</si>
  <si>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</si>
  <si>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</si>
  <si>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</si>
  <si>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</si>
  <si>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</si>
  <si>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</si>
  <si>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</si>
  <si>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</si>
  <si>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</si>
  <si>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</si>
  <si>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</si>
  <si>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</si>
  <si>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</si>
  <si>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</si>
  <si>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</si>
  <si>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</si>
  <si>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</si>
  <si>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</si>
  <si>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</si>
  <si>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</si>
  <si>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</si>
  <si>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</si>
  <si>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</si>
  <si>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</si>
  <si>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</si>
  <si>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</si>
  <si>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</si>
  <si>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</si>
  <si>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</si>
  <si>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</si>
  <si>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</si>
  <si>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</si>
  <si>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</si>
  <si>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</si>
  <si>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</si>
  <si>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</si>
  <si>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</si>
  <si>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</si>
  <si>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</si>
  <si>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</si>
  <si>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</si>
  <si>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</si>
  <si>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</si>
  <si>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</si>
  <si>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</si>
  <si>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</si>
  <si>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</si>
  <si>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</si>
  <si>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</si>
  <si>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</si>
  <si>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</si>
  <si>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</si>
  <si>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</si>
  <si>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</si>
  <si>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</si>
  <si>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</si>
  <si>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</si>
  <si>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</si>
  <si>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</si>
  <si>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</si>
  <si>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</si>
  <si>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</si>
  <si>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</si>
  <si>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</si>
  <si>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</si>
  <si>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</si>
  <si>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</si>
  <si>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</si>
  <si>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</si>
  <si>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</si>
  <si>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</si>
  <si>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</si>
  <si>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</si>
  <si>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</si>
  <si>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</si>
  <si>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</si>
  <si>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</si>
  <si>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</si>
  <si>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</si>
  <si>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</si>
  <si>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</si>
  <si>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</si>
  <si>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</si>
  <si>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</si>
  <si>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</si>
  <si>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</si>
  <si>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</si>
  <si>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</si>
  <si>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</si>
  <si>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</si>
  <si>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</si>
  <si>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</si>
  <si>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</si>
  <si>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</si>
  <si>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</si>
  <si>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</si>
  <si>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</si>
  <si>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</si>
  <si>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</si>
  <si>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</si>
  <si>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</si>
  <si>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</si>
  <si>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</si>
  <si>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</si>
  <si>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</si>
  <si>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</si>
  <si>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</si>
  <si>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</si>
  <si>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</si>
  <si>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</si>
  <si>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</si>
  <si>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</si>
  <si>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</si>
  <si>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</si>
  <si>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</si>
  <si>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</si>
  <si>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</si>
  <si>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</si>
  <si>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</si>
  <si>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</si>
  <si>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</si>
  <si>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</si>
  <si>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</si>
  <si>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</si>
  <si>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</si>
  <si>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</si>
  <si>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</si>
  <si>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</si>
  <si>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</si>
  <si>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</si>
  <si>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</si>
  <si>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</si>
  <si>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</si>
  <si>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</si>
  <si>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</si>
  <si>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</si>
  <si>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</si>
  <si>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</si>
  <si>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</si>
  <si>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</si>
  <si>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</si>
  <si>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</si>
  <si>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</si>
  <si>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</si>
  <si>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</si>
  <si>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</si>
  <si>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</si>
  <si>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</si>
  <si>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</si>
  <si>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</si>
  <si>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</si>
  <si>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</si>
  <si>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</si>
  <si>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</si>
  <si>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</si>
  <si>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</si>
  <si>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</si>
  <si>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</si>
  <si>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</si>
  <si>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</si>
  <si>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</si>
  <si>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</si>
  <si>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</si>
  <si>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</si>
  <si>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</si>
  <si>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</si>
  <si>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</si>
  <si>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</si>
  <si>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</si>
  <si>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</si>
  <si>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</si>
  <si>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</si>
  <si>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</si>
  <si>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</si>
  <si>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</si>
  <si>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</si>
  <si>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</si>
  <si>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</si>
  <si>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</si>
  <si>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</si>
  <si>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</si>
  <si>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</si>
  <si>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</si>
  <si>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</si>
  <si>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</si>
  <si>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</si>
  <si>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</si>
  <si>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</si>
  <si>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</si>
  <si>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</si>
  <si>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</si>
  <si>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</si>
  <si>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</si>
  <si>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</si>
  <si>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</si>
  <si>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</si>
  <si>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</si>
  <si>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</si>
  <si>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</si>
  <si>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</si>
  <si>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</si>
  <si>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</si>
  <si>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</si>
  <si>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</si>
  <si>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</si>
  <si>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</si>
  <si>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</si>
  <si>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</si>
  <si>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</si>
  <si>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</si>
  <si>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</si>
  <si>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</si>
  <si>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</si>
  <si>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</si>
  <si>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</si>
  <si>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</si>
  <si>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</si>
  <si>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</si>
  <si>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</si>
  <si>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</si>
  <si>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</si>
  <si>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</si>
  <si>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</si>
  <si>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</si>
  <si>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</si>
  <si>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</si>
  <si>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</si>
  <si>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</si>
  <si>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</si>
  <si>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</si>
  <si>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</si>
  <si>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</si>
  <si>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</si>
  <si>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</si>
  <si>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</si>
  <si>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</si>
  <si>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</si>
  <si>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</si>
  <si>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</si>
  <si>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</si>
  <si>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</si>
  <si>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</si>
  <si>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</si>
  <si>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</si>
  <si>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</si>
  <si>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</si>
  <si>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</si>
  <si>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</si>
  <si>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</si>
  <si>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</si>
  <si>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</si>
  <si>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</si>
  <si>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</si>
  <si>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</si>
  <si>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</si>
  <si>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</si>
  <si>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</si>
  <si>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</si>
  <si>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</si>
  <si>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</si>
  <si>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</si>
  <si>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</si>
  <si>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</si>
  <si>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</si>
  <si>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</si>
  <si>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</si>
  <si>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</si>
  <si>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</si>
  <si>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</si>
  <si>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</si>
  <si>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</si>
  <si>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</si>
  <si>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</si>
  <si>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</si>
  <si>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</si>
  <si>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</si>
  <si>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</si>
  <si>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</si>
  <si>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</si>
  <si>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</si>
  <si>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</si>
  <si>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</si>
  <si>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</si>
  <si>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</si>
  <si>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</si>
  <si>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</si>
  <si>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</si>
  <si>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</si>
  <si>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</si>
  <si>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</si>
  <si>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</si>
  <si>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</si>
  <si>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</si>
  <si>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</si>
  <si>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</si>
  <si>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</si>
  <si>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</si>
  <si>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</si>
  <si>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</si>
  <si>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</si>
  <si>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</si>
  <si>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</si>
  <si>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</si>
  <si>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</si>
  <si>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</si>
  <si>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</si>
  <si>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</si>
  <si>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</si>
  <si>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</si>
  <si>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</si>
  <si>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</si>
  <si>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</si>
  <si>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</si>
  <si>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</si>
  <si>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</si>
  <si>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</si>
  <si>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</si>
  <si>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</si>
  <si>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</si>
  <si>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</si>
  <si>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</si>
  <si>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</si>
  <si>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</si>
  <si>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</si>
  <si>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</si>
  <si>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</si>
  <si>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</si>
  <si>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</si>
  <si>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</si>
  <si>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</si>
  <si>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</si>
  <si>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</si>
  <si>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</si>
  <si>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</si>
  <si>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</si>
  <si>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</si>
  <si>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</si>
  <si>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</si>
  <si>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</si>
  <si>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</si>
  <si>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</si>
  <si>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</si>
  <si>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</si>
  <si>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</si>
  <si>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</si>
  <si>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</si>
  <si>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</si>
  <si>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</si>
  <si>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</si>
  <si>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</si>
  <si>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</si>
  <si>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</si>
  <si>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</si>
  <si>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</si>
  <si>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</si>
  <si>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</si>
  <si>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</si>
  <si>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</si>
  <si>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</si>
  <si>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</si>
  <si>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</si>
  <si>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</si>
  <si>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</si>
  <si>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</si>
  <si>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</si>
  <si>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</si>
  <si>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</si>
  <si>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</si>
  <si>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</si>
  <si>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</si>
  <si>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</si>
  <si>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</si>
  <si>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</si>
  <si>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</si>
  <si>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</si>
  <si>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</si>
  <si>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</si>
  <si>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</si>
  <si>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</si>
  <si>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</si>
  <si>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</si>
  <si>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</si>
  <si>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</si>
  <si>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</si>
  <si>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</si>
  <si>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</si>
  <si>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</si>
  <si>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</si>
  <si>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</si>
  <si>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</si>
  <si>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</si>
  <si>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</si>
  <si>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</si>
  <si>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</si>
  <si>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</si>
  <si>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</si>
  <si>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</si>
  <si>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</si>
  <si>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</si>
  <si>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</si>
  <si>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</si>
  <si>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</si>
  <si>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</si>
  <si>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</si>
  <si>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</si>
  <si>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</si>
  <si>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</si>
  <si>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</si>
  <si>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</si>
  <si>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</si>
  <si>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</si>
  <si>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</si>
  <si>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</si>
  <si>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</si>
  <si>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</si>
  <si>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</si>
  <si>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</si>
  <si>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</si>
  <si>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</si>
  <si>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</si>
  <si>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</si>
  <si>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</si>
  <si>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</si>
  <si>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</si>
  <si>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</si>
  <si>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</si>
  <si>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</si>
  <si>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</si>
  <si>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</si>
  <si>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</si>
  <si>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</si>
  <si>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</si>
  <si>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</si>
  <si>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</si>
  <si>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</si>
  <si>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</si>
  <si>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</si>
  <si>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</si>
  <si>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</si>
  <si>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</si>
  <si>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</si>
  <si>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</si>
  <si>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</si>
  <si>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</si>
  <si>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</si>
  <si>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</si>
  <si>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</si>
  <si>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</si>
  <si>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</si>
  <si>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</si>
  <si>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</si>
  <si>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</si>
  <si>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</si>
  <si>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</si>
  <si>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</si>
  <si>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</si>
  <si>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</si>
  <si>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</si>
  <si>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</si>
  <si>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</si>
  <si>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</si>
  <si>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</si>
  <si>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</si>
  <si>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</si>
  <si>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</si>
  <si>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</si>
  <si>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</si>
  <si>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</si>
  <si>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</si>
  <si>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</si>
  <si>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</si>
  <si>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</si>
  <si>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</si>
  <si>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</si>
  <si>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</si>
  <si>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</si>
  <si>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</si>
  <si>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正常</t>
  </si>
  <si>
    <t>住宅</t>
    <phoneticPr fontId="134" type="noConversion"/>
  </si>
  <si>
    <t>来源</t>
    <phoneticPr fontId="134" type="noConversion"/>
  </si>
  <si>
    <t>零贷库</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</si>
  <si>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</si>
  <si>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</si>
  <si>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</si>
  <si>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</si>
  <si>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</si>
  <si>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</si>
  <si>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</si>
  <si>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</si>
  <si>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</si>
  <si>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</si>
  <si>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</si>
  <si>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</si>
  <si>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</si>
  <si>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</si>
  <si>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</si>
  <si>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</si>
  <si>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</si>
  <si>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</si>
  <si>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</si>
  <si>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</si>
  <si>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</si>
  <si>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</si>
  <si>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</si>
  <si>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</si>
  <si>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</si>
  <si>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</si>
  <si>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物业公司管理</t>
  </si>
  <si>
    <t>建成年代</t>
    <phoneticPr fontId="24" type="noConversion"/>
  </si>
  <si>
    <t>简单装修</t>
    <phoneticPr fontId="24" type="noConversion"/>
  </si>
  <si>
    <t>房屋性质</t>
    <phoneticPr fontId="3" type="noConversion"/>
  </si>
  <si>
    <t>商品房</t>
  </si>
  <si>
    <t>商品房</t>
    <phoneticPr fontId="24" type="noConversion"/>
  </si>
  <si>
    <t>成本价出售住宅</t>
    <phoneticPr fontId="24" type="noConversion"/>
  </si>
  <si>
    <t>混合</t>
    <phoneticPr fontId="24" type="noConversion"/>
  </si>
  <si>
    <t>1室1厅1卫1厨</t>
    <phoneticPr fontId="134" type="noConversion"/>
  </si>
  <si>
    <t>高楼层</t>
    <phoneticPr fontId="24" type="noConversion"/>
  </si>
  <si>
    <t>高楼层</t>
    <phoneticPr fontId="3" type="noConversion"/>
  </si>
  <si>
    <t>中楼层</t>
    <phoneticPr fontId="3" type="noConversion"/>
  </si>
  <si>
    <t>低楼层</t>
    <phoneticPr fontId="3" type="noConversion"/>
  </si>
  <si>
    <t>平层住宅</t>
  </si>
  <si>
    <t>普通装修</t>
  </si>
  <si>
    <t>普通装修</t>
    <phoneticPr fontId="134" type="noConversion"/>
  </si>
  <si>
    <t>2室1厅1卫1厨</t>
    <phoneticPr fontId="134" type="noConversion"/>
  </si>
  <si>
    <t>首层</t>
    <phoneticPr fontId="24" type="noConversion"/>
  </si>
  <si>
    <t>低楼层</t>
    <phoneticPr fontId="24" type="noConversion"/>
  </si>
  <si>
    <t>户型结构</t>
    <phoneticPr fontId="24" type="noConversion"/>
  </si>
  <si>
    <t>三居</t>
    <phoneticPr fontId="3" type="noConversion"/>
  </si>
  <si>
    <t>两居</t>
    <phoneticPr fontId="3" type="noConversion"/>
  </si>
  <si>
    <t>一居</t>
    <phoneticPr fontId="3" type="noConversion"/>
  </si>
  <si>
    <t>一居</t>
    <phoneticPr fontId="24" type="noConversion"/>
  </si>
  <si>
    <t>两居</t>
    <phoneticPr fontId="24" type="noConversion"/>
  </si>
  <si>
    <t>简单装修</t>
  </si>
  <si>
    <t>周边有301路、432路、530路、620路等多条公交线路及地铁17号线天通苑东站，综合评价交通便捷度较好</t>
    <phoneticPr fontId="40" type="noConversion"/>
  </si>
  <si>
    <t>自然环境：清河营郊野公园、清河水系等自然景观；
人文环境：天通苑体育馆、天通苑文化艺术中心等人文场所；
综合评价环境状况较好。</t>
    <phoneticPr fontId="40" type="noConversion"/>
  </si>
  <si>
    <t>周边有天通东苑一区、天通东苑三区、天通苑六区等住宅小区，居住社区成熟度较好。</t>
    <phoneticPr fontId="40" type="noConversion"/>
  </si>
  <si>
    <t>银行：中国农业银行、中国建设银行、中国邮政储蓄银行等金融机构；
医院：天通苑中医医院、天通苑东二区社区卫生服务站等医疗机构；
学校：北京市朝阳外国语学校(高中部)、天通苑小学、昌平区育树家幼儿园等教育机构；
商业：国泰百货(天通苑店)、龙德广场等商业设施；
综合评价公共服务设施齐备度较好。</t>
    <phoneticPr fontId="40" type="noConversion"/>
  </si>
  <si>
    <t>天通东苑二区35号楼1102</t>
    <phoneticPr fontId="134" type="noConversion"/>
  </si>
  <si>
    <t>天通东苑二区</t>
  </si>
  <si>
    <t>东</t>
  </si>
  <si>
    <t>天通东苑二区31号楼1508</t>
    <phoneticPr fontId="134" type="noConversion"/>
  </si>
  <si>
    <t>天通东苑二区31号楼1304</t>
    <phoneticPr fontId="3" type="noConversion"/>
  </si>
  <si>
    <t>银行：中国农业银行、中国建设银行、中国邮政储蓄银行等金融机构；
医院：天通苑中医医院、天通苑东二区社区卫生服务站等医疗机构；
学校：北京市朝阳外国语学校(高中部)、天通苑小学、昌平区育树家幼儿园等教育机构；
商业：国泰百货(天通苑店)、龙德广场等商业设施；
综合评价公共服务设施齐备度较好。</t>
    <phoneticPr fontId="24" type="noConversion"/>
  </si>
  <si>
    <t>自然环境：清河营郊野公园、清河水系等自然景观；
人文环境：天通苑体育馆、天通苑文化艺术中心等人文场所；
综合评价环境状况较好。</t>
    <phoneticPr fontId="24" type="noConversion"/>
  </si>
  <si>
    <t>东南</t>
  </si>
  <si>
    <t>13/17</t>
    <phoneticPr fontId="24" type="noConversion"/>
  </si>
  <si>
    <t>塔楼</t>
  </si>
  <si>
    <t>三居</t>
    <phoneticPr fontId="24" type="noConversion"/>
  </si>
  <si>
    <t>简单装修</t>
    <phoneticPr fontId="134" type="noConversion"/>
  </si>
  <si>
    <t>西北</t>
  </si>
  <si>
    <t>天通东苑二区11号楼602</t>
    <phoneticPr fontId="134" type="noConversion"/>
  </si>
  <si>
    <t>中楼层</t>
    <phoneticPr fontId="24" type="noConversion"/>
  </si>
  <si>
    <t>11/19</t>
    <phoneticPr fontId="24" type="noConversion"/>
  </si>
  <si>
    <t>15/17</t>
    <phoneticPr fontId="24" type="noConversion"/>
  </si>
  <si>
    <t>6/17</t>
    <phoneticPr fontId="24" type="noConversion"/>
  </si>
  <si>
    <r>
      <t>5</t>
    </r>
    <r>
      <rPr>
        <sz val="11"/>
        <color theme="1"/>
        <rFont val="宋体"/>
        <family val="3"/>
        <charset val="134"/>
        <scheme val="minor"/>
      </rPr>
      <t>/17</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</si>
</sst>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name val="宋体"/>
      <family val="3"/>
      <charset val="134"/>
      <scheme val="minor"/>
    </font>
    <font>
      <b/>
      <sz val="10"/>
      <color rgb="FFFF0000"/>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0" fontId="44" fillId="5" borderId="48" xfId="0" applyFont="1" applyFill="1" applyBorder="1" applyAlignment="1">
      <alignment horizontal="center" vertical="center" wrapText="1"/>
    </xf>
    <xf numFmtId="176" fontId="128" fillId="0" borderId="3" xfId="0" applyNumberFormat="1" applyFont="1" applyBorder="1" applyAlignment="1" applyProtection="1">
      <alignment horizontal="center" vertical="center" wrapText="1"/>
      <protection locked="0"/>
    </xf>
    <xf numFmtId="2" fontId="0" fillId="0" borderId="0" xfId="0" applyNumberFormat="1" applyAlignment="1">
      <alignment horizontal="center" vertical="center"/>
    </xf>
    <xf numFmtId="0" fontId="271" fillId="0" borderId="0" xfId="0" applyFont="1" applyAlignment="1">
      <alignment horizontal="center" vertical="center"/>
    </xf>
    <xf numFmtId="176" fontId="128" fillId="5" borderId="23" xfId="0" applyNumberFormat="1" applyFont="1" applyFill="1" applyBorder="1" applyAlignment="1" applyProtection="1">
      <alignment horizontal="center" vertical="center" wrapText="1"/>
      <protection locked="0"/>
    </xf>
    <xf numFmtId="176" fontId="44" fillId="7" borderId="24" xfId="1" applyNumberFormat="1" applyFont="1" applyFill="1" applyBorder="1" applyAlignment="1" applyProtection="1">
      <alignment horizontal="center" vertical="center"/>
      <protection locked="0"/>
    </xf>
    <xf numFmtId="10" fontId="113" fillId="9" borderId="23" xfId="0" applyNumberFormat="1" applyFont="1" applyFill="1" applyBorder="1" applyProtection="1">
      <alignment vertical="center"/>
      <protection locked="0"/>
    </xf>
    <xf numFmtId="197" fontId="47" fillId="6" borderId="1" xfId="0" applyNumberFormat="1" applyFont="1" applyFill="1" applyBorder="1" applyAlignment="1">
      <alignment horizontal="center" vertical="center"/>
    </xf>
    <xf numFmtId="177" fontId="47" fillId="7" borderId="1" xfId="1" applyNumberFormat="1" applyFont="1" applyFill="1" applyBorder="1" applyAlignment="1" applyProtection="1">
      <alignment horizontal="center" vertical="center"/>
      <protection locked="0"/>
    </xf>
    <xf numFmtId="10" fontId="47" fillId="7" borderId="1" xfId="1" applyNumberFormat="1" applyFont="1" applyFill="1" applyBorder="1" applyAlignment="1" applyProtection="1">
      <alignment horizontal="center" vertical="center"/>
      <protection locked="0"/>
    </xf>
    <xf numFmtId="49" fontId="51" fillId="5" borderId="23" xfId="0" applyNumberFormat="1" applyFont="1" applyFill="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128" fillId="6" borderId="44" xfId="0" applyFont="1" applyFill="1" applyBorder="1" applyAlignment="1">
      <alignment horizontal="center" vertical="center" wrapText="1"/>
    </xf>
    <xf numFmtId="49" fontId="95" fillId="0" borderId="0" xfId="0" applyNumberFormat="1" applyFont="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523875</xdr:colOff>
      <xdr:row>17</xdr:row>
      <xdr:rowOff>276225</xdr:rowOff>
    </xdr:from>
    <xdr:to>
      <xdr:col>22</xdr:col>
      <xdr:colOff>66675</xdr:colOff>
      <xdr:row>28</xdr:row>
      <xdr:rowOff>9525</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01825" y="455295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581025</xdr:colOff>
      <xdr:row>5</xdr:row>
      <xdr:rowOff>0</xdr:rowOff>
    </xdr:from>
    <xdr:to>
      <xdr:col>17</xdr:col>
      <xdr:colOff>165706</xdr:colOff>
      <xdr:row>16</xdr:row>
      <xdr:rowOff>42063</xdr:rowOff>
    </xdr:to>
    <xdr:pic>
      <xdr:nvPicPr>
        <xdr:cNvPr id="3" name="图片 2">
          <a:extLst>
            <a:ext uri="{FF2B5EF4-FFF2-40B4-BE49-F238E27FC236}">
              <a16:creationId xmlns:a16="http://schemas.microsoft.com/office/drawing/2014/main" id="{46429772-DB02-60A8-3A82-FB7F6EB502BA}"/>
            </a:ext>
          </a:extLst>
        </xdr:cNvPr>
        <xdr:cNvPicPr>
          <a:picLocks noChangeAspect="1"/>
        </xdr:cNvPicPr>
      </xdr:nvPicPr>
      <xdr:blipFill>
        <a:blip xmlns:r="http://schemas.openxmlformats.org/officeDocument/2006/relationships" r:embed="rId2"/>
        <a:stretch>
          <a:fillRect/>
        </a:stretch>
      </xdr:blipFill>
      <xdr:spPr>
        <a:xfrm>
          <a:off x="7458075" y="1266825"/>
          <a:ext cx="7966681" cy="2737638"/>
        </a:xfrm>
        <a:prstGeom prst="rect">
          <a:avLst/>
        </a:prstGeom>
      </xdr:spPr>
    </xdr:pic>
    <xdr:clientData/>
  </xdr:twoCellAnchor>
  <xdr:twoCellAnchor editAs="oneCell">
    <xdr:from>
      <xdr:col>17</xdr:col>
      <xdr:colOff>161925</xdr:colOff>
      <xdr:row>4</xdr:row>
      <xdr:rowOff>142876</xdr:rowOff>
    </xdr:from>
    <xdr:to>
      <xdr:col>20</xdr:col>
      <xdr:colOff>416682</xdr:colOff>
      <xdr:row>16</xdr:row>
      <xdr:rowOff>47625</xdr:rowOff>
    </xdr:to>
    <xdr:pic>
      <xdr:nvPicPr>
        <xdr:cNvPr id="6" name="图片 5">
          <a:extLst>
            <a:ext uri="{FF2B5EF4-FFF2-40B4-BE49-F238E27FC236}">
              <a16:creationId xmlns:a16="http://schemas.microsoft.com/office/drawing/2014/main" id="{374E51CE-E99D-A465-B653-53680B617910}"/>
            </a:ext>
          </a:extLst>
        </xdr:cNvPr>
        <xdr:cNvPicPr>
          <a:picLocks noChangeAspect="1"/>
        </xdr:cNvPicPr>
      </xdr:nvPicPr>
      <xdr:blipFill>
        <a:blip xmlns:r="http://schemas.openxmlformats.org/officeDocument/2006/relationships" r:embed="rId3"/>
        <a:stretch>
          <a:fillRect/>
        </a:stretch>
      </xdr:blipFill>
      <xdr:spPr>
        <a:xfrm>
          <a:off x="15420975" y="1238251"/>
          <a:ext cx="2464557" cy="2771774"/>
        </a:xfrm>
        <a:prstGeom prst="rect">
          <a:avLst/>
        </a:prstGeom>
      </xdr:spPr>
    </xdr:pic>
    <xdr:clientData/>
  </xdr:twoCellAnchor>
  <xdr:twoCellAnchor editAs="oneCell">
    <xdr:from>
      <xdr:col>0</xdr:col>
      <xdr:colOff>0</xdr:colOff>
      <xdr:row>4</xdr:row>
      <xdr:rowOff>47625</xdr:rowOff>
    </xdr:from>
    <xdr:to>
      <xdr:col>6</xdr:col>
      <xdr:colOff>333375</xdr:colOff>
      <xdr:row>21</xdr:row>
      <xdr:rowOff>201195</xdr:rowOff>
    </xdr:to>
    <xdr:pic>
      <xdr:nvPicPr>
        <xdr:cNvPr id="10" name="图片 9">
          <a:extLst>
            <a:ext uri="{FF2B5EF4-FFF2-40B4-BE49-F238E27FC236}">
              <a16:creationId xmlns:a16="http://schemas.microsoft.com/office/drawing/2014/main" id="{D6C44597-F8F1-5085-EB9E-A419EE730DE6}"/>
            </a:ext>
          </a:extLst>
        </xdr:cNvPr>
        <xdr:cNvPicPr>
          <a:picLocks noChangeAspect="1"/>
        </xdr:cNvPicPr>
      </xdr:nvPicPr>
      <xdr:blipFill>
        <a:blip xmlns:r="http://schemas.openxmlformats.org/officeDocument/2006/relationships" r:embed="rId4"/>
        <a:stretch>
          <a:fillRect/>
        </a:stretch>
      </xdr:blipFill>
      <xdr:spPr>
        <a:xfrm>
          <a:off x="0" y="1143000"/>
          <a:ext cx="7210425" cy="4592220"/>
        </a:xfrm>
        <a:prstGeom prst="rect">
          <a:avLst/>
        </a:prstGeom>
      </xdr:spPr>
    </xdr:pic>
    <xdr:clientData/>
  </xdr:twoCellAnchor>
  <xdr:twoCellAnchor editAs="oneCell">
    <xdr:from>
      <xdr:col>1</xdr:col>
      <xdr:colOff>666750</xdr:colOff>
      <xdr:row>6</xdr:row>
      <xdr:rowOff>495300</xdr:rowOff>
    </xdr:from>
    <xdr:to>
      <xdr:col>2</xdr:col>
      <xdr:colOff>980709</xdr:colOff>
      <xdr:row>19</xdr:row>
      <xdr:rowOff>123438</xdr:rowOff>
    </xdr:to>
    <xdr:pic>
      <xdr:nvPicPr>
        <xdr:cNvPr id="13" name="图片 12">
          <a:extLst>
            <a:ext uri="{FF2B5EF4-FFF2-40B4-BE49-F238E27FC236}">
              <a16:creationId xmlns:a16="http://schemas.microsoft.com/office/drawing/2014/main" id="{C7830840-7202-80BB-64F0-410335E7A05C}"/>
            </a:ext>
          </a:extLst>
        </xdr:cNvPr>
        <xdr:cNvPicPr>
          <a:picLocks noChangeAspect="1"/>
        </xdr:cNvPicPr>
      </xdr:nvPicPr>
      <xdr:blipFill>
        <a:blip xmlns:r="http://schemas.openxmlformats.org/officeDocument/2006/relationships" r:embed="rId5"/>
        <a:stretch>
          <a:fillRect/>
        </a:stretch>
      </xdr:blipFill>
      <xdr:spPr>
        <a:xfrm>
          <a:off x="1352550" y="1933575"/>
          <a:ext cx="2923809" cy="3095238"/>
        </a:xfrm>
        <a:prstGeom prst="rect">
          <a:avLst/>
        </a:prstGeom>
      </xdr:spPr>
    </xdr:pic>
    <xdr:clientData/>
  </xdr:twoCellAnchor>
  <xdr:twoCellAnchor editAs="oneCell">
    <xdr:from>
      <xdr:col>6</xdr:col>
      <xdr:colOff>523875</xdr:colOff>
      <xdr:row>16</xdr:row>
      <xdr:rowOff>111256</xdr:rowOff>
    </xdr:from>
    <xdr:to>
      <xdr:col>15</xdr:col>
      <xdr:colOff>608505</xdr:colOff>
      <xdr:row>29</xdr:row>
      <xdr:rowOff>27911</xdr:rowOff>
    </xdr:to>
    <xdr:pic>
      <xdr:nvPicPr>
        <xdr:cNvPr id="14" name="图片 13">
          <a:extLst>
            <a:ext uri="{FF2B5EF4-FFF2-40B4-BE49-F238E27FC236}">
              <a16:creationId xmlns:a16="http://schemas.microsoft.com/office/drawing/2014/main" id="{8D0F544C-C2BD-2967-167D-4B4DC663E044}"/>
            </a:ext>
          </a:extLst>
        </xdr:cNvPr>
        <xdr:cNvPicPr>
          <a:picLocks noChangeAspect="1"/>
        </xdr:cNvPicPr>
      </xdr:nvPicPr>
      <xdr:blipFill>
        <a:blip xmlns:r="http://schemas.openxmlformats.org/officeDocument/2006/relationships" r:embed="rId6"/>
        <a:stretch>
          <a:fillRect/>
        </a:stretch>
      </xdr:blipFill>
      <xdr:spPr>
        <a:xfrm>
          <a:off x="7400925" y="4073656"/>
          <a:ext cx="6599730" cy="4002880"/>
        </a:xfrm>
        <a:prstGeom prst="rect">
          <a:avLst/>
        </a:prstGeom>
      </xdr:spPr>
    </xdr:pic>
    <xdr:clientData/>
  </xdr:twoCellAnchor>
  <xdr:twoCellAnchor editAs="oneCell">
    <xdr:from>
      <xdr:col>0</xdr:col>
      <xdr:colOff>123826</xdr:colOff>
      <xdr:row>22</xdr:row>
      <xdr:rowOff>200025</xdr:rowOff>
    </xdr:from>
    <xdr:to>
      <xdr:col>5</xdr:col>
      <xdr:colOff>898815</xdr:colOff>
      <xdr:row>30</xdr:row>
      <xdr:rowOff>219075</xdr:rowOff>
    </xdr:to>
    <xdr:pic>
      <xdr:nvPicPr>
        <xdr:cNvPr id="15" name="图片 14">
          <a:extLst>
            <a:ext uri="{FF2B5EF4-FFF2-40B4-BE49-F238E27FC236}">
              <a16:creationId xmlns:a16="http://schemas.microsoft.com/office/drawing/2014/main" id="{EFFB5E1F-48D1-0E76-34C5-B185F86C1529}"/>
            </a:ext>
          </a:extLst>
        </xdr:cNvPr>
        <xdr:cNvPicPr>
          <a:picLocks noChangeAspect="1"/>
        </xdr:cNvPicPr>
      </xdr:nvPicPr>
      <xdr:blipFill>
        <a:blip xmlns:r="http://schemas.openxmlformats.org/officeDocument/2006/relationships" r:embed="rId7"/>
        <a:stretch>
          <a:fillRect/>
        </a:stretch>
      </xdr:blipFill>
      <xdr:spPr>
        <a:xfrm>
          <a:off x="123826" y="6048375"/>
          <a:ext cx="6613814" cy="2533650"/>
        </a:xfrm>
        <a:prstGeom prst="rect">
          <a:avLst/>
        </a:prstGeom>
      </xdr:spPr>
    </xdr:pic>
    <xdr:clientData/>
  </xdr:twoCellAnchor>
  <xdr:twoCellAnchor editAs="oneCell">
    <xdr:from>
      <xdr:col>0</xdr:col>
      <xdr:colOff>123826</xdr:colOff>
      <xdr:row>31</xdr:row>
      <xdr:rowOff>19050</xdr:rowOff>
    </xdr:from>
    <xdr:to>
      <xdr:col>5</xdr:col>
      <xdr:colOff>958495</xdr:colOff>
      <xdr:row>72</xdr:row>
      <xdr:rowOff>76200</xdr:rowOff>
    </xdr:to>
    <xdr:pic>
      <xdr:nvPicPr>
        <xdr:cNvPr id="16" name="图片 15">
          <a:extLst>
            <a:ext uri="{FF2B5EF4-FFF2-40B4-BE49-F238E27FC236}">
              <a16:creationId xmlns:a16="http://schemas.microsoft.com/office/drawing/2014/main" id="{8C9ABF88-CABA-6785-1710-A9F5AF2282F5}"/>
            </a:ext>
          </a:extLst>
        </xdr:cNvPr>
        <xdr:cNvPicPr>
          <a:picLocks noChangeAspect="1"/>
        </xdr:cNvPicPr>
      </xdr:nvPicPr>
      <xdr:blipFill>
        <a:blip xmlns:r="http://schemas.openxmlformats.org/officeDocument/2006/relationships" r:embed="rId8"/>
        <a:stretch>
          <a:fillRect/>
        </a:stretch>
      </xdr:blipFill>
      <xdr:spPr>
        <a:xfrm>
          <a:off x="123826" y="8696325"/>
          <a:ext cx="6673494" cy="7943850"/>
        </a:xfrm>
        <a:prstGeom prst="rect">
          <a:avLst/>
        </a:prstGeom>
      </xdr:spPr>
    </xdr:pic>
    <xdr:clientData/>
  </xdr:twoCellAnchor>
  <xdr:twoCellAnchor editAs="oneCell">
    <xdr:from>
      <xdr:col>0</xdr:col>
      <xdr:colOff>190500</xdr:colOff>
      <xdr:row>72</xdr:row>
      <xdr:rowOff>123825</xdr:rowOff>
    </xdr:from>
    <xdr:to>
      <xdr:col>5</xdr:col>
      <xdr:colOff>586819</xdr:colOff>
      <xdr:row>116</xdr:row>
      <xdr:rowOff>160771</xdr:rowOff>
    </xdr:to>
    <xdr:pic>
      <xdr:nvPicPr>
        <xdr:cNvPr id="18" name="图片 17">
          <a:extLst>
            <a:ext uri="{FF2B5EF4-FFF2-40B4-BE49-F238E27FC236}">
              <a16:creationId xmlns:a16="http://schemas.microsoft.com/office/drawing/2014/main" id="{4FB01199-DF10-9B95-6069-31FC395AF20C}"/>
            </a:ext>
          </a:extLst>
        </xdr:cNvPr>
        <xdr:cNvPicPr>
          <a:picLocks noChangeAspect="1"/>
        </xdr:cNvPicPr>
      </xdr:nvPicPr>
      <xdr:blipFill>
        <a:blip xmlns:r="http://schemas.openxmlformats.org/officeDocument/2006/relationships" r:embed="rId9"/>
        <a:stretch>
          <a:fillRect/>
        </a:stretch>
      </xdr:blipFill>
      <xdr:spPr>
        <a:xfrm>
          <a:off x="190500" y="16687800"/>
          <a:ext cx="6235144" cy="7580746"/>
        </a:xfrm>
        <a:prstGeom prst="rect">
          <a:avLst/>
        </a:prstGeom>
      </xdr:spPr>
    </xdr:pic>
    <xdr:clientData/>
  </xdr:twoCellAnchor>
  <xdr:twoCellAnchor editAs="oneCell">
    <xdr:from>
      <xdr:col>20</xdr:col>
      <xdr:colOff>695325</xdr:colOff>
      <xdr:row>1</xdr:row>
      <xdr:rowOff>74380</xdr:rowOff>
    </xdr:from>
    <xdr:to>
      <xdr:col>31</xdr:col>
      <xdr:colOff>341642</xdr:colOff>
      <xdr:row>14</xdr:row>
      <xdr:rowOff>247082</xdr:rowOff>
    </xdr:to>
    <xdr:pic>
      <xdr:nvPicPr>
        <xdr:cNvPr id="19" name="图片 18">
          <a:extLst>
            <a:ext uri="{FF2B5EF4-FFF2-40B4-BE49-F238E27FC236}">
              <a16:creationId xmlns:a16="http://schemas.microsoft.com/office/drawing/2014/main" id="{3DE94094-C2A5-0F51-CC36-203187E5A3B4}"/>
            </a:ext>
          </a:extLst>
        </xdr:cNvPr>
        <xdr:cNvPicPr>
          <a:picLocks noChangeAspect="1"/>
        </xdr:cNvPicPr>
      </xdr:nvPicPr>
      <xdr:blipFill>
        <a:blip xmlns:r="http://schemas.openxmlformats.org/officeDocument/2006/relationships" r:embed="rId10"/>
        <a:stretch>
          <a:fillRect/>
        </a:stretch>
      </xdr:blipFill>
      <xdr:spPr>
        <a:xfrm>
          <a:off x="18164175" y="245830"/>
          <a:ext cx="7390142" cy="3335002"/>
        </a:xfrm>
        <a:prstGeom prst="rect">
          <a:avLst/>
        </a:prstGeom>
      </xdr:spPr>
    </xdr:pic>
    <xdr:clientData/>
  </xdr:twoCellAnchor>
  <xdr:twoCellAnchor editAs="oneCell">
    <xdr:from>
      <xdr:col>22</xdr:col>
      <xdr:colOff>361950</xdr:colOff>
      <xdr:row>15</xdr:row>
      <xdr:rowOff>245831</xdr:rowOff>
    </xdr:from>
    <xdr:to>
      <xdr:col>49</xdr:col>
      <xdr:colOff>561975</xdr:colOff>
      <xdr:row>16</xdr:row>
      <xdr:rowOff>242154</xdr:rowOff>
    </xdr:to>
    <xdr:pic>
      <xdr:nvPicPr>
        <xdr:cNvPr id="20" name="图片 19">
          <a:extLst>
            <a:ext uri="{FF2B5EF4-FFF2-40B4-BE49-F238E27FC236}">
              <a16:creationId xmlns:a16="http://schemas.microsoft.com/office/drawing/2014/main" id="{3073EA45-7024-5E2C-EEA9-D86951D28CA9}"/>
            </a:ext>
          </a:extLst>
        </xdr:cNvPr>
        <xdr:cNvPicPr>
          <a:picLocks noChangeAspect="1"/>
        </xdr:cNvPicPr>
      </xdr:nvPicPr>
      <xdr:blipFill>
        <a:blip xmlns:r="http://schemas.openxmlformats.org/officeDocument/2006/relationships" r:embed="rId11"/>
        <a:stretch>
          <a:fillRect/>
        </a:stretch>
      </xdr:blipFill>
      <xdr:spPr>
        <a:xfrm>
          <a:off x="19316700" y="3893906"/>
          <a:ext cx="18802350" cy="3106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估价对象为北京市房地产，为所有。根据《国有土地使用证》[]，估价对象（分摊）出让国有建设用地使用权面积为0平方米，建筑面积为141.37平方米。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估价对象为北京市房地产,属开发建设的，该项目尚在开发建设中。根据《国有土地使用证》[]，估价对象（分摊）出让国有建设用地使用权面积为0平方米，规划建筑面积为141.37平方米。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2024年10月18日（评估专业人员实地查勘之日）</v>
      </c>
    </row>
    <row r="13" spans="1:2">
      <c r="A13" s="1117" t="s">
        <v>529</v>
      </c>
      <c r="B13" s="1118" t="str">
        <f>'预评函-1'!A18</f>
        <v>本次估价的“房地产价值”是指在正常市场情况下，在价值时点2024年10月18日，估价对象规划用途为，土地取得方式为出让，出让国有建设用地使用权剩余土地使用年限为70，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70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本次评估采用的主估价方法为收益法和比较法。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141.37</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2575</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2576</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2288</v>
      </c>
      <c r="C17" s="1440"/>
    </row>
    <row r="18" spans="1:3">
      <c r="A18" s="1439" t="s">
        <v>1046</v>
      </c>
      <c r="B18" s="1439" t="s">
        <v>2431</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30"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0"/>
      <c r="B54" s="1445" t="s">
        <v>385</v>
      </c>
      <c r="C54" s="1443" t="s">
        <v>583</v>
      </c>
    </row>
    <row r="55" spans="1:4">
      <c r="A55" s="3230"/>
      <c r="B55" s="1445" t="s">
        <v>386</v>
      </c>
      <c r="C55" s="1443" t="s">
        <v>584</v>
      </c>
    </row>
    <row r="56" spans="1:4">
      <c r="A56" s="3230"/>
      <c r="B56" s="1445" t="s">
        <v>387</v>
      </c>
      <c r="C56" s="1443" t="s">
        <v>588</v>
      </c>
    </row>
    <row r="57" spans="1:4">
      <c r="A57" s="3230"/>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2498</v>
      </c>
      <c r="B1" s="2750"/>
      <c r="C1" s="2750"/>
      <c r="D1" s="2750"/>
      <c r="E1" s="2750"/>
      <c r="F1" s="2751"/>
      <c r="I1" s="3128" t="s">
        <v>2591</v>
      </c>
      <c r="J1" s="2776"/>
      <c r="K1" s="2776"/>
      <c r="L1" s="2776"/>
      <c r="M1" s="2776"/>
      <c r="N1" s="2961"/>
      <c r="O1" s="2961"/>
      <c r="P1" s="2961"/>
      <c r="Q1" s="2961"/>
      <c r="R1" s="2961"/>
    </row>
    <row r="2" spans="1:18">
      <c r="A2" s="2753"/>
      <c r="B2" s="2754"/>
      <c r="C2" s="2754"/>
      <c r="D2" s="2754"/>
      <c r="E2" s="2754"/>
      <c r="F2" s="2755"/>
      <c r="I2" s="3231" t="s">
        <v>2578</v>
      </c>
      <c r="J2" s="3231"/>
      <c r="K2" s="3231"/>
      <c r="L2" s="3231"/>
      <c r="M2" s="3231"/>
      <c r="N2" s="3231"/>
      <c r="O2" s="3231"/>
      <c r="P2" s="3231"/>
      <c r="Q2" s="3231"/>
      <c r="R2" s="3231"/>
    </row>
    <row r="3" spans="1:18">
      <c r="A3" s="2756" t="s">
        <v>2499</v>
      </c>
      <c r="B3" s="2757">
        <f>项目基本情况!D3</f>
        <v>45583</v>
      </c>
      <c r="C3" s="2759"/>
      <c r="D3" s="2759"/>
      <c r="E3" s="2759"/>
      <c r="F3" s="2755"/>
      <c r="I3" s="2771"/>
      <c r="J3" s="2771" t="s">
        <v>2582</v>
      </c>
      <c r="K3" s="2771" t="s">
        <v>2583</v>
      </c>
      <c r="L3" s="2771" t="s">
        <v>2584</v>
      </c>
      <c r="M3" s="2771" t="s">
        <v>2585</v>
      </c>
      <c r="N3" s="3129" t="s">
        <v>2586</v>
      </c>
      <c r="O3" s="3129" t="s">
        <v>2587</v>
      </c>
      <c r="P3" s="3129" t="s">
        <v>2588</v>
      </c>
      <c r="Q3" s="3129" t="s">
        <v>2589</v>
      </c>
      <c r="R3" s="3129" t="s">
        <v>2590</v>
      </c>
    </row>
    <row r="4" spans="1:18">
      <c r="A4" s="2756" t="s">
        <v>2500</v>
      </c>
      <c r="B4" s="2759" t="s">
        <v>2501</v>
      </c>
      <c r="C4" s="2759" t="s">
        <v>2502</v>
      </c>
      <c r="D4" s="2759" t="s">
        <v>2503</v>
      </c>
      <c r="E4" s="2759" t="s">
        <v>2504</v>
      </c>
      <c r="F4" s="2755"/>
      <c r="I4" s="2771" t="s">
        <v>2579</v>
      </c>
      <c r="J4" s="2771">
        <v>80</v>
      </c>
      <c r="K4" s="2771">
        <v>70</v>
      </c>
      <c r="L4" s="2771">
        <v>20</v>
      </c>
      <c r="M4" s="2771">
        <v>30</v>
      </c>
      <c r="N4" s="2759">
        <v>45</v>
      </c>
      <c r="O4" s="2759">
        <v>60</v>
      </c>
      <c r="P4" s="2759">
        <v>50</v>
      </c>
      <c r="Q4" s="2759">
        <v>20</v>
      </c>
      <c r="R4" s="2759">
        <v>375</v>
      </c>
    </row>
    <row r="5" spans="1:18">
      <c r="A5" s="2760">
        <v>40</v>
      </c>
      <c r="B5" s="2757">
        <v>46375</v>
      </c>
      <c r="C5" s="2759">
        <f>ROUNDDOWN(MIN((B5-B3)/365,A5),2)</f>
        <v>2.16</v>
      </c>
      <c r="D5" s="2761">
        <f>IF(ISERROR(ROUND(POWER(1+E5,A5-C5)*(POWER(1+E5,C5)-1)/(POWER(1+E5,A5)-1),3)),0,ROUND(POWER(1+E5,A5-C5)*(POWER(1+E5,C5)-1)/(POWER(1+E5,A5)-1),4))</f>
        <v>0.1026</v>
      </c>
      <c r="E5" s="2762">
        <v>0.04</v>
      </c>
      <c r="F5" s="2755"/>
      <c r="I5" s="2771" t="s">
        <v>2580</v>
      </c>
      <c r="J5" s="2771">
        <v>70</v>
      </c>
      <c r="K5" s="2771">
        <v>60</v>
      </c>
      <c r="L5" s="2771">
        <v>15</v>
      </c>
      <c r="M5" s="2771">
        <v>25</v>
      </c>
      <c r="N5" s="2759">
        <v>40</v>
      </c>
      <c r="O5" s="2759">
        <v>50</v>
      </c>
      <c r="P5" s="2759">
        <v>40</v>
      </c>
      <c r="Q5" s="2759">
        <v>15</v>
      </c>
      <c r="R5" s="2759">
        <v>315</v>
      </c>
    </row>
    <row r="6" spans="1:18">
      <c r="A6" s="2760">
        <v>50</v>
      </c>
      <c r="B6" s="2757">
        <v>50028</v>
      </c>
      <c r="C6" s="2759">
        <f>ROUNDDOWN(MIN((B6-B3)/365,A6),2)</f>
        <v>12.17</v>
      </c>
      <c r="D6" s="2761">
        <f>IF(ISERROR(ROUND(POWER(1+E6,A6-C6)*(POWER(1+E6,C6)-1)/(POWER(1+E6,A6)-1),3)),0,ROUND(POWER(1+E6,A6-C6)*(POWER(1+E6,C6)-1)/(POWER(1+E6,A6)-1),4))</f>
        <v>0.44169999999999998</v>
      </c>
      <c r="E6" s="2762">
        <v>0.04</v>
      </c>
      <c r="F6" s="2755"/>
      <c r="I6" s="2771" t="s">
        <v>2581</v>
      </c>
      <c r="J6" s="2771">
        <v>60</v>
      </c>
      <c r="K6" s="2771">
        <v>50</v>
      </c>
      <c r="L6" s="2771">
        <v>10</v>
      </c>
      <c r="M6" s="2771">
        <v>20</v>
      </c>
      <c r="N6" s="2759">
        <v>35</v>
      </c>
      <c r="O6" s="2759">
        <v>40</v>
      </c>
      <c r="P6" s="2759">
        <v>30</v>
      </c>
      <c r="Q6" s="2759">
        <v>10</v>
      </c>
      <c r="R6" s="2759">
        <v>255</v>
      </c>
    </row>
    <row r="7" spans="1:18">
      <c r="A7" s="2760">
        <v>70</v>
      </c>
      <c r="B7" s="2757">
        <v>57333</v>
      </c>
      <c r="C7" s="2759">
        <f>ROUNDDOWN(MIN((B7-B3)/365,A7),2)</f>
        <v>32.19</v>
      </c>
      <c r="D7" s="2761">
        <f>IF(ISERROR(ROUND(POWER(1+E7,A7-C7)*(POWER(1+E7,C7)-1)/(POWER(1+E7,A7)-1),3)),0,ROUND(POWER(1+E7,A7-C7)*(POWER(1+E7,C7)-1)/(POWER(1+E7,A7)-1),4))</f>
        <v>0.76629999999999998</v>
      </c>
      <c r="E7" s="2762">
        <v>0.04</v>
      </c>
      <c r="F7" s="2755"/>
    </row>
    <row r="8" spans="1:18">
      <c r="A8" s="2753"/>
      <c r="B8" s="2754"/>
      <c r="C8" s="2754"/>
      <c r="D8" s="2754"/>
      <c r="E8" s="2754"/>
      <c r="F8" s="2755"/>
    </row>
    <row r="9" spans="1:18">
      <c r="A9" s="2756" t="s">
        <v>2505</v>
      </c>
      <c r="B9" s="2759"/>
      <c r="C9" s="2759"/>
      <c r="D9" s="2759"/>
      <c r="E9" s="2759"/>
      <c r="F9" s="2763"/>
    </row>
    <row r="10" spans="1:18">
      <c r="A10" s="2756" t="s">
        <v>2506</v>
      </c>
      <c r="B10" s="2759"/>
      <c r="C10" s="2759"/>
      <c r="D10" s="2759" t="s">
        <v>2504</v>
      </c>
      <c r="E10" s="2759"/>
      <c r="F10" s="2763" t="s">
        <v>2503</v>
      </c>
    </row>
    <row r="11" spans="1:18">
      <c r="A11" s="2756" t="s">
        <v>2507</v>
      </c>
      <c r="B11" s="2764">
        <v>70</v>
      </c>
      <c r="C11" s="2759" t="s">
        <v>2508</v>
      </c>
      <c r="D11" s="2764">
        <v>4.4999999999999998E-2</v>
      </c>
      <c r="E11" s="2759" t="s">
        <v>2509</v>
      </c>
      <c r="F11" s="2765">
        <f>ROUND(1-(1/(POWER(1+D11,B11))),4)</f>
        <v>0.95409999999999995</v>
      </c>
    </row>
    <row r="12" spans="1:18">
      <c r="A12" s="2756" t="s">
        <v>2510</v>
      </c>
      <c r="B12" s="2764">
        <v>40</v>
      </c>
      <c r="C12" s="2759" t="s">
        <v>2511</v>
      </c>
      <c r="D12" s="2764">
        <v>4.4999999999999998E-2</v>
      </c>
      <c r="E12" s="2759" t="s">
        <v>2512</v>
      </c>
      <c r="F12" s="2765">
        <f>ROUND(1-(1/(POWER(1+D12,B12))),4)</f>
        <v>0.82809999999999995</v>
      </c>
    </row>
    <row r="13" spans="1:18">
      <c r="A13" s="2756" t="s">
        <v>2513</v>
      </c>
      <c r="B13" s="2759"/>
      <c r="C13" s="2759"/>
      <c r="D13" s="2754"/>
      <c r="E13" s="2754"/>
      <c r="F13" s="2755"/>
    </row>
    <row r="14" spans="1:18">
      <c r="A14" s="2756" t="s">
        <v>2514</v>
      </c>
      <c r="B14" s="2764">
        <v>5000</v>
      </c>
      <c r="C14" s="2758"/>
      <c r="D14" s="2754"/>
      <c r="E14" s="2754"/>
      <c r="F14" s="2755"/>
    </row>
    <row r="15" spans="1:18">
      <c r="A15" s="2756" t="s">
        <v>2515</v>
      </c>
      <c r="B15" s="2759">
        <f>ROUND(B14*F12/F11,2)</f>
        <v>4339.6899999999996</v>
      </c>
      <c r="C15" s="2759">
        <f>ROUND(F12/F11,4)</f>
        <v>0.8679</v>
      </c>
      <c r="D15" s="2754"/>
      <c r="E15" s="2754"/>
      <c r="F15" s="2755"/>
    </row>
    <row r="16" spans="1:18">
      <c r="A16" s="2756" t="s">
        <v>2516</v>
      </c>
      <c r="B16" s="2759"/>
      <c r="C16" s="2759"/>
      <c r="D16" s="2754"/>
      <c r="E16" s="2754"/>
      <c r="F16" s="2755"/>
    </row>
    <row r="17" spans="1:13">
      <c r="A17" s="2756" t="s">
        <v>2515</v>
      </c>
      <c r="B17" s="2764">
        <v>4810</v>
      </c>
      <c r="C17" s="2758"/>
      <c r="D17" s="2754"/>
      <c r="E17" s="2754"/>
      <c r="F17" s="2755"/>
    </row>
    <row r="18" spans="1:13" ht="14.25" thickBot="1">
      <c r="A18" s="2766" t="s">
        <v>2514</v>
      </c>
      <c r="B18" s="2767">
        <f>ROUND(B17*F11/F12,2)</f>
        <v>5541.87</v>
      </c>
      <c r="C18" s="2767">
        <f>ROUND(F11/F12,4)</f>
        <v>1.1521999999999999</v>
      </c>
      <c r="D18" s="2768"/>
      <c r="E18" s="2768"/>
      <c r="F18" s="2769"/>
    </row>
    <row r="19" spans="1:13" ht="14.25" thickBot="1"/>
    <row r="20" spans="1:13" s="2802" customFormat="1" ht="14.25" thickTop="1">
      <c r="A20" s="2799" t="s">
        <v>2517</v>
      </c>
      <c r="B20" s="2800"/>
      <c r="C20" s="2800"/>
      <c r="D20" s="2800"/>
      <c r="E20" s="2800"/>
      <c r="F20" s="2800"/>
      <c r="G20" s="2801"/>
      <c r="I20" s="2803" t="s">
        <v>2562</v>
      </c>
      <c r="J20" s="2803" t="s">
        <v>2567</v>
      </c>
      <c r="K20" s="2803"/>
      <c r="L20" s="2803"/>
      <c r="M20" s="2803"/>
    </row>
    <row r="21" spans="1:13">
      <c r="A21" s="2770"/>
      <c r="B21" s="2771" t="s">
        <v>2518</v>
      </c>
      <c r="C21" s="2771" t="s">
        <v>2519</v>
      </c>
      <c r="D21" s="2771" t="s">
        <v>2520</v>
      </c>
      <c r="E21" s="2771" t="s">
        <v>2521</v>
      </c>
      <c r="F21" s="2771" t="s">
        <v>2522</v>
      </c>
      <c r="G21" s="2772" t="s">
        <v>2523</v>
      </c>
      <c r="I21" s="2793">
        <v>5</v>
      </c>
      <c r="J21" s="2793">
        <v>54.2</v>
      </c>
    </row>
    <row r="22" spans="1:13">
      <c r="A22" s="2770" t="s">
        <v>2524</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2525</v>
      </c>
      <c r="B23" s="2773">
        <v>70</v>
      </c>
      <c r="C23" s="2773">
        <v>40</v>
      </c>
      <c r="D23" s="2774">
        <v>0.04</v>
      </c>
      <c r="E23" s="2771">
        <f>ROUND(POWER(1+D23,B23-C23)*(POWER(1+D23,C23)-1)/(POWER(1+D23,B23)-1),3)</f>
        <v>0.84599999999999997</v>
      </c>
      <c r="F23" s="2774">
        <f>F22</f>
        <v>0.7</v>
      </c>
      <c r="G23" s="2772">
        <f>ROUND(100*(1-(1-E23)*F23),1)</f>
        <v>89.2</v>
      </c>
      <c r="I23" s="2793">
        <v>15</v>
      </c>
      <c r="J23" s="2793">
        <v>74.099999999999994</v>
      </c>
      <c r="K23" s="2793">
        <f t="shared" ref="K23:K30" si="0">J23-J22</f>
        <v>8.6999999999999886</v>
      </c>
      <c r="L23" s="2793" t="s">
        <v>2565</v>
      </c>
      <c r="M23" s="2793" t="s">
        <v>2566</v>
      </c>
    </row>
    <row r="24" spans="1:13">
      <c r="A24" s="2770" t="s">
        <v>2526</v>
      </c>
      <c r="B24" s="2773">
        <v>70</v>
      </c>
      <c r="C24" s="2773">
        <v>50</v>
      </c>
      <c r="D24" s="2774">
        <v>0.04</v>
      </c>
      <c r="E24" s="2771">
        <f>ROUND(POWER(1+D24,B24-C24)*(POWER(1+D24,C24)-1)/(POWER(1+D24,B24)-1),3)</f>
        <v>0.91800000000000004</v>
      </c>
      <c r="F24" s="2774">
        <f>F23</f>
        <v>0.7</v>
      </c>
      <c r="G24" s="2772">
        <f>ROUND(100*(1-(1-E24)*F24),1)</f>
        <v>94.3</v>
      </c>
      <c r="I24" s="2793">
        <v>20</v>
      </c>
      <c r="J24" s="2793">
        <v>81</v>
      </c>
      <c r="K24" s="2793">
        <f t="shared" si="0"/>
        <v>6.9000000000000057</v>
      </c>
      <c r="L24" s="2793" t="s">
        <v>2564</v>
      </c>
      <c r="M24" s="2793">
        <v>10</v>
      </c>
    </row>
    <row r="25" spans="1:13">
      <c r="A25" s="2770" t="s">
        <v>2527</v>
      </c>
      <c r="B25" s="2773">
        <v>70</v>
      </c>
      <c r="C25" s="2773">
        <v>60</v>
      </c>
      <c r="D25" s="2774">
        <v>0.04</v>
      </c>
      <c r="E25" s="2771">
        <f>ROUND(POWER(1+D25,B25-C25)*(POWER(1+D25,C25)-1)/(POWER(1+D25,B25)-1),3)</f>
        <v>0.96699999999999997</v>
      </c>
      <c r="F25" s="2774">
        <f>F24</f>
        <v>0.7</v>
      </c>
      <c r="G25" s="2772">
        <f>ROUND(100*(1-(1-E25)*F25),1)</f>
        <v>97.7</v>
      </c>
      <c r="I25" s="2793">
        <v>25</v>
      </c>
      <c r="J25" s="2793">
        <v>86.3</v>
      </c>
      <c r="K25" s="2793">
        <f t="shared" si="0"/>
        <v>5.2999999999999972</v>
      </c>
      <c r="L25" s="2793" t="s">
        <v>2568</v>
      </c>
      <c r="M25" s="2793">
        <v>8</v>
      </c>
    </row>
    <row r="26" spans="1:13">
      <c r="A26" s="2775"/>
      <c r="B26" s="2776"/>
      <c r="C26" s="2776"/>
      <c r="D26" s="2776"/>
      <c r="E26" s="2776"/>
      <c r="F26" s="2776"/>
      <c r="G26" s="2777"/>
      <c r="I26" s="2793">
        <v>30</v>
      </c>
      <c r="J26" s="2793">
        <v>90.5</v>
      </c>
      <c r="K26" s="2793">
        <f t="shared" si="0"/>
        <v>4.2000000000000028</v>
      </c>
      <c r="L26" s="2793" t="s">
        <v>2569</v>
      </c>
      <c r="M26" s="2793">
        <v>5</v>
      </c>
    </row>
    <row r="27" spans="1:13">
      <c r="A27" s="2775" t="s">
        <v>2528</v>
      </c>
      <c r="B27" s="2776"/>
      <c r="C27" s="2776"/>
      <c r="D27" s="2776"/>
      <c r="E27" s="2776"/>
      <c r="F27" s="2776"/>
      <c r="G27" s="2777"/>
      <c r="I27" s="2793">
        <v>35</v>
      </c>
      <c r="J27" s="2793">
        <v>93.8</v>
      </c>
      <c r="K27" s="2793">
        <f t="shared" si="0"/>
        <v>3.2999999999999972</v>
      </c>
      <c r="L27" s="2793" t="s">
        <v>2570</v>
      </c>
      <c r="M27" s="2793">
        <v>3</v>
      </c>
    </row>
    <row r="28" spans="1:13">
      <c r="A28" s="2775" t="s">
        <v>2529</v>
      </c>
      <c r="B28" s="2776"/>
      <c r="C28" s="2776"/>
      <c r="D28" s="2776"/>
      <c r="E28" s="2776"/>
      <c r="F28" s="2776"/>
      <c r="G28" s="2777"/>
      <c r="I28" s="2793">
        <v>40</v>
      </c>
      <c r="J28" s="2793">
        <v>96.4</v>
      </c>
      <c r="K28" s="2793">
        <f t="shared" si="0"/>
        <v>2.6000000000000085</v>
      </c>
      <c r="L28" s="2793" t="s">
        <v>2571</v>
      </c>
      <c r="M28" s="2793">
        <v>2</v>
      </c>
    </row>
    <row r="29" spans="1:13">
      <c r="A29" s="2775" t="s">
        <v>2530</v>
      </c>
      <c r="B29" s="2776"/>
      <c r="C29" s="2776"/>
      <c r="D29" s="2776"/>
      <c r="E29" s="2776"/>
      <c r="F29" s="2776"/>
      <c r="G29" s="2777"/>
      <c r="I29" s="2793">
        <v>45</v>
      </c>
      <c r="J29" s="2793">
        <v>98.4</v>
      </c>
      <c r="K29" s="2793">
        <f t="shared" si="0"/>
        <v>2</v>
      </c>
    </row>
    <row r="30" spans="1:13">
      <c r="A30" s="2775" t="s">
        <v>2531</v>
      </c>
      <c r="B30" s="2776"/>
      <c r="C30" s="2776"/>
      <c r="D30" s="2776"/>
      <c r="E30" s="2776"/>
      <c r="F30" s="2776"/>
      <c r="G30" s="2777"/>
      <c r="I30" s="2793">
        <v>50</v>
      </c>
      <c r="J30" s="2793">
        <v>100</v>
      </c>
      <c r="K30" s="2793">
        <f t="shared" si="0"/>
        <v>1.5999999999999943</v>
      </c>
    </row>
    <row r="31" spans="1:13">
      <c r="A31" s="2775" t="s">
        <v>2532</v>
      </c>
      <c r="B31" s="2776"/>
      <c r="C31" s="2776"/>
      <c r="D31" s="2776"/>
      <c r="E31" s="2776"/>
      <c r="F31" s="2776"/>
      <c r="G31" s="2777"/>
      <c r="I31" s="2793" t="s">
        <v>2563</v>
      </c>
    </row>
    <row r="32" spans="1:13">
      <c r="A32" s="2775" t="s">
        <v>2533</v>
      </c>
      <c r="B32" s="2776"/>
      <c r="C32" s="2776"/>
      <c r="D32" s="2776"/>
      <c r="E32" s="2776"/>
      <c r="F32" s="2776"/>
      <c r="G32" s="2777"/>
    </row>
    <row r="33" spans="1:13">
      <c r="A33" s="2775" t="s">
        <v>2534</v>
      </c>
      <c r="B33" s="2776"/>
      <c r="C33" s="2776"/>
      <c r="D33" s="2776"/>
      <c r="E33" s="2776"/>
      <c r="F33" s="2776"/>
      <c r="G33" s="2777"/>
      <c r="I33" s="2793" t="s">
        <v>2562</v>
      </c>
      <c r="J33" s="2793" t="s">
        <v>2572</v>
      </c>
    </row>
    <row r="34" spans="1:13">
      <c r="A34" s="2775" t="s">
        <v>2535</v>
      </c>
      <c r="B34" s="2776"/>
      <c r="C34" s="2776"/>
      <c r="D34" s="2776"/>
      <c r="E34" s="2776"/>
      <c r="F34" s="2776"/>
      <c r="G34" s="2777"/>
      <c r="I34" s="2793">
        <v>5</v>
      </c>
      <c r="J34" s="2793">
        <v>55.1</v>
      </c>
    </row>
    <row r="35" spans="1:13">
      <c r="A35" s="2775" t="s">
        <v>2536</v>
      </c>
      <c r="B35" s="2776"/>
      <c r="C35" s="2776"/>
      <c r="D35" s="2776"/>
      <c r="E35" s="2776"/>
      <c r="F35" s="2776"/>
      <c r="G35" s="2777"/>
      <c r="I35" s="2793">
        <v>10</v>
      </c>
      <c r="J35" s="2793">
        <v>67</v>
      </c>
      <c r="K35" s="2793">
        <f>J35-J34</f>
        <v>11.899999999999999</v>
      </c>
    </row>
    <row r="36" spans="1:13">
      <c r="A36" s="2775" t="s">
        <v>2537</v>
      </c>
      <c r="B36" s="2776"/>
      <c r="C36" s="2776"/>
      <c r="D36" s="2776"/>
      <c r="E36" s="2776"/>
      <c r="F36" s="2776"/>
      <c r="G36" s="2777"/>
      <c r="I36" s="2793">
        <v>15</v>
      </c>
      <c r="J36" s="2793">
        <v>76.3</v>
      </c>
      <c r="K36" s="2793">
        <f t="shared" ref="K36:K41" si="1">J36-J35</f>
        <v>9.2999999999999972</v>
      </c>
      <c r="L36" s="2793" t="s">
        <v>2565</v>
      </c>
      <c r="M36" s="2793" t="s">
        <v>2566</v>
      </c>
    </row>
    <row r="37" spans="1:13">
      <c r="A37" s="2775" t="s">
        <v>2538</v>
      </c>
      <c r="B37" s="2776"/>
      <c r="C37" s="2776"/>
      <c r="D37" s="2776"/>
      <c r="E37" s="2776"/>
      <c r="F37" s="2776"/>
      <c r="G37" s="2777"/>
      <c r="I37" s="2793">
        <v>20</v>
      </c>
      <c r="J37" s="2793">
        <v>83.6</v>
      </c>
      <c r="K37" s="2793">
        <f t="shared" si="1"/>
        <v>7.2999999999999972</v>
      </c>
      <c r="L37" s="2793" t="s">
        <v>2564</v>
      </c>
      <c r="M37" s="2793">
        <v>10</v>
      </c>
    </row>
    <row r="38" spans="1:13">
      <c r="A38" s="2775" t="s">
        <v>2539</v>
      </c>
      <c r="B38" s="2776"/>
      <c r="C38" s="2776"/>
      <c r="D38" s="2776"/>
      <c r="E38" s="2776"/>
      <c r="F38" s="2776"/>
      <c r="G38" s="2777"/>
      <c r="I38" s="2793">
        <v>25</v>
      </c>
      <c r="J38" s="2793">
        <v>89.3</v>
      </c>
      <c r="K38" s="2793">
        <f t="shared" si="1"/>
        <v>5.7000000000000028</v>
      </c>
      <c r="L38" s="2793" t="s">
        <v>2568</v>
      </c>
      <c r="M38" s="2793">
        <v>8</v>
      </c>
    </row>
    <row r="39" spans="1:13">
      <c r="A39" s="2775"/>
      <c r="B39" s="2776"/>
      <c r="C39" s="2776"/>
      <c r="D39" s="2776"/>
      <c r="E39" s="2776"/>
      <c r="F39" s="2776"/>
      <c r="G39" s="2777"/>
      <c r="I39" s="2793">
        <v>30</v>
      </c>
      <c r="J39" s="2793">
        <v>93.8</v>
      </c>
      <c r="K39" s="2793">
        <f t="shared" si="1"/>
        <v>4.5</v>
      </c>
      <c r="L39" s="2793" t="s">
        <v>2569</v>
      </c>
      <c r="M39" s="2793">
        <v>6</v>
      </c>
    </row>
    <row r="40" spans="1:13">
      <c r="A40" s="2778" t="s">
        <v>2540</v>
      </c>
      <c r="B40" s="2779"/>
      <c r="C40" s="2779"/>
      <c r="D40" s="2779"/>
      <c r="E40" s="2779"/>
      <c r="F40" s="2779"/>
      <c r="G40" s="2780"/>
      <c r="I40" s="2793">
        <v>35</v>
      </c>
      <c r="J40" s="2793">
        <v>97.2</v>
      </c>
      <c r="K40" s="2793">
        <f t="shared" si="1"/>
        <v>3.4000000000000057</v>
      </c>
      <c r="L40" s="2793" t="s">
        <v>2570</v>
      </c>
      <c r="M40" s="2793">
        <v>3</v>
      </c>
    </row>
    <row r="41" spans="1:13">
      <c r="A41" s="2781" t="s">
        <v>2541</v>
      </c>
      <c r="B41" s="2782" t="s">
        <v>2542</v>
      </c>
      <c r="C41" s="2783" t="s">
        <v>2543</v>
      </c>
      <c r="D41" s="2783" t="s">
        <v>2544</v>
      </c>
      <c r="E41" s="2784"/>
      <c r="F41" s="2785"/>
      <c r="G41" s="2786"/>
      <c r="I41" s="2793">
        <v>40</v>
      </c>
      <c r="J41" s="2793">
        <v>100</v>
      </c>
      <c r="K41" s="2793">
        <f t="shared" si="1"/>
        <v>2.7999999999999972</v>
      </c>
    </row>
    <row r="42" spans="1:13">
      <c r="A42" s="2781" t="s">
        <v>2545</v>
      </c>
      <c r="B42" s="2782" t="s">
        <v>2546</v>
      </c>
      <c r="C42" s="2783" t="s">
        <v>2547</v>
      </c>
      <c r="D42" s="2787" t="s">
        <v>2548</v>
      </c>
      <c r="E42" s="2779" t="s">
        <v>2549</v>
      </c>
      <c r="F42" s="2779"/>
      <c r="G42" s="2780"/>
    </row>
    <row r="43" spans="1:13">
      <c r="A43" s="2781" t="s">
        <v>2550</v>
      </c>
      <c r="B43" s="2782" t="s">
        <v>2551</v>
      </c>
      <c r="C43" s="2783" t="s">
        <v>2552</v>
      </c>
      <c r="D43" s="2783" t="s">
        <v>2553</v>
      </c>
      <c r="E43" s="2784" t="s">
        <v>2554</v>
      </c>
      <c r="F43" s="2785"/>
      <c r="G43" s="2786"/>
      <c r="I43" s="2793" t="s">
        <v>2562</v>
      </c>
      <c r="J43" s="2793" t="s">
        <v>2573</v>
      </c>
    </row>
    <row r="44" spans="1:13">
      <c r="A44" s="2781" t="s">
        <v>2555</v>
      </c>
      <c r="B44" s="2782" t="s">
        <v>2556</v>
      </c>
      <c r="C44" s="2783" t="s">
        <v>2557</v>
      </c>
      <c r="D44" s="2787">
        <v>0.5</v>
      </c>
      <c r="E44" s="2784" t="s">
        <v>2558</v>
      </c>
      <c r="F44" s="2785"/>
      <c r="G44" s="2786"/>
      <c r="I44" s="2793">
        <v>30</v>
      </c>
      <c r="J44" s="2793">
        <v>81.7</v>
      </c>
    </row>
    <row r="45" spans="1:13" ht="14.25" thickBot="1">
      <c r="A45" s="2788" t="s">
        <v>2559</v>
      </c>
      <c r="B45" s="2789" t="s">
        <v>2546</v>
      </c>
      <c r="C45" s="2790" t="s">
        <v>2546</v>
      </c>
      <c r="D45" s="2790" t="s">
        <v>2560</v>
      </c>
      <c r="E45" s="2791" t="s">
        <v>2561</v>
      </c>
      <c r="F45" s="2791"/>
      <c r="G45" s="2792"/>
      <c r="I45" s="2793">
        <v>40</v>
      </c>
      <c r="J45" s="2793">
        <v>89.2</v>
      </c>
      <c r="K45" s="2793">
        <f>J45-J44</f>
        <v>7.5</v>
      </c>
    </row>
    <row r="46" spans="1:13">
      <c r="I46" s="2793">
        <v>50</v>
      </c>
      <c r="J46" s="2793">
        <v>94.3</v>
      </c>
      <c r="K46" s="2793">
        <f>J46-J45</f>
        <v>5.0999999999999943</v>
      </c>
    </row>
    <row r="47" spans="1:13">
      <c r="I47" s="2793">
        <v>60</v>
      </c>
      <c r="J47" s="2793">
        <v>97.7</v>
      </c>
      <c r="K47" s="2793">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H37" sqref="H37"/>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7" customWidth="1"/>
    <col min="12" max="13" width="10" style="2408"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2165</v>
      </c>
      <c r="B1" s="3232" t="str">
        <f>IF(B10="北京市","北京市",C10)&amp;F10&amp;IF(结果表!G1="在建","出让国有建设用地使用权及在建建筑物",IF(结果表!G1="土地","出让国有建设用地使用权",))&amp;B9&amp;"预评估"</f>
        <v>北京市预评估</v>
      </c>
      <c r="C1" s="3233"/>
      <c r="D1" s="3233"/>
      <c r="E1" s="3233"/>
      <c r="F1" s="3233"/>
      <c r="G1" s="3233"/>
      <c r="H1" s="3233"/>
      <c r="I1" s="3234"/>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7" t="s">
        <v>2166</v>
      </c>
      <c r="B2" s="121"/>
      <c r="D2" s="2442"/>
      <c r="E2" s="2435"/>
      <c r="F2" s="2435"/>
      <c r="G2" s="2436"/>
      <c r="H2" s="2436"/>
      <c r="I2" s="2436"/>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2167</v>
      </c>
      <c r="B3" s="2180">
        <v>45583</v>
      </c>
      <c r="C3" s="2181" t="s">
        <v>2168</v>
      </c>
      <c r="D3" s="2180">
        <f>B3</f>
        <v>45583</v>
      </c>
      <c r="E3" s="3148"/>
      <c r="F3" s="2436"/>
      <c r="G3" s="2436"/>
      <c r="H3" s="2436"/>
      <c r="I3" s="2436"/>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4"/>
      <c r="P4" s="2177"/>
      <c r="Q4" s="2177"/>
      <c r="R4" s="2177"/>
      <c r="S4" s="1559"/>
      <c r="T4" s="1616"/>
      <c r="U4" s="1616"/>
      <c r="V4" s="1616"/>
      <c r="W4" s="1616"/>
      <c r="X4" s="1616"/>
      <c r="Y4" s="1616"/>
      <c r="Z4" s="1616"/>
      <c r="AA4" s="1616"/>
      <c r="AB4" s="1616"/>
    </row>
    <row r="5" spans="1:30" ht="13.5" thickTop="1">
      <c r="A5" s="2185" t="s">
        <v>2170</v>
      </c>
      <c r="B5" s="2186"/>
      <c r="C5" s="2187"/>
      <c r="D5" s="2188"/>
      <c r="E5" s="2436"/>
      <c r="F5" s="2436"/>
      <c r="G5" s="2436"/>
      <c r="H5" s="2436"/>
      <c r="I5" s="2436"/>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2171</v>
      </c>
      <c r="B6" s="2190"/>
      <c r="C6" s="2191"/>
      <c r="D6" s="2192"/>
      <c r="E6" s="2435"/>
      <c r="F6" s="2436"/>
      <c r="G6" s="2436"/>
      <c r="H6" s="1614"/>
      <c r="I6" s="2436"/>
      <c r="J6" s="2240"/>
      <c r="K6" s="2395" t="str">
        <f>IF(COUNTIF(B6,"*上海银行*"),"上海银行","")</f>
        <v/>
      </c>
      <c r="L6" s="2393"/>
      <c r="M6" s="2393"/>
      <c r="N6" s="2240"/>
      <c r="O6" s="1668"/>
      <c r="P6" s="2240"/>
      <c r="Q6" s="2240"/>
      <c r="R6" s="2240"/>
    </row>
    <row r="7" spans="1:30">
      <c r="A7" s="2189" t="s">
        <v>2172</v>
      </c>
      <c r="B7" s="2193"/>
      <c r="C7" s="2191"/>
      <c r="D7" s="2192"/>
      <c r="E7" s="2435"/>
      <c r="F7" s="2436"/>
      <c r="G7" s="2436"/>
      <c r="H7" s="1614"/>
      <c r="I7" s="2436"/>
      <c r="J7" s="2240"/>
      <c r="K7" s="2396"/>
      <c r="L7" s="2393"/>
      <c r="M7" s="2393"/>
      <c r="N7" s="2240"/>
      <c r="O7" s="1668"/>
      <c r="P7" s="2240"/>
      <c r="Q7" s="2240"/>
      <c r="R7" s="2240"/>
    </row>
    <row r="8" spans="1:30">
      <c r="A8" s="2194" t="s">
        <v>2173</v>
      </c>
      <c r="B8" s="2195"/>
      <c r="C8" s="2196"/>
      <c r="D8" s="3235" t="s">
        <v>2174</v>
      </c>
      <c r="E8" s="2197"/>
      <c r="F8" s="2198"/>
      <c r="G8" s="2436"/>
      <c r="H8" s="2436"/>
      <c r="I8" s="2436"/>
      <c r="J8" s="2240"/>
      <c r="K8" s="2394"/>
      <c r="L8" s="2393"/>
      <c r="M8" s="2393"/>
      <c r="N8" s="2240"/>
      <c r="O8" s="1668"/>
      <c r="P8" s="2240"/>
      <c r="Q8" s="2240"/>
      <c r="R8" s="2240"/>
    </row>
    <row r="9" spans="1:30" ht="13.5" thickBot="1">
      <c r="A9" s="2199" t="s">
        <v>2175</v>
      </c>
      <c r="B9" s="2200"/>
      <c r="C9" s="2201"/>
      <c r="D9" s="3236"/>
      <c r="E9" s="2200"/>
      <c r="F9" s="2202"/>
      <c r="G9" s="2437"/>
      <c r="H9" s="2437"/>
      <c r="I9" s="2437"/>
      <c r="J9" s="2240"/>
      <c r="K9" s="2396"/>
      <c r="L9" s="2393"/>
      <c r="M9" s="2393"/>
      <c r="N9" s="2240"/>
      <c r="O9" s="1668"/>
      <c r="P9" s="2240"/>
      <c r="Q9" s="2240"/>
      <c r="R9" s="2240"/>
    </row>
    <row r="10" spans="1:30" ht="13.5" thickTop="1">
      <c r="A10" s="2203" t="s">
        <v>2176</v>
      </c>
      <c r="B10" s="2204" t="s">
        <v>3374</v>
      </c>
      <c r="C10" s="2205"/>
      <c r="D10" s="2188"/>
      <c r="E10" s="2206" t="s">
        <v>2177</v>
      </c>
      <c r="F10" s="2438"/>
      <c r="G10" s="2439"/>
      <c r="H10" s="2440"/>
      <c r="I10" s="2441"/>
      <c r="J10" s="2240"/>
      <c r="K10" s="2396"/>
      <c r="L10" s="2393"/>
      <c r="M10" s="2393"/>
      <c r="N10" s="2240"/>
      <c r="O10" s="1668"/>
      <c r="P10" s="2240"/>
      <c r="Q10" s="2240"/>
      <c r="R10" s="2240"/>
    </row>
    <row r="11" spans="1:30">
      <c r="A11" s="2207" t="s">
        <v>2178</v>
      </c>
      <c r="B11" s="2208" t="s">
        <v>3373</v>
      </c>
      <c r="C11" s="2209"/>
      <c r="D11" s="2210"/>
      <c r="E11" s="2177"/>
      <c r="F11" s="2177"/>
      <c r="G11" s="2177"/>
      <c r="H11" s="2177"/>
      <c r="I11" s="2177"/>
      <c r="J11" s="2795"/>
      <c r="K11" s="2393"/>
      <c r="L11" s="2393"/>
      <c r="M11" s="2393"/>
      <c r="N11" s="2240"/>
      <c r="O11" s="1668"/>
      <c r="P11" s="2240"/>
      <c r="Q11" s="2240"/>
      <c r="R11" s="2240"/>
    </row>
    <row r="12" spans="1:30">
      <c r="A12" s="2211" t="s">
        <v>2179</v>
      </c>
      <c r="B12" s="314" t="s">
        <v>2180</v>
      </c>
      <c r="C12" s="2212" t="s">
        <v>2181</v>
      </c>
      <c r="D12" s="2212" t="s">
        <v>2182</v>
      </c>
      <c r="E12" s="2212" t="s">
        <v>2183</v>
      </c>
      <c r="F12" s="2212" t="s">
        <v>2184</v>
      </c>
      <c r="G12" s="2212" t="s">
        <v>2185</v>
      </c>
      <c r="H12" s="2212" t="s">
        <v>2186</v>
      </c>
      <c r="I12" s="2794" t="s">
        <v>2574</v>
      </c>
      <c r="J12" s="2796"/>
      <c r="K12" s="2393"/>
      <c r="L12" s="2393"/>
      <c r="M12" s="2240"/>
      <c r="N12" s="1668"/>
      <c r="O12" s="2240"/>
      <c r="P12" s="2240"/>
      <c r="Q12" s="2240"/>
      <c r="AD12" s="1616"/>
    </row>
    <row r="13" spans="1:30">
      <c r="A13" s="3115" t="s">
        <v>3332</v>
      </c>
      <c r="B13" s="2213" t="s">
        <v>2187</v>
      </c>
      <c r="C13" s="802">
        <v>71151</v>
      </c>
      <c r="D13" s="802"/>
      <c r="E13" s="802"/>
      <c r="F13" s="802"/>
      <c r="G13" s="802"/>
      <c r="H13" s="802"/>
      <c r="I13" s="802"/>
      <c r="J13" s="2796"/>
      <c r="K13" s="2393"/>
      <c r="L13" s="2393"/>
      <c r="M13" s="2240"/>
      <c r="N13" s="1668"/>
      <c r="O13" s="2240"/>
      <c r="P13" s="2240"/>
      <c r="Q13" s="2240"/>
      <c r="AD13" s="1616"/>
    </row>
    <row r="14" spans="1:30">
      <c r="A14" s="1017"/>
      <c r="B14" s="2213" t="s">
        <v>2188</v>
      </c>
      <c r="C14" s="2214">
        <v>70</v>
      </c>
      <c r="D14" s="2214"/>
      <c r="E14" s="2214"/>
      <c r="F14" s="2214"/>
      <c r="G14" s="2214"/>
      <c r="H14" s="2214"/>
      <c r="I14" s="2214"/>
      <c r="J14" s="2797"/>
      <c r="K14" s="2393"/>
      <c r="L14" s="2393"/>
      <c r="M14" s="2240"/>
      <c r="N14" s="1668"/>
      <c r="O14" s="2240"/>
      <c r="P14" s="2240"/>
      <c r="Q14" s="2240"/>
      <c r="AD14" s="1616"/>
    </row>
    <row r="15" spans="1:30">
      <c r="A15" s="311"/>
      <c r="B15" s="2215" t="s">
        <v>2189</v>
      </c>
      <c r="C15" s="2216">
        <f>IF(A13="出让",IF(C13="","",ROUNDDOWN(MIN((C13-$D$3)/365,C14),2)),C14)</f>
        <v>70</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8"/>
      <c r="K15" s="1668"/>
      <c r="L15" s="1668"/>
      <c r="M15" s="2240"/>
      <c r="N15" s="1668"/>
      <c r="O15" s="2240"/>
      <c r="P15" s="2240"/>
      <c r="Q15" s="2240"/>
      <c r="AD15" s="1616"/>
    </row>
    <row r="16" spans="1:30">
      <c r="A16" s="2206" t="s">
        <v>2190</v>
      </c>
      <c r="B16" s="3242"/>
      <c r="C16" s="3243"/>
      <c r="D16" s="3244"/>
      <c r="E16" s="2217" t="s">
        <v>2191</v>
      </c>
      <c r="F16" s="3245">
        <v>70</v>
      </c>
      <c r="G16" s="3246"/>
      <c r="H16" s="3246"/>
      <c r="I16" s="3247"/>
      <c r="J16" s="2240"/>
      <c r="K16" s="2397"/>
      <c r="L16" s="1668"/>
      <c r="M16" s="1668"/>
      <c r="N16" s="2240"/>
      <c r="O16" s="1668"/>
      <c r="P16" s="2240"/>
      <c r="Q16" s="2240"/>
      <c r="R16" s="2240"/>
    </row>
    <row r="17" spans="1:28">
      <c r="A17" s="304" t="s">
        <v>2192</v>
      </c>
      <c r="B17" s="293" t="s">
        <v>2193</v>
      </c>
      <c r="C17" s="8">
        <f>'数据-汇总表'!E3</f>
        <v>141.37</v>
      </c>
      <c r="D17" s="1254" t="s">
        <v>2194</v>
      </c>
      <c r="E17" s="3248" t="s">
        <v>2195</v>
      </c>
      <c r="F17" s="3249"/>
      <c r="G17" s="3249"/>
      <c r="H17" s="3249"/>
      <c r="I17" s="3250"/>
      <c r="J17" s="2240"/>
      <c r="K17" s="2398"/>
      <c r="L17" s="1668"/>
      <c r="M17" s="1668"/>
      <c r="N17" s="2240"/>
      <c r="O17" s="1668"/>
      <c r="P17" s="2240"/>
      <c r="Q17" s="2240"/>
      <c r="R17" s="2240"/>
      <c r="S17" s="2240"/>
      <c r="T17" s="2240"/>
      <c r="U17" s="2240"/>
      <c r="V17" s="2240"/>
    </row>
    <row r="18" spans="1:28" ht="24.75" thickBot="1">
      <c r="A18" s="2218" t="s">
        <v>2196</v>
      </c>
      <c r="B18" s="1026" t="s">
        <v>2197</v>
      </c>
      <c r="C18" s="2219">
        <f>'数据-汇总表'!D3</f>
        <v>0</v>
      </c>
      <c r="D18" s="1028" t="s">
        <v>2198</v>
      </c>
      <c r="E18" s="3251" t="s">
        <v>2199</v>
      </c>
      <c r="F18" s="3252"/>
      <c r="G18" s="3252"/>
      <c r="H18" s="3252"/>
      <c r="I18" s="3253"/>
      <c r="J18" s="2240"/>
      <c r="K18" s="2398"/>
      <c r="L18" s="1668"/>
      <c r="M18" s="1668"/>
      <c r="N18" s="2240"/>
      <c r="O18" s="1668"/>
      <c r="P18" s="2240"/>
      <c r="Q18" s="2240"/>
      <c r="R18" s="2240"/>
      <c r="S18" s="2240"/>
      <c r="T18" s="2240"/>
      <c r="U18" s="2240"/>
      <c r="V18" s="2240"/>
    </row>
    <row r="19" spans="1:28" ht="37.5" thickTop="1" thickBot="1">
      <c r="A19" s="318" t="s">
        <v>1055</v>
      </c>
      <c r="B19" s="298" t="s">
        <v>2200</v>
      </c>
      <c r="C19" s="1453" t="s">
        <v>3385</v>
      </c>
      <c r="D19" s="1454" t="s">
        <v>2201</v>
      </c>
      <c r="E19" s="1455"/>
      <c r="F19" s="1456" t="str">
        <f>IF(AND(C19="是",E19="否"),"是否提供他项权证或相关说明","")</f>
        <v/>
      </c>
      <c r="G19" s="1457"/>
      <c r="H19" s="2436"/>
      <c r="I19" s="2436"/>
      <c r="J19" s="2240"/>
      <c r="K19" s="2396"/>
      <c r="L19" s="2393"/>
      <c r="M19" s="2393"/>
      <c r="N19" s="2240"/>
      <c r="O19" s="1668"/>
      <c r="P19" s="2240"/>
      <c r="Q19" s="2240"/>
      <c r="R19" s="2240"/>
      <c r="S19" s="2240"/>
      <c r="T19" s="2240"/>
      <c r="U19" s="2240"/>
      <c r="V19" s="2240"/>
    </row>
    <row r="20" spans="1:28">
      <c r="A20" s="2411" t="s">
        <v>2202</v>
      </c>
      <c r="B20" s="3238" t="s">
        <v>2203</v>
      </c>
      <c r="C20" s="3239"/>
      <c r="D20" s="3240" t="s">
        <v>2204</v>
      </c>
      <c r="E20" s="3241"/>
      <c r="F20" s="2424" t="s">
        <v>1056</v>
      </c>
      <c r="G20" s="2436"/>
      <c r="H20" s="2436"/>
      <c r="I20" s="2436"/>
      <c r="J20" s="2240"/>
      <c r="K20" s="3237"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4"/>
      <c r="P20" s="2177"/>
      <c r="Q20" s="2177"/>
      <c r="R20" s="2177"/>
      <c r="S20" s="2177"/>
      <c r="T20" s="2177"/>
      <c r="U20" s="2177"/>
      <c r="V20" s="2177"/>
      <c r="W20" s="1616"/>
      <c r="X20" s="1616"/>
      <c r="Y20" s="1616"/>
      <c r="Z20" s="1616"/>
      <c r="AA20" s="1616"/>
      <c r="AB20" s="1616"/>
    </row>
    <row r="21" spans="1:28" ht="24.75" thickBot="1">
      <c r="A21" s="2411"/>
      <c r="B21" s="2412" t="s">
        <v>2206</v>
      </c>
      <c r="C21" s="2290" t="s">
        <v>1057</v>
      </c>
      <c r="D21" s="1458" t="s">
        <v>2207</v>
      </c>
      <c r="E21" s="2413" t="s">
        <v>1057</v>
      </c>
      <c r="F21" s="2425"/>
      <c r="G21" s="2436"/>
      <c r="H21" s="2436"/>
      <c r="I21" s="2436"/>
      <c r="J21" s="2240"/>
      <c r="K21" s="3237"/>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1"/>
      <c r="B22" s="2414" t="s">
        <v>2208</v>
      </c>
      <c r="C22" s="2290" t="s">
        <v>1058</v>
      </c>
      <c r="D22" s="2436"/>
      <c r="E22" s="2436"/>
      <c r="F22" s="2436"/>
      <c r="G22" s="2436"/>
      <c r="H22" s="2436"/>
      <c r="I22" s="2436"/>
      <c r="J22" s="2240"/>
      <c r="K22" s="3237"/>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5" t="s">
        <v>2209</v>
      </c>
      <c r="B23" s="2287" t="s">
        <v>2210</v>
      </c>
      <c r="C23" s="2416"/>
      <c r="D23" s="2417" t="s">
        <v>2210</v>
      </c>
      <c r="E23" s="2418"/>
      <c r="F23" s="2436"/>
      <c r="G23" s="2436"/>
      <c r="H23" s="2436"/>
      <c r="I23" s="2436"/>
      <c r="J23" s="2240"/>
      <c r="K23" s="2395"/>
      <c r="L23" s="120"/>
      <c r="M23" s="2393"/>
      <c r="N23" s="2240"/>
      <c r="O23" s="1668"/>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8"/>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8"/>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8"/>
      <c r="P26" s="2240"/>
      <c r="Q26" s="2240"/>
      <c r="R26" s="2240"/>
      <c r="S26" s="2240"/>
      <c r="T26" s="2240"/>
      <c r="U26" s="2240"/>
      <c r="V26" s="2240"/>
    </row>
    <row r="27" spans="1:28" ht="13.5" thickTop="1">
      <c r="A27" s="3255" t="s">
        <v>2211</v>
      </c>
      <c r="B27" s="311" t="s">
        <v>2212</v>
      </c>
      <c r="C27" s="2220"/>
      <c r="D27" s="2221"/>
      <c r="E27" s="2436"/>
      <c r="F27" s="2436"/>
      <c r="G27" s="2436"/>
      <c r="H27" s="2436"/>
      <c r="I27" s="2436"/>
      <c r="J27" s="2240"/>
      <c r="K27" s="2397"/>
      <c r="L27" s="1668"/>
      <c r="M27" s="1668"/>
      <c r="N27" s="2240"/>
      <c r="O27" s="1668"/>
      <c r="P27" s="2240"/>
      <c r="Q27" s="2240"/>
      <c r="R27" s="2240"/>
      <c r="S27" s="2240"/>
      <c r="T27" s="2240"/>
      <c r="U27" s="2240"/>
      <c r="V27" s="2240"/>
    </row>
    <row r="28" spans="1:28">
      <c r="A28" s="3255"/>
      <c r="B28" s="293" t="s">
        <v>2213</v>
      </c>
      <c r="C28" s="2222"/>
      <c r="D28" s="2223"/>
      <c r="E28" s="2436"/>
      <c r="F28" s="2436"/>
      <c r="G28" s="2436"/>
      <c r="H28" s="2436"/>
      <c r="I28" s="2436"/>
      <c r="J28" s="2240"/>
      <c r="K28" s="2396"/>
      <c r="L28" s="2393"/>
      <c r="M28" s="2393"/>
      <c r="N28" s="2240"/>
      <c r="O28" s="1668"/>
      <c r="P28" s="2240"/>
      <c r="Q28" s="2240"/>
      <c r="R28" s="2240"/>
      <c r="S28" s="2240"/>
      <c r="T28" s="2240"/>
      <c r="U28" s="2240"/>
      <c r="V28" s="2240"/>
    </row>
    <row r="29" spans="1:28">
      <c r="A29" s="3255"/>
      <c r="B29" s="293" t="s">
        <v>2214</v>
      </c>
      <c r="C29" s="2224"/>
      <c r="D29" s="2225"/>
      <c r="E29" s="2436"/>
      <c r="F29" s="2436"/>
      <c r="G29" s="2436"/>
      <c r="H29" s="2436"/>
      <c r="I29" s="2436"/>
      <c r="J29" s="2240"/>
      <c r="K29" s="2396"/>
      <c r="L29" s="2393"/>
      <c r="M29" s="2393"/>
      <c r="N29" s="2240"/>
      <c r="O29" s="1668"/>
      <c r="P29" s="2240"/>
      <c r="Q29" s="2240"/>
      <c r="R29" s="2240"/>
      <c r="S29" s="2240"/>
      <c r="T29" s="2240"/>
      <c r="U29" s="2240"/>
      <c r="V29" s="2240"/>
    </row>
    <row r="30" spans="1:28">
      <c r="A30" s="3256"/>
      <c r="B30" s="293" t="s">
        <v>2215</v>
      </c>
      <c r="C30" s="3257"/>
      <c r="D30" s="3258"/>
      <c r="E30" s="2436"/>
      <c r="F30" s="2436"/>
      <c r="G30" s="2436"/>
      <c r="H30" s="2436"/>
      <c r="I30" s="2436"/>
      <c r="J30" s="2240"/>
      <c r="K30" s="2396"/>
      <c r="L30" s="2393"/>
      <c r="M30" s="2393"/>
      <c r="N30" s="2240"/>
      <c r="O30" s="1668"/>
      <c r="P30" s="2240"/>
      <c r="Q30" s="2240"/>
      <c r="R30" s="2240"/>
      <c r="S30" s="2240"/>
      <c r="T30" s="2240"/>
      <c r="U30" s="2240"/>
      <c r="V30" s="2240"/>
    </row>
    <row r="31" spans="1:28">
      <c r="A31" s="3259" t="s">
        <v>2216</v>
      </c>
      <c r="B31" s="2226"/>
      <c r="C31" s="12" t="str">
        <f>IF(B31="现房","成新及维护状况正常否",IF(B31="在建","工程状态是否正常",IF(B31="土地","是否闲置","-")))</f>
        <v>-</v>
      </c>
      <c r="D31" s="1279"/>
      <c r="E31" s="2227"/>
      <c r="F31" s="2436"/>
      <c r="G31" s="2436"/>
      <c r="H31" s="2436"/>
      <c r="I31" s="2436"/>
      <c r="J31" s="2240"/>
      <c r="K31" s="2395"/>
      <c r="L31" s="2393"/>
      <c r="M31" s="2393"/>
      <c r="N31" s="2240"/>
      <c r="O31" s="1668"/>
      <c r="P31" s="2240"/>
      <c r="Q31" s="2240"/>
      <c r="R31" s="2240"/>
      <c r="S31" s="2240"/>
      <c r="T31" s="2240"/>
      <c r="U31" s="2240"/>
      <c r="V31" s="2240"/>
    </row>
    <row r="32" spans="1:28">
      <c r="A32" s="3260"/>
      <c r="B32" s="2226"/>
      <c r="C32" s="12" t="str">
        <f>IF(B32="现房","成新及维护状况是否正常",IF(B32="在建","工程状态是否正常",IF(B32="土地","是否闲置","-")))</f>
        <v>-</v>
      </c>
      <c r="D32" s="1279"/>
      <c r="E32" s="2227"/>
      <c r="F32" s="2436"/>
      <c r="G32" s="2436"/>
      <c r="H32" s="2436"/>
      <c r="I32" s="2436"/>
      <c r="J32" s="2240"/>
      <c r="K32" s="2396"/>
      <c r="L32" s="2393"/>
      <c r="M32" s="2393"/>
      <c r="N32" s="2240"/>
      <c r="O32" s="1668"/>
      <c r="P32" s="2240"/>
      <c r="Q32" s="2240"/>
      <c r="R32" s="2240"/>
      <c r="S32" s="2240"/>
      <c r="T32" s="2240"/>
      <c r="U32" s="2240"/>
      <c r="V32" s="2240"/>
    </row>
    <row r="33" spans="1:30">
      <c r="A33" s="3260"/>
      <c r="B33" s="2229"/>
      <c r="C33" s="1476" t="str">
        <f>IF(B33="现房","成新及维护状况是否正常",IF(B33="在建","工程状态是否正常",IF(B33="土地","是否闲置","-")))</f>
        <v>-</v>
      </c>
      <c r="D33" s="1272"/>
      <c r="E33" s="2230"/>
      <c r="F33" s="2436"/>
      <c r="G33" s="2436"/>
      <c r="H33" s="2436"/>
      <c r="I33" s="2436"/>
      <c r="J33" s="2240"/>
      <c r="K33" s="2396"/>
      <c r="L33" s="2393"/>
      <c r="M33" s="2393"/>
      <c r="N33" s="2240"/>
      <c r="O33" s="1668"/>
      <c r="P33" s="2240"/>
      <c r="Q33" s="2240"/>
      <c r="R33" s="2240"/>
      <c r="S33" s="2240"/>
      <c r="T33" s="2240"/>
      <c r="U33" s="2240"/>
      <c r="V33" s="2240"/>
    </row>
    <row r="34" spans="1:30">
      <c r="A34" s="293" t="s">
        <v>2217</v>
      </c>
      <c r="B34" s="1865"/>
      <c r="C34" s="1865"/>
      <c r="D34" s="1865"/>
      <c r="E34" s="1865"/>
      <c r="F34" s="1865"/>
      <c r="G34" s="1865"/>
      <c r="H34" s="1865"/>
      <c r="I34" s="2436"/>
      <c r="J34" s="2240"/>
      <c r="K34" s="8">
        <f>COUNTIF(B34:H34,"——")</f>
        <v>0</v>
      </c>
      <c r="L34" s="314" t="s">
        <v>2218</v>
      </c>
      <c r="M34" s="314" t="s">
        <v>2219</v>
      </c>
      <c r="N34" s="314" t="s">
        <v>2220</v>
      </c>
      <c r="O34" s="314" t="s">
        <v>2221</v>
      </c>
      <c r="P34" s="314" t="s">
        <v>2222</v>
      </c>
      <c r="Q34" s="314" t="s">
        <v>2223</v>
      </c>
      <c r="R34" s="314" t="s">
        <v>2224</v>
      </c>
      <c r="S34" s="3254" t="s">
        <v>2225</v>
      </c>
      <c r="T34" s="314" t="str">
        <f>NUMBERSTRING(7-K34,1)&amp;"通"</f>
        <v>七通</v>
      </c>
      <c r="U34" s="2240"/>
      <c r="V34" s="2240"/>
    </row>
    <row r="35" spans="1:30">
      <c r="A35" s="2231"/>
      <c r="B35" s="3254" t="s">
        <v>2226</v>
      </c>
      <c r="C35" s="3254"/>
      <c r="D35" s="3254"/>
      <c r="E35" s="3254"/>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54"/>
      <c r="T35" s="137" t="str">
        <f>IF(T34="一通",L35,IF(T34="二通",M35,IF(T34="三通",N35,IF(T34="四通",O35,IF(T34="五通",P35,IF(T34="六通",Q35,R35))))))</f>
        <v>、、、、、、</v>
      </c>
      <c r="U35" s="2240"/>
      <c r="V35" s="2240"/>
    </row>
    <row r="36" spans="1:30">
      <c r="A36" s="2178"/>
      <c r="B36" s="8" t="s">
        <v>2182</v>
      </c>
      <c r="C36" s="8" t="s">
        <v>2183</v>
      </c>
      <c r="D36" s="8" t="s">
        <v>2181</v>
      </c>
      <c r="E36" s="8" t="s">
        <v>2186</v>
      </c>
      <c r="F36" s="2794" t="s">
        <v>2577</v>
      </c>
      <c r="G36" s="2436"/>
      <c r="H36" s="2436"/>
      <c r="I36" s="2436"/>
      <c r="J36" s="2240"/>
      <c r="K36" s="2396"/>
      <c r="L36" s="2393"/>
      <c r="M36" s="2393"/>
      <c r="N36" s="2240"/>
      <c r="O36" s="1668"/>
      <c r="P36" s="2240"/>
      <c r="Q36" s="2240"/>
      <c r="R36" s="2240"/>
      <c r="S36" s="2240"/>
      <c r="T36" s="2240"/>
      <c r="U36" s="2240"/>
      <c r="V36" s="2240"/>
    </row>
    <row r="37" spans="1:30">
      <c r="A37" s="2409" t="s">
        <v>2227</v>
      </c>
      <c r="B37" s="2232"/>
      <c r="C37" s="2232"/>
      <c r="D37" s="2232" t="s">
        <v>29</v>
      </c>
      <c r="E37" s="2232"/>
      <c r="F37" s="2232"/>
      <c r="G37" s="2436"/>
      <c r="H37" s="2436"/>
      <c r="I37" s="2436"/>
      <c r="J37" s="2240"/>
      <c r="K37" s="2396"/>
      <c r="L37" s="2393"/>
      <c r="M37" s="2393"/>
      <c r="N37" s="2240"/>
      <c r="O37" s="1668"/>
      <c r="P37" s="2240"/>
      <c r="Q37" s="2240"/>
      <c r="R37" s="2240"/>
      <c r="S37" s="2240"/>
      <c r="T37" s="2240"/>
      <c r="U37" s="2240"/>
      <c r="V37" s="2240"/>
    </row>
    <row r="38" spans="1:30" ht="13.5" thickBot="1">
      <c r="A38" s="2410" t="s">
        <v>2228</v>
      </c>
      <c r="B38" s="2233"/>
      <c r="C38" s="2233"/>
      <c r="D38" s="2233" t="s">
        <v>301</v>
      </c>
      <c r="E38" s="2233"/>
      <c r="F38" s="2233"/>
      <c r="G38" s="2437"/>
      <c r="H38" s="2437"/>
      <c r="I38" s="2437"/>
      <c r="J38" s="2240"/>
      <c r="K38" s="2396"/>
      <c r="L38" s="2393"/>
      <c r="M38" s="2393"/>
      <c r="N38" s="2240"/>
      <c r="O38" s="1668"/>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4"/>
      <c r="J40" s="2240"/>
      <c r="K40" s="2395"/>
      <c r="L40" s="1668"/>
      <c r="M40" s="1668"/>
      <c r="N40" s="2240"/>
      <c r="O40" s="1668"/>
      <c r="P40" s="2240"/>
      <c r="Q40" s="2240"/>
      <c r="R40" s="2240"/>
      <c r="S40" s="2240"/>
      <c r="T40" s="2240"/>
      <c r="U40" s="2240"/>
      <c r="V40" s="2240"/>
    </row>
    <row r="41" spans="1:30">
      <c r="A41" s="2237" t="s">
        <v>2230</v>
      </c>
      <c r="B41" s="1625"/>
      <c r="C41" s="1279"/>
      <c r="D41" s="2177"/>
      <c r="E41" s="2177"/>
      <c r="F41" s="2177"/>
      <c r="G41" s="2177"/>
      <c r="H41" s="2177"/>
      <c r="I41" s="1464"/>
      <c r="J41" s="2240"/>
      <c r="K41" s="2396"/>
      <c r="L41" s="2393"/>
      <c r="M41" s="2393"/>
      <c r="N41" s="2240"/>
      <c r="O41" s="1668"/>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5" t="s">
        <v>2240</v>
      </c>
      <c r="K42" s="2406" t="s">
        <v>2241</v>
      </c>
      <c r="L42" s="2406" t="s">
        <v>2242</v>
      </c>
      <c r="M42" s="2406" t="s">
        <v>2243</v>
      </c>
      <c r="N42" s="2399" t="s">
        <v>2244</v>
      </c>
      <c r="O42" s="2399" t="s">
        <v>2245</v>
      </c>
      <c r="P42" s="2399" t="s">
        <v>2246</v>
      </c>
      <c r="Q42" s="2400" t="s">
        <v>2247</v>
      </c>
      <c r="R42" s="2400" t="s">
        <v>2248</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141.37</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141.37</v>
      </c>
      <c r="H5" s="13">
        <f t="shared" ref="H5:AT5" si="0">SUM(H13:H656)</f>
        <v>141.37</v>
      </c>
      <c r="I5" s="13">
        <f t="shared" si="0"/>
        <v>141.37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141.37</v>
      </c>
      <c r="BA5" s="15">
        <f t="shared" si="1"/>
        <v>141.37</v>
      </c>
      <c r="BB5" s="15">
        <f t="shared" si="1"/>
        <v>141.37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3386</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3375</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3463</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平层住宅</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3385</v>
      </c>
      <c r="E13" s="13">
        <f>IF($C$3="是",ROUND($A$3*G13/$B$3,2),ROUND($A$3*(G13-AT13)/$B$3,2))</f>
        <v>0</v>
      </c>
      <c r="F13" s="29"/>
      <c r="G13" s="30">
        <f>H13+AC13+AT13</f>
        <v>141.37</v>
      </c>
      <c r="H13" s="17">
        <f>SUMIF(I$12:AB$12,"总值",I13:AB13)</f>
        <v>141.37</v>
      </c>
      <c r="I13" s="1512">
        <v>141.37</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141.37</v>
      </c>
      <c r="BA13" s="13">
        <f>SUM(BB13:BK13)</f>
        <v>141.37</v>
      </c>
      <c r="BB13" s="13">
        <f>IF($D13="是",I13-J13,0)</f>
        <v>141.37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270" t="s">
        <v>1131</v>
      </c>
      <c r="B2" s="3270"/>
      <c r="C2" s="3270"/>
      <c r="D2" s="747" t="s">
        <v>1107</v>
      </c>
      <c r="E2" s="1521" t="s">
        <v>1108</v>
      </c>
      <c r="F2" s="2433"/>
      <c r="G2" s="2426"/>
      <c r="H2" s="2427"/>
      <c r="I2" s="2141" t="s">
        <v>1132</v>
      </c>
      <c r="J2" s="2433"/>
      <c r="K2" s="2433"/>
      <c r="L2" s="2433"/>
      <c r="M2" s="2433"/>
      <c r="N2" s="2434"/>
      <c r="O2" s="2433"/>
      <c r="P2" s="2433"/>
    </row>
    <row r="3" spans="1:16" ht="15.75" thickBot="1">
      <c r="A3" s="3271" t="s">
        <v>1105</v>
      </c>
      <c r="B3" s="3271"/>
      <c r="C3" s="3271"/>
      <c r="D3" s="41">
        <f>'数据-基础表'!AY6</f>
        <v>0</v>
      </c>
      <c r="E3" s="41">
        <f>'数据-基础表'!AZ5</f>
        <v>141.37</v>
      </c>
      <c r="F3" s="2433"/>
      <c r="G3" s="42"/>
      <c r="H3" s="43" t="s">
        <v>1106</v>
      </c>
      <c r="I3" s="801" t="e">
        <f>ROUND('数据-基础表'!B3/'数据-基础表'!A3,2)</f>
        <v>#DIV/0!</v>
      </c>
      <c r="J3" s="2433"/>
      <c r="K3" s="2433"/>
      <c r="L3" s="2433"/>
      <c r="M3" s="2433"/>
      <c r="N3" s="2434"/>
      <c r="O3" s="2433"/>
      <c r="P3" s="2433"/>
    </row>
    <row r="4" spans="1:16" ht="15">
      <c r="A4" s="3272"/>
      <c r="B4" s="3273"/>
      <c r="C4" s="3274"/>
      <c r="D4" s="1522" t="s">
        <v>1107</v>
      </c>
      <c r="E4" s="1523" t="s">
        <v>1108</v>
      </c>
      <c r="F4" s="2433"/>
      <c r="G4" s="2428" t="s">
        <v>1133</v>
      </c>
      <c r="H4" s="43" t="s">
        <v>1113</v>
      </c>
      <c r="I4" s="801" t="e">
        <f>ROUND(SUMIF('数据-基础表'!I9:AS9,"地上",'数据-基础表'!I5:AS5)/'数据-基础表'!A3,2)</f>
        <v>#DIV/0!</v>
      </c>
      <c r="J4" s="2433"/>
      <c r="K4" s="2433"/>
      <c r="L4" s="2433"/>
      <c r="M4" s="2433"/>
      <c r="N4" s="2434"/>
      <c r="O4" s="2433"/>
      <c r="P4" s="2433"/>
    </row>
    <row r="5" spans="1:16">
      <c r="A5" s="42" t="s">
        <v>1109</v>
      </c>
      <c r="B5" s="3275" t="s">
        <v>1110</v>
      </c>
      <c r="C5" s="3275"/>
      <c r="D5" s="43">
        <f>ROUND($D$3*E5/$E$3,2)</f>
        <v>0</v>
      </c>
      <c r="E5" s="44">
        <f>SUMIF('数据-基础表'!$11:$11,"住宅",'数据-基础表'!$5:$5)</f>
        <v>141.37</v>
      </c>
      <c r="F5" s="2433"/>
      <c r="G5" s="42"/>
      <c r="H5" s="43" t="s">
        <v>1106</v>
      </c>
      <c r="I5" s="801" t="e">
        <f>ROUND(E31/D31,2)</f>
        <v>#DIV/0!</v>
      </c>
      <c r="J5" s="2433"/>
      <c r="K5" s="2433"/>
      <c r="L5" s="2433"/>
      <c r="M5" s="2433"/>
      <c r="N5" s="2433"/>
      <c r="O5" s="2433"/>
      <c r="P5" s="2433"/>
    </row>
    <row r="6" spans="1:16" ht="15" thickBot="1">
      <c r="A6" s="1525"/>
      <c r="B6" s="3275" t="s">
        <v>1111</v>
      </c>
      <c r="C6" s="3275"/>
      <c r="D6" s="43">
        <f>ROUND($D$3*E6/$E$3,2)</f>
        <v>0</v>
      </c>
      <c r="E6" s="44">
        <f>E3-E5</f>
        <v>0</v>
      </c>
      <c r="F6" s="2433"/>
      <c r="G6" s="1527" t="s">
        <v>1112</v>
      </c>
      <c r="H6" s="45" t="s">
        <v>1113</v>
      </c>
      <c r="I6" s="2429" t="e">
        <f>ROUND(F31/D31,2)</f>
        <v>#DIV/0!</v>
      </c>
      <c r="J6" s="2433"/>
      <c r="K6" s="2433"/>
      <c r="L6" s="2433"/>
      <c r="M6" s="2433"/>
      <c r="N6" s="2433"/>
      <c r="O6" s="2433"/>
      <c r="P6" s="2433"/>
    </row>
    <row r="7" spans="1:16" ht="15.75" thickBot="1">
      <c r="A7" s="3267"/>
      <c r="B7" s="3268"/>
      <c r="C7" s="3269"/>
      <c r="D7" s="1522" t="s">
        <v>1107</v>
      </c>
      <c r="E7" s="1526" t="s">
        <v>1114</v>
      </c>
      <c r="F7" s="2433"/>
      <c r="G7" s="2430" t="s">
        <v>1115</v>
      </c>
      <c r="H7" s="95"/>
      <c r="I7" s="2431">
        <v>2.5</v>
      </c>
      <c r="J7" s="2433"/>
      <c r="K7" s="2433"/>
      <c r="L7" s="2433"/>
      <c r="M7" s="2433"/>
      <c r="N7" s="2433"/>
      <c r="O7" s="2433"/>
      <c r="P7" s="2433"/>
    </row>
    <row r="8" spans="1:16">
      <c r="A8" s="42" t="s">
        <v>1116</v>
      </c>
      <c r="B8" s="45" t="s">
        <v>1117</v>
      </c>
      <c r="C8" s="43" t="s">
        <v>1118</v>
      </c>
      <c r="D8" s="43">
        <f t="shared" ref="D8:D15" si="0">ROUND($D$3*E8/$E$3,2)</f>
        <v>0</v>
      </c>
      <c r="E8" s="46">
        <f>SUMIF('数据-基础表'!BB10:BK10,"地上",'数据-基础表'!BB5:BK5)</f>
        <v>141.37</v>
      </c>
      <c r="F8" s="2433"/>
      <c r="G8" s="2433"/>
      <c r="H8" s="2433"/>
      <c r="I8" s="2433"/>
      <c r="J8" s="2433"/>
      <c r="K8" s="2433"/>
      <c r="L8" s="2433"/>
      <c r="M8" s="2433"/>
      <c r="N8" s="2433"/>
      <c r="O8" s="2433"/>
      <c r="P8" s="2433"/>
    </row>
    <row r="9" spans="1:16">
      <c r="A9" s="1527"/>
      <c r="B9" s="1528"/>
      <c r="C9" s="43" t="s">
        <v>1119</v>
      </c>
      <c r="D9" s="43">
        <f t="shared" si="0"/>
        <v>0</v>
      </c>
      <c r="E9" s="47">
        <v>0</v>
      </c>
      <c r="F9" s="2433"/>
      <c r="G9" s="2433"/>
      <c r="H9" s="2433"/>
      <c r="I9" s="2433"/>
      <c r="J9" s="2433"/>
      <c r="K9" s="2433"/>
      <c r="L9" s="2433"/>
      <c r="M9" s="2433"/>
      <c r="N9" s="2433"/>
      <c r="O9" s="2433"/>
      <c r="P9" s="2433"/>
    </row>
    <row r="10" spans="1:16">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7"/>
      <c r="B12" s="1528"/>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7"/>
      <c r="B13" s="1528"/>
      <c r="C13" s="43" t="s">
        <v>1122</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5"/>
      <c r="B16" s="1528"/>
      <c r="C16" s="45" t="s">
        <v>1123</v>
      </c>
      <c r="D16" s="45">
        <f>SUM(D8:D15)</f>
        <v>0</v>
      </c>
      <c r="E16" s="48">
        <f>SUM(E8:E15)</f>
        <v>141.37</v>
      </c>
      <c r="F16" s="2433"/>
      <c r="G16" s="2433"/>
      <c r="H16" s="1529" t="s">
        <v>1135</v>
      </c>
      <c r="I16" s="1530"/>
      <c r="J16" s="1070"/>
      <c r="K16" s="3264" t="s">
        <v>1135</v>
      </c>
      <c r="L16" s="3265"/>
      <c r="M16" s="3265"/>
      <c r="N16" s="3265"/>
      <c r="O16" s="3265"/>
      <c r="P16" s="3266"/>
    </row>
    <row r="17" spans="1:19" ht="15">
      <c r="A17" s="1531" t="s">
        <v>1136</v>
      </c>
      <c r="B17" s="1532" t="s">
        <v>1137</v>
      </c>
      <c r="C17" s="1533" t="s">
        <v>1138</v>
      </c>
      <c r="D17" s="1534" t="s">
        <v>1126</v>
      </c>
      <c r="E17" s="1535" t="s">
        <v>1127</v>
      </c>
      <c r="F17" s="1536"/>
      <c r="G17" s="1537"/>
      <c r="H17" s="1538" t="s">
        <v>1139</v>
      </c>
      <c r="I17" s="1539" t="s">
        <v>1124</v>
      </c>
      <c r="J17" s="1070"/>
      <c r="K17" s="3261" t="s">
        <v>1140</v>
      </c>
      <c r="L17" s="3262"/>
      <c r="M17" s="3263"/>
      <c r="N17" s="3261" t="s">
        <v>1141</v>
      </c>
      <c r="O17" s="3262"/>
      <c r="P17" s="3263"/>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09" t="s">
        <v>3387</v>
      </c>
      <c r="D19" s="43">
        <f>ROUND($D$3*E19/$E$3,2)</f>
        <v>0</v>
      </c>
      <c r="E19" s="51">
        <f t="shared" ref="E19:E26" si="1">SUM(F19:G19)</f>
        <v>141.37</v>
      </c>
      <c r="F19" s="2552">
        <f>'数据-基础表'!I13</f>
        <v>141.37</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141.37</v>
      </c>
    </row>
    <row r="20" spans="1:19">
      <c r="A20" s="1547"/>
      <c r="B20" s="45" t="s">
        <v>1153</v>
      </c>
      <c r="C20" s="3109"/>
      <c r="D20" s="43">
        <f t="shared" ref="D20:D26" si="6">ROUND($D$3*E20/$E$3,2)</f>
        <v>0</v>
      </c>
      <c r="E20" s="51">
        <f t="shared" si="1"/>
        <v>0</v>
      </c>
      <c r="F20" s="2552"/>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09"/>
      <c r="D21" s="43">
        <f t="shared" si="6"/>
        <v>0</v>
      </c>
      <c r="E21" s="51">
        <f t="shared" si="1"/>
        <v>0</v>
      </c>
      <c r="F21" s="2552"/>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0"/>
      <c r="D22" s="43">
        <f t="shared" si="6"/>
        <v>0</v>
      </c>
      <c r="E22" s="51">
        <f t="shared" si="1"/>
        <v>0</v>
      </c>
      <c r="F22" s="2553"/>
      <c r="G22" s="2554"/>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0"/>
      <c r="D23" s="43">
        <f>ROUND($D$3*E23/$E$3,2)</f>
        <v>0</v>
      </c>
      <c r="E23" s="51">
        <f>SUM(F23:G23)</f>
        <v>0</v>
      </c>
      <c r="F23" s="2553"/>
      <c r="G23" s="2554"/>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0"/>
      <c r="D24" s="43">
        <f>ROUND($D$3*E24/$E$3,2)</f>
        <v>0</v>
      </c>
      <c r="E24" s="51">
        <f>SUM(F24:G24)</f>
        <v>0</v>
      </c>
      <c r="F24" s="2553"/>
      <c r="G24" s="2554"/>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0"/>
      <c r="D25" s="43">
        <f t="shared" si="6"/>
        <v>0</v>
      </c>
      <c r="E25" s="51">
        <f t="shared" si="1"/>
        <v>0</v>
      </c>
      <c r="F25" s="2553"/>
      <c r="G25" s="2554"/>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0</v>
      </c>
      <c r="E27" s="1072">
        <f>IF(SUM(E19:E26)='数据-基础表'!BA5,SUM(E19:E26),IF(F27="地上面积有误","面积有误","地下面积有误"))</f>
        <v>141.37</v>
      </c>
      <c r="F27" s="1071">
        <f>IF(SUM(F19:F26)=E8,SUM(F19:F26),"地上面积有误")</f>
        <v>141.37</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141.37</v>
      </c>
    </row>
    <row r="28" spans="1:19">
      <c r="A28" s="1547"/>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7"/>
      <c r="B29" s="45" t="s">
        <v>1155</v>
      </c>
      <c r="C29" s="1553"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7"/>
      <c r="B30" s="45"/>
      <c r="C30" s="1554" t="s">
        <v>1154</v>
      </c>
      <c r="D30" s="1071">
        <f>SUM(D28:D29)</f>
        <v>0</v>
      </c>
      <c r="E30" s="1071">
        <f>SUM(E28:E29)</f>
        <v>0</v>
      </c>
      <c r="F30" s="1071">
        <f>SUM(F28:F29)</f>
        <v>0</v>
      </c>
      <c r="G30" s="1073">
        <f>SUM(G28:G29)</f>
        <v>0</v>
      </c>
      <c r="H30" s="2433"/>
      <c r="I30" s="2433"/>
      <c r="J30" s="2433"/>
      <c r="K30" s="2433"/>
      <c r="L30" s="2433"/>
      <c r="M30" s="2433"/>
      <c r="N30" s="2433"/>
      <c r="O30" s="2433"/>
      <c r="P30" s="2433"/>
    </row>
    <row r="31" spans="1:19" ht="15.75" thickBot="1">
      <c r="A31" s="1555"/>
      <c r="B31" s="96"/>
      <c r="C31" s="784" t="s">
        <v>1158</v>
      </c>
      <c r="D31" s="642">
        <f>D27+D30</f>
        <v>0</v>
      </c>
      <c r="E31" s="642">
        <f>E27+E30</f>
        <v>141.37</v>
      </c>
      <c r="F31" s="643">
        <f>F27+F30</f>
        <v>141.37</v>
      </c>
      <c r="G31" s="644">
        <f>G27+G30</f>
        <v>0</v>
      </c>
      <c r="H31" s="2433"/>
      <c r="I31" s="2433"/>
      <c r="J31" s="2433"/>
      <c r="K31" s="2433"/>
      <c r="L31" s="2433"/>
      <c r="M31" s="2433"/>
      <c r="N31" s="2433"/>
      <c r="O31" s="2433"/>
      <c r="P31" s="2433"/>
    </row>
    <row r="32" spans="1:19">
      <c r="A32" s="1524"/>
      <c r="B32" s="1524" t="s">
        <v>1159</v>
      </c>
      <c r="C32" s="1524"/>
      <c r="D32" s="1524"/>
      <c r="E32" s="989">
        <f>SUMIF(C19:C26,"*住宅*",E19:E26)</f>
        <v>141.37</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23" sqref="N23"/>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983">
        <f>项目基本情况!D3</f>
        <v>45583</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3388</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住宅</v>
      </c>
      <c r="B6" s="1585" t="str">
        <f>IF(A6=0,"","经营性")</f>
        <v>经营性</v>
      </c>
      <c r="C6" s="1586" t="s">
        <v>3375</v>
      </c>
      <c r="D6" s="804">
        <f>SUMIF(项目基本情况!C$12:I$12,C6,项目基本情况!C$14:I$14)</f>
        <v>70</v>
      </c>
      <c r="E6" s="803">
        <f>IF(B6="","",SUMIF(项目基本情况!C$12:I$12,C6,项目基本情况!C$13:I$13))</f>
        <v>71151</v>
      </c>
      <c r="F6" s="61">
        <f>SUMIF(项目基本情况!C$12:I$12,C6,项目基本情况!C$15:I$15)</f>
        <v>70</v>
      </c>
      <c r="G6" s="62">
        <f t="shared" ref="G6:G13" si="0">IF(ISERROR(ROUND(POWER(1+H6,D6-F6)*(POWER(1+H6,F6)-1)/(POWER(1+H6,D6)-1),3)),0,ROUND(POWER(1+H6,D6-F6)*(POWER(1+H6,F6)-1)/(POWER(1+H6,D6)-1),3))</f>
        <v>1</v>
      </c>
      <c r="H6" s="690">
        <v>3.5000000000000003E-2</v>
      </c>
      <c r="I6" s="690">
        <v>4.4999999999999998E-2</v>
      </c>
      <c r="J6" s="63">
        <v>0.06</v>
      </c>
      <c r="K6" s="969">
        <f>SUMIF('数据-汇总表'!C$19:C$33,A6,'数据-汇总表'!E$19:E$33)</f>
        <v>141.37</v>
      </c>
      <c r="L6" s="3183">
        <v>3500</v>
      </c>
      <c r="M6" s="64">
        <f t="shared" ref="M6:M14" si="1">ROUND(K6*L6/10000,0)</f>
        <v>49</v>
      </c>
      <c r="N6" s="3184">
        <v>0.8</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0">
        <v>7100</v>
      </c>
      <c r="V6" s="67">
        <v>0.03</v>
      </c>
      <c r="W6" s="67">
        <v>0.05</v>
      </c>
      <c r="X6" s="978"/>
      <c r="Y6" s="68">
        <f>N6</f>
        <v>0.8</v>
      </c>
      <c r="Z6" s="69"/>
      <c r="AA6" s="63"/>
      <c r="AB6" s="63"/>
      <c r="AC6" s="978"/>
      <c r="AD6" s="70"/>
      <c r="AE6" s="979">
        <f ca="1">IF(AN6="",0,SUMIF(INDIRECT("'"&amp;AN6&amp;"'"&amp;"!E:E"),$AE$5,INDIRECT("'"&amp;AN6&amp;"'"&amp;"!F:F")))</f>
        <v>70</v>
      </c>
      <c r="AF6" s="74"/>
      <c r="AG6" s="129">
        <f>IF(AF6="",0,AE6-AF6)</f>
        <v>0</v>
      </c>
      <c r="AH6" s="71">
        <v>1</v>
      </c>
      <c r="AI6" s="73">
        <v>12</v>
      </c>
      <c r="AJ6" s="74"/>
      <c r="AK6" s="75">
        <v>1.4999999999999999E-2</v>
      </c>
      <c r="AL6" s="76">
        <v>1E-3</v>
      </c>
      <c r="AM6" s="77">
        <v>0.01</v>
      </c>
      <c r="AN6" s="1587" t="s">
        <v>3394</v>
      </c>
      <c r="AO6" s="50">
        <f ca="1">SUMIF(INDIRECT("'"&amp;AN6&amp;"'"&amp;"!A:A"),"总价",INDIRECT("'"&amp;AN6&amp;"'"&amp;"!B:B"))</f>
        <v>279.56939999999997</v>
      </c>
      <c r="AP6" s="1588">
        <f>IF(C6="住宅",K6*L6,0)</f>
        <v>494795</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0"/>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1"/>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0"/>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0"/>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0"/>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0"/>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3"/>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3"/>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1</v>
      </c>
      <c r="H16" s="84">
        <f>ROUND(SUMPRODUCT(H6:H13,K6:K13)/SUMPRODUCT((H6:H13&gt;0)*(K6:K13)),3)</f>
        <v>3.5000000000000003E-2</v>
      </c>
      <c r="I16" s="85"/>
      <c r="J16" s="85"/>
      <c r="K16" s="86">
        <f>SUM(K6:K15)</f>
        <v>141.37</v>
      </c>
      <c r="L16" s="87">
        <f>ROUND(M16*10000/SUM(K6:K14),0)</f>
        <v>3466</v>
      </c>
      <c r="M16" s="87">
        <f>SUM(M6:M14)</f>
        <v>49</v>
      </c>
      <c r="N16" s="88">
        <f>ROUND(SUMPRODUCT(M6:M14,N6:N14)/M16,3)</f>
        <v>0.8</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2300</v>
      </c>
      <c r="D19" s="2446"/>
      <c r="E19" s="2433"/>
      <c r="F19" s="2433"/>
      <c r="G19" s="2433"/>
      <c r="H19" s="2433"/>
      <c r="I19" s="2433"/>
      <c r="J19" s="2433"/>
      <c r="K19" s="2444"/>
      <c r="L19" s="24"/>
      <c r="M19" s="3149">
        <v>2001</v>
      </c>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3180">
        <v>2</v>
      </c>
      <c r="C20" s="2556" t="s">
        <v>2298</v>
      </c>
      <c r="D20" s="2446"/>
      <c r="E20" s="2433"/>
      <c r="F20" s="2433"/>
      <c r="G20" s="2433"/>
      <c r="H20" s="2433"/>
      <c r="I20" s="2433"/>
      <c r="J20" s="2433"/>
      <c r="K20" s="2444"/>
      <c r="L20" s="2444"/>
      <c r="M20" s="3149">
        <f>2024-M19</f>
        <v>23</v>
      </c>
      <c r="N20" s="2443"/>
      <c r="O20" s="2443"/>
      <c r="P20" s="2443"/>
      <c r="Q20" s="2443"/>
      <c r="R20" s="2443"/>
      <c r="S20" s="2443"/>
      <c r="T20" s="2443"/>
      <c r="U20" s="2443"/>
      <c r="V20" s="2443"/>
      <c r="W20" s="2443"/>
      <c r="X20" s="2443"/>
      <c r="Y20" s="2443">
        <f>(60-(2021-2003))/60</f>
        <v>0.7</v>
      </c>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3180">
        <f>B20</f>
        <v>2</v>
      </c>
      <c r="C21" s="2433"/>
      <c r="D21" s="2446"/>
      <c r="E21" s="2433"/>
      <c r="F21" s="2433"/>
      <c r="G21" s="2433"/>
      <c r="H21" s="2433"/>
      <c r="I21" s="2433"/>
      <c r="J21" s="2433"/>
      <c r="K21" s="2444"/>
      <c r="L21" s="2444"/>
      <c r="M21" s="3150">
        <f>1-(M20)/60</f>
        <v>0.6166666666666667</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2</v>
      </c>
      <c r="C22" s="2433"/>
      <c r="D22" s="2446"/>
      <c r="E22" s="2433"/>
      <c r="F22" s="2433"/>
      <c r="G22" s="2433"/>
      <c r="H22" s="2433"/>
      <c r="I22" s="2433"/>
      <c r="J22" s="2433"/>
      <c r="K22" s="2444"/>
      <c r="L22" s="2444"/>
      <c r="M22" s="3151">
        <v>0.9</v>
      </c>
      <c r="N22" s="3139">
        <f>ROUND(M21*0.3+M22*0.7,3)</f>
        <v>0.81499999999999995</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2</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150</v>
      </c>
      <c r="C27" s="2557" t="s">
        <v>2302</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190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 ca="1">'成本法 (元)'!C9</f>
        <v>21206</v>
      </c>
      <c r="C29" s="2558" t="s">
        <v>2289</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0.03</v>
      </c>
      <c r="C33" s="2559" t="s">
        <v>2290</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0.05</v>
      </c>
      <c r="C34" s="2559" t="s">
        <v>2291</v>
      </c>
      <c r="D34" s="2454" t="s">
        <v>2299</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2292</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1.4999999999999999E-2</v>
      </c>
      <c r="C36" s="2559" t="s">
        <v>2293</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0.02</v>
      </c>
      <c r="C37" s="2559" t="s">
        <v>2294</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0.02</v>
      </c>
      <c r="C38" s="2559" t="s">
        <v>2294</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29.25" thickBot="1">
      <c r="A40" s="2567" t="s">
        <v>3389</v>
      </c>
      <c r="B40" s="1014">
        <f ca="1">IF(A40="利息：取LPR",存贷款利率!G1,存贷款利率!G1+C40)</f>
        <v>4.7500000000000001E-2</v>
      </c>
      <c r="C40" s="3181">
        <v>1.0999999999999999E-2</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5.5000000000000007E-2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5.000000000000001E-3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0.05</v>
      </c>
      <c r="C44" s="2559" t="s">
        <v>2303</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2295</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2296</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2295</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2297</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0</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c r="C53" s="2434" t="s">
        <v>1246</v>
      </c>
      <c r="D53" s="2560" t="s">
        <v>2301</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0" customWidth="1"/>
    <col min="19" max="29" width="9" style="750"/>
    <col min="30" max="16384" width="9" style="1520"/>
  </cols>
  <sheetData>
    <row r="1" spans="1:29" s="2254" customFormat="1" ht="18.75" thickBot="1">
      <c r="A1" s="3276" t="s">
        <v>2281</v>
      </c>
      <c r="B1" s="3277"/>
      <c r="C1" s="3277"/>
      <c r="D1" s="3277"/>
      <c r="E1" s="3277"/>
      <c r="F1" s="3277"/>
      <c r="G1" s="3277"/>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2277</v>
      </c>
      <c r="D2" s="1593"/>
      <c r="E2" s="2255"/>
      <c r="F2" s="2258"/>
      <c r="G2" s="2257" t="s">
        <v>2278</v>
      </c>
      <c r="H2" s="750"/>
      <c r="I2" s="750"/>
      <c r="J2" s="750"/>
      <c r="K2" s="750"/>
      <c r="L2" s="750"/>
      <c r="M2" s="750"/>
      <c r="N2" s="750"/>
      <c r="O2" s="750"/>
      <c r="P2" s="750"/>
      <c r="Q2" s="750"/>
    </row>
    <row r="3" spans="1:29" ht="36">
      <c r="A3" s="2242" t="s">
        <v>2279</v>
      </c>
      <c r="B3" s="2259" t="s">
        <v>2249</v>
      </c>
      <c r="C3" s="3154" t="s">
        <v>3478</v>
      </c>
      <c r="D3" s="2260"/>
      <c r="E3" s="2243" t="s">
        <v>2279</v>
      </c>
      <c r="F3" s="2261" t="s">
        <v>2250</v>
      </c>
      <c r="G3" s="2262" t="s">
        <v>2280</v>
      </c>
      <c r="H3" s="750"/>
      <c r="I3" s="750"/>
      <c r="J3" s="750"/>
      <c r="K3" s="750"/>
      <c r="L3" s="750"/>
      <c r="M3" s="750"/>
      <c r="N3" s="750"/>
      <c r="O3" s="750"/>
      <c r="P3" s="750"/>
      <c r="Q3" s="750"/>
    </row>
    <row r="4" spans="1:29" ht="36.75">
      <c r="A4" s="2243"/>
      <c r="B4" s="314" t="s">
        <v>2251</v>
      </c>
      <c r="C4" s="2263" t="s">
        <v>2252</v>
      </c>
      <c r="D4" s="2260"/>
      <c r="E4" s="2264"/>
      <c r="F4" s="1279" t="s">
        <v>2253</v>
      </c>
      <c r="G4" s="2265" t="s">
        <v>2254</v>
      </c>
      <c r="H4" s="750"/>
      <c r="I4" s="750"/>
      <c r="J4" s="750"/>
      <c r="K4" s="750"/>
      <c r="L4" s="750"/>
      <c r="M4" s="750"/>
      <c r="N4" s="750"/>
      <c r="O4" s="750"/>
      <c r="P4" s="750"/>
      <c r="Q4" s="750"/>
    </row>
    <row r="5" spans="1:29" ht="36.75">
      <c r="A5" s="2243"/>
      <c r="B5" s="314" t="s">
        <v>2255</v>
      </c>
      <c r="C5" s="2263" t="s">
        <v>2256</v>
      </c>
      <c r="D5" s="2260"/>
      <c r="E5" s="2264"/>
      <c r="F5" s="314" t="s">
        <v>2257</v>
      </c>
      <c r="G5" s="2265" t="s">
        <v>2258</v>
      </c>
      <c r="H5" s="750"/>
      <c r="I5" s="750"/>
      <c r="J5" s="750"/>
      <c r="K5" s="750"/>
      <c r="L5" s="750"/>
      <c r="M5" s="750"/>
      <c r="N5" s="750"/>
      <c r="O5" s="750"/>
      <c r="P5" s="750"/>
      <c r="Q5" s="750"/>
    </row>
    <row r="6" spans="1:29" ht="48">
      <c r="A6" s="2243"/>
      <c r="B6" s="314" t="s">
        <v>2259</v>
      </c>
      <c r="C6" s="3155" t="s">
        <v>3476</v>
      </c>
      <c r="D6" s="2260"/>
      <c r="E6" s="2264"/>
      <c r="F6" s="314" t="s">
        <v>2260</v>
      </c>
      <c r="G6" s="2265" t="s">
        <v>2261</v>
      </c>
      <c r="H6" s="750"/>
      <c r="I6" s="750"/>
      <c r="J6" s="750"/>
      <c r="K6" s="750"/>
      <c r="L6" s="750"/>
      <c r="M6" s="750"/>
      <c r="N6" s="750"/>
      <c r="O6" s="750"/>
      <c r="P6" s="750"/>
      <c r="Q6" s="750"/>
    </row>
    <row r="7" spans="1:29" ht="156.75" thickBot="1">
      <c r="A7" s="2243"/>
      <c r="B7" s="314" t="s">
        <v>2257</v>
      </c>
      <c r="C7" s="3155" t="s">
        <v>3479</v>
      </c>
      <c r="D7" s="2240"/>
      <c r="E7" s="2266"/>
      <c r="F7" s="2267" t="s">
        <v>2262</v>
      </c>
      <c r="G7" s="2268" t="s">
        <v>2263</v>
      </c>
      <c r="H7" s="750"/>
      <c r="I7" s="750"/>
      <c r="J7" s="750"/>
      <c r="K7" s="750"/>
      <c r="L7" s="750"/>
      <c r="M7" s="750"/>
      <c r="N7" s="750"/>
      <c r="O7" s="750"/>
      <c r="P7" s="750"/>
      <c r="Q7" s="750"/>
    </row>
    <row r="8" spans="1:29">
      <c r="A8" s="2243"/>
      <c r="B8" s="314" t="s">
        <v>2260</v>
      </c>
      <c r="C8" s="3155" t="s">
        <v>3449</v>
      </c>
      <c r="D8" s="2240"/>
      <c r="E8" s="2240"/>
      <c r="F8" s="120"/>
      <c r="G8" s="120"/>
      <c r="H8" s="750"/>
      <c r="I8" s="750"/>
      <c r="J8" s="750"/>
      <c r="K8" s="750"/>
      <c r="L8" s="750"/>
      <c r="M8" s="750"/>
      <c r="N8" s="750"/>
      <c r="O8" s="750"/>
      <c r="P8" s="750"/>
      <c r="Q8" s="750"/>
    </row>
    <row r="9" spans="1:29" ht="60">
      <c r="A9" s="2243"/>
      <c r="B9" s="314" t="s">
        <v>2264</v>
      </c>
      <c r="C9" s="3158" t="s">
        <v>3477</v>
      </c>
      <c r="D9" s="2260"/>
      <c r="E9" s="2240"/>
      <c r="F9" s="120"/>
      <c r="G9" s="120"/>
      <c r="H9" s="750"/>
      <c r="I9" s="750"/>
      <c r="J9" s="750"/>
      <c r="K9" s="750"/>
      <c r="L9" s="750"/>
      <c r="M9" s="750"/>
      <c r="N9" s="750"/>
      <c r="O9" s="750"/>
      <c r="P9" s="750"/>
      <c r="Q9" s="750"/>
    </row>
    <row r="10" spans="1:29" ht="15" thickBot="1">
      <c r="A10" s="2244"/>
      <c r="B10" s="2269" t="s">
        <v>2265</v>
      </c>
      <c r="C10" s="2270"/>
      <c r="D10" s="2260"/>
      <c r="E10" s="2260"/>
      <c r="F10" s="120"/>
      <c r="G10" s="120"/>
      <c r="J10" s="2272"/>
      <c r="M10" s="2272"/>
      <c r="P10" s="2272"/>
      <c r="R10" s="2271"/>
    </row>
    <row r="11" spans="1:29">
      <c r="A11" s="2273"/>
      <c r="B11" s="2240"/>
      <c r="C11" s="2260"/>
      <c r="D11" s="2260"/>
      <c r="E11" s="2260"/>
      <c r="F11" s="2240"/>
      <c r="G11" s="2240"/>
      <c r="J11" s="2272"/>
      <c r="M11" s="2272"/>
      <c r="P11" s="2272"/>
      <c r="R11" s="2271"/>
    </row>
    <row r="12" spans="1:29" s="2254" customFormat="1" ht="18">
      <c r="A12" s="2273"/>
      <c r="B12" s="2240"/>
      <c r="C12" s="2260"/>
      <c r="D12" s="2274"/>
      <c r="E12" s="2260"/>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2282</v>
      </c>
      <c r="B13" s="2274"/>
      <c r="C13" s="2274"/>
      <c r="D13" s="2273"/>
      <c r="E13" s="2274"/>
      <c r="F13" s="2274"/>
      <c r="G13" s="2274"/>
    </row>
    <row r="14" spans="1:29" ht="15" thickBot="1">
      <c r="A14" s="2279"/>
      <c r="B14" s="2279"/>
      <c r="C14" s="2280" t="s">
        <v>2266</v>
      </c>
      <c r="D14" s="2260"/>
      <c r="E14" s="2281"/>
      <c r="F14" s="2281"/>
      <c r="G14" s="2257" t="s">
        <v>2267</v>
      </c>
    </row>
    <row r="15" spans="1:29" ht="38.25">
      <c r="A15" s="2245" t="s">
        <v>2268</v>
      </c>
      <c r="B15" s="2282" t="s">
        <v>2249</v>
      </c>
      <c r="C15" s="2283" t="str">
        <f>C3</f>
        <v>周边有天通东苑一区、天通东苑三区、天通苑六区等住宅小区，居住社区成熟度较好。</v>
      </c>
      <c r="D15" s="2260"/>
      <c r="E15" s="2246" t="s">
        <v>2269</v>
      </c>
      <c r="F15" s="2282" t="s">
        <v>2270</v>
      </c>
      <c r="G15" s="2284" t="str">
        <f>G3</f>
        <v>估价对象位于XX开发区，园区建设成熟度XX，产业集聚程度XX</v>
      </c>
    </row>
    <row r="16" spans="1:29" ht="38.25">
      <c r="A16" s="2247"/>
      <c r="B16" s="2285" t="s">
        <v>2251</v>
      </c>
      <c r="C16" s="2286" t="str">
        <f>C4</f>
        <v>估价对象位于XX商圈，周边商业氛围成熟，人流量大，商业繁华度好</v>
      </c>
      <c r="D16" s="2260"/>
      <c r="E16" s="2248"/>
      <c r="F16" s="2287" t="s">
        <v>2253</v>
      </c>
      <c r="G16" s="2288" t="str">
        <f>G4</f>
        <v>估价对象周边道路状况、公共交通通达情况、停车便捷程度，综合评价交通便捷度较好</v>
      </c>
    </row>
    <row r="17" spans="1:17" ht="38.25">
      <c r="A17" s="2247"/>
      <c r="B17" s="2285" t="s">
        <v>2255</v>
      </c>
      <c r="C17" s="2286" t="str">
        <f>C5</f>
        <v>估价对象位于XX商圈，周边办公楼项目较多，入驻率高，办公集聚程度较好</v>
      </c>
      <c r="D17" s="2240"/>
      <c r="E17" s="2248"/>
      <c r="F17" s="2287" t="s">
        <v>2271</v>
      </c>
      <c r="G17" s="2289"/>
    </row>
    <row r="18" spans="1:17" ht="51">
      <c r="A18" s="2247"/>
      <c r="B18" s="2287" t="s">
        <v>2259</v>
      </c>
      <c r="C18" s="2288" t="str">
        <f>C6</f>
        <v>周边有301路、432路、530路、620路等多条公交线路及地铁17号线天通苑东站，综合评价交通便捷度较好</v>
      </c>
      <c r="D18" s="2240"/>
      <c r="E18" s="2248"/>
      <c r="F18" s="2287" t="s">
        <v>2262</v>
      </c>
      <c r="G18" s="2288" t="str">
        <f>G7</f>
        <v>该园区内是否有污染型企业，绿化情况，卫生条件，整体环境状况判断</v>
      </c>
    </row>
    <row r="19" spans="1:17" ht="25.5">
      <c r="A19" s="2247"/>
      <c r="B19" s="2287" t="s">
        <v>2272</v>
      </c>
      <c r="C19" s="2289"/>
      <c r="D19" s="2260"/>
      <c r="E19" s="2248"/>
      <c r="F19" s="314" t="s">
        <v>2257</v>
      </c>
      <c r="G19" s="2288" t="str">
        <f>G5</f>
        <v>估价对象所在区域公共配套设施齐备情况</v>
      </c>
    </row>
    <row r="20" spans="1:17" ht="63.75">
      <c r="A20" s="2247"/>
      <c r="B20" s="2287" t="s">
        <v>2273</v>
      </c>
      <c r="C20" s="2286" t="str">
        <f>C9</f>
        <v>自然环境：清河营郊野公园、清河水系等自然景观；
人文环境：天通苑体育馆、天通苑文化艺术中心等人文场所；
综合评价环境状况较好。</v>
      </c>
      <c r="D20" s="2240"/>
      <c r="E20" s="2248"/>
      <c r="F20" s="314" t="s">
        <v>2260</v>
      </c>
      <c r="G20" s="2288" t="str">
        <f>G6</f>
        <v>估价对象所在区域基础设施水平</v>
      </c>
    </row>
    <row r="21" spans="1:17" ht="165.75">
      <c r="A21" s="2247"/>
      <c r="B21" s="314" t="s">
        <v>2257</v>
      </c>
      <c r="C21" s="2288" t="str">
        <f>C7</f>
        <v>银行：中国农业银行、中国建设银行、中国邮政储蓄银行等金融机构；
医院：天通苑中医医院、天通苑东二区社区卫生服务站等医疗机构；
学校：北京市朝阳外国语学校(高中部)、天通苑小学、昌平区育树家幼儿园等教育机构；
商业：国泰百货(天通苑店)、龙德广场等商业设施；
综合评价公共服务设施齐备度较好。</v>
      </c>
      <c r="D21" s="2260"/>
      <c r="E21" s="2248"/>
      <c r="F21" s="2287" t="s">
        <v>2274</v>
      </c>
      <c r="G21" s="2290"/>
    </row>
    <row r="22" spans="1:17" ht="13.5" customHeight="1">
      <c r="A22" s="2247"/>
      <c r="B22" s="314" t="s">
        <v>2260</v>
      </c>
      <c r="C22" s="2288" t="str">
        <f>C8</f>
        <v>估价对象所在区域基础设施水平</v>
      </c>
      <c r="D22" s="2260"/>
      <c r="E22" s="2248"/>
      <c r="F22" s="2287" t="s">
        <v>2265</v>
      </c>
      <c r="G22" s="2289"/>
    </row>
    <row r="23" spans="1:17" s="750" customFormat="1" ht="15" thickBot="1">
      <c r="A23" s="2247"/>
      <c r="B23" s="2287" t="s">
        <v>2274</v>
      </c>
      <c r="C23" s="2290"/>
      <c r="D23" s="1612"/>
      <c r="E23" s="2249"/>
      <c r="F23" s="2291" t="s">
        <v>2275</v>
      </c>
      <c r="G23" s="2292"/>
      <c r="H23" s="2271"/>
      <c r="I23" s="2271"/>
      <c r="J23" s="2271"/>
      <c r="K23" s="2271"/>
      <c r="L23" s="2271"/>
      <c r="M23" s="2271"/>
      <c r="N23" s="2271"/>
      <c r="O23" s="2271"/>
      <c r="P23" s="2271"/>
      <c r="Q23" s="2271"/>
    </row>
    <row r="24" spans="1:17" s="750" customFormat="1" ht="15" thickBot="1">
      <c r="A24" s="2250"/>
      <c r="B24" s="2291" t="s">
        <v>2276</v>
      </c>
      <c r="C24" s="2293">
        <f>C10</f>
        <v>0</v>
      </c>
      <c r="D24" s="1612"/>
      <c r="E24" s="2240"/>
      <c r="F24" s="2240"/>
      <c r="G24" s="2240"/>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141.37</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45583</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 ca="1">SUM(D14:D23)</f>
        <v>428.2097</v>
      </c>
      <c r="C5" s="2294" t="e">
        <f ca="1">IF(B5=D14,结果表!H102,ROUND(B5*10000/$B$1,0))</f>
        <v>#N/A</v>
      </c>
      <c r="D5" s="2294" t="e">
        <f ca="1">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2"/>
      <c r="C9" s="2456"/>
      <c r="D9" s="2456"/>
      <c r="E9" s="2456"/>
      <c r="F9" s="2457"/>
      <c r="G9" s="2457"/>
      <c r="H9" s="2457"/>
      <c r="I9" s="2457"/>
      <c r="J9" s="2457"/>
      <c r="K9" s="2457"/>
    </row>
    <row r="10" spans="1:11" ht="16.5">
      <c r="A10" s="2294" t="s">
        <v>654</v>
      </c>
      <c r="B10" s="2294">
        <f>IF(E10="",0,ROUND(B1*(E10*365/G10)/10000,0))</f>
        <v>0</v>
      </c>
      <c r="C10" s="2294" t="s">
        <v>3356</v>
      </c>
      <c r="D10" s="2294" t="s">
        <v>3357</v>
      </c>
      <c r="E10" s="3130"/>
      <c r="F10" s="3134" t="s">
        <v>3358</v>
      </c>
      <c r="G10" s="3131"/>
      <c r="H10" s="2457"/>
      <c r="I10" s="2457"/>
      <c r="J10" s="2457"/>
      <c r="K10" s="2457"/>
    </row>
    <row r="11" spans="1:11" ht="16.5">
      <c r="A11" s="2294"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'数据-汇总表'!F19</f>
        <v>141.37</v>
      </c>
      <c r="C14" s="2300"/>
      <c r="D14" s="2300">
        <f ca="1">ROUND(E14*B14/10000,4)</f>
        <v>428.2097</v>
      </c>
      <c r="E14" s="2300">
        <f ca="1">结果表!G20</f>
        <v>30290</v>
      </c>
      <c r="F14" s="2300" t="e">
        <f ca="1">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2"/>
      <c r="H15" s="1242"/>
      <c r="I15" s="2301"/>
      <c r="J15" s="2457"/>
      <c r="K15" s="2457"/>
    </row>
    <row r="16" spans="1:11" ht="16.5">
      <c r="A16" s="2299" t="s">
        <v>648</v>
      </c>
      <c r="B16" s="2301"/>
      <c r="C16" s="2301"/>
      <c r="D16" s="2301"/>
      <c r="E16" s="2300" t="e">
        <f t="shared" si="0"/>
        <v>#DIV/0!</v>
      </c>
      <c r="F16" s="2300" t="e">
        <f t="shared" si="1"/>
        <v>#DIV/0!</v>
      </c>
      <c r="G16" s="1242"/>
      <c r="H16" s="1242"/>
      <c r="I16" s="2301"/>
      <c r="J16" s="2457"/>
      <c r="K16" s="2457"/>
    </row>
    <row r="17" spans="1:11" ht="16.5">
      <c r="A17" s="2299" t="s">
        <v>647</v>
      </c>
      <c r="B17" s="2301"/>
      <c r="C17" s="2301"/>
      <c r="D17" s="2301"/>
      <c r="E17" s="2300" t="e">
        <f t="shared" si="0"/>
        <v>#DIV/0!</v>
      </c>
      <c r="F17" s="2300" t="e">
        <f t="shared" si="1"/>
        <v>#DIV/0!</v>
      </c>
      <c r="G17" s="1242"/>
      <c r="H17" s="1242"/>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2" t="e">
        <f t="shared" si="0"/>
        <v>#DIV/0!</v>
      </c>
      <c r="F23" s="1242"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I22" sqref="I22"/>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45" t="str">
        <f>项目基本情况!S2</f>
        <v>北京市房地产</v>
      </c>
      <c r="B2" s="3346"/>
      <c r="C2" s="3346"/>
      <c r="D2" s="3346"/>
      <c r="E2" s="3346"/>
      <c r="F2" s="3346"/>
      <c r="G2" s="3346"/>
      <c r="H2" s="3346"/>
      <c r="I2" s="3347"/>
    </row>
    <row r="3" spans="1:12" ht="12.75">
      <c r="A3" s="3349" t="s">
        <v>1264</v>
      </c>
      <c r="B3" s="3350"/>
      <c r="C3" s="3350"/>
      <c r="D3" s="3350"/>
      <c r="E3" s="3350"/>
      <c r="F3" s="3350"/>
      <c r="G3" s="3350"/>
      <c r="H3" s="3350"/>
      <c r="I3" s="3350"/>
    </row>
    <row r="4" spans="1:12" ht="14.25">
      <c r="A4" s="1622" t="s">
        <v>1265</v>
      </c>
      <c r="B4" s="1623" t="s">
        <v>1266</v>
      </c>
      <c r="C4" s="1624" t="s">
        <v>3394</v>
      </c>
      <c r="D4" s="1624" t="s">
        <v>3399</v>
      </c>
      <c r="E4" s="3354" t="s">
        <v>1267</v>
      </c>
      <c r="F4" s="3355"/>
      <c r="G4" s="3355"/>
      <c r="H4" s="3355"/>
      <c r="I4" s="3356"/>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293" t="s">
        <v>1268</v>
      </c>
      <c r="B5" s="3348">
        <v>25</v>
      </c>
      <c r="C5" s="3351"/>
      <c r="D5" s="3339"/>
      <c r="E5" s="122" t="s">
        <v>1269</v>
      </c>
      <c r="F5" s="1625"/>
      <c r="G5" s="1625"/>
      <c r="H5" s="1625"/>
      <c r="I5" s="1279"/>
    </row>
    <row r="6" spans="1:12" ht="12.75">
      <c r="A6" s="3293"/>
      <c r="B6" s="3348"/>
      <c r="C6" s="3353"/>
      <c r="D6" s="3339"/>
      <c r="E6" s="122" t="s">
        <v>1270</v>
      </c>
      <c r="F6" s="1625"/>
      <c r="G6" s="1625"/>
      <c r="H6" s="1625"/>
      <c r="I6" s="1279"/>
    </row>
    <row r="7" spans="1:12" ht="12.75">
      <c r="A7" s="3293"/>
      <c r="B7" s="3348"/>
      <c r="C7" s="3352"/>
      <c r="D7" s="3339"/>
      <c r="E7" s="122" t="s">
        <v>1271</v>
      </c>
      <c r="F7" s="1625"/>
      <c r="G7" s="1625"/>
      <c r="H7" s="1625"/>
      <c r="I7" s="1279"/>
    </row>
    <row r="8" spans="1:12" ht="12.75">
      <c r="A8" s="3293" t="s">
        <v>1272</v>
      </c>
      <c r="B8" s="3348">
        <v>15</v>
      </c>
      <c r="C8" s="3351"/>
      <c r="D8" s="3339"/>
      <c r="E8" s="122" t="s">
        <v>1273</v>
      </c>
      <c r="F8" s="1625"/>
      <c r="G8" s="1625"/>
      <c r="H8" s="1625"/>
      <c r="I8" s="1279"/>
    </row>
    <row r="9" spans="1:12" ht="12.75">
      <c r="A9" s="3293"/>
      <c r="B9" s="3348"/>
      <c r="C9" s="3352"/>
      <c r="D9" s="3339"/>
      <c r="E9" s="122" t="s">
        <v>1274</v>
      </c>
      <c r="F9" s="1625"/>
      <c r="G9" s="1625"/>
      <c r="H9" s="1625"/>
      <c r="I9" s="1279"/>
    </row>
    <row r="10" spans="1:12" ht="12.75">
      <c r="A10" s="3293" t="s">
        <v>1275</v>
      </c>
      <c r="B10" s="3348">
        <v>15</v>
      </c>
      <c r="C10" s="3351"/>
      <c r="D10" s="3339"/>
      <c r="E10" s="122" t="s">
        <v>1276</v>
      </c>
      <c r="F10" s="1625"/>
      <c r="G10" s="1625"/>
      <c r="H10" s="1625"/>
      <c r="I10" s="1279"/>
    </row>
    <row r="11" spans="1:12" ht="12.75">
      <c r="A11" s="3293"/>
      <c r="B11" s="3348"/>
      <c r="C11" s="3352"/>
      <c r="D11" s="3339"/>
      <c r="E11" s="122" t="s">
        <v>1277</v>
      </c>
      <c r="F11" s="1625"/>
      <c r="G11" s="1625"/>
      <c r="H11" s="1625"/>
      <c r="I11" s="1279"/>
    </row>
    <row r="12" spans="1:12" ht="12.75">
      <c r="A12" s="3293" t="s">
        <v>1278</v>
      </c>
      <c r="B12" s="3348">
        <v>15</v>
      </c>
      <c r="C12" s="3351"/>
      <c r="D12" s="3339"/>
      <c r="E12" s="122" t="s">
        <v>1279</v>
      </c>
      <c r="F12" s="1625"/>
      <c r="G12" s="1625"/>
      <c r="H12" s="1625"/>
      <c r="I12" s="1279"/>
    </row>
    <row r="13" spans="1:12" ht="12.75">
      <c r="A13" s="3293"/>
      <c r="B13" s="3348"/>
      <c r="C13" s="3352"/>
      <c r="D13" s="3339"/>
      <c r="E13" s="122" t="s">
        <v>1280</v>
      </c>
      <c r="F13" s="1625"/>
      <c r="G13" s="1625"/>
      <c r="H13" s="1625"/>
      <c r="I13" s="1279"/>
    </row>
    <row r="14" spans="1:12" ht="12.75">
      <c r="A14" s="3293" t="s">
        <v>1281</v>
      </c>
      <c r="B14" s="3348">
        <v>30</v>
      </c>
      <c r="C14" s="3351">
        <v>2</v>
      </c>
      <c r="D14" s="3339">
        <f>10-C14</f>
        <v>8</v>
      </c>
      <c r="E14" s="122" t="s">
        <v>1282</v>
      </c>
      <c r="F14" s="1625"/>
      <c r="G14" s="1625"/>
      <c r="H14" s="1625"/>
      <c r="I14" s="1279"/>
    </row>
    <row r="15" spans="1:12" ht="12.75">
      <c r="A15" s="3293"/>
      <c r="B15" s="3348"/>
      <c r="C15" s="3353"/>
      <c r="D15" s="3339"/>
      <c r="E15" s="122" t="s">
        <v>1283</v>
      </c>
      <c r="F15" s="1625"/>
      <c r="G15" s="1625"/>
      <c r="H15" s="1625"/>
      <c r="I15" s="1279"/>
    </row>
    <row r="16" spans="1:12" ht="12.75">
      <c r="A16" s="3293"/>
      <c r="B16" s="3348"/>
      <c r="C16" s="3352"/>
      <c r="D16" s="3339"/>
      <c r="E16" s="122" t="s">
        <v>1284</v>
      </c>
      <c r="F16" s="1625"/>
      <c r="G16" s="1625"/>
      <c r="H16" s="1625"/>
      <c r="I16" s="1279"/>
    </row>
    <row r="17" spans="1:36" ht="15">
      <c r="A17" s="1626" t="s">
        <v>1285</v>
      </c>
      <c r="B17" s="54"/>
      <c r="C17" s="123">
        <f>SUM(C5:C16)</f>
        <v>2</v>
      </c>
      <c r="D17" s="123">
        <f>SUM(D5:D16)</f>
        <v>8</v>
      </c>
      <c r="E17" s="120"/>
      <c r="F17" s="120"/>
      <c r="G17" s="120"/>
      <c r="H17" s="120"/>
      <c r="I17" s="120"/>
      <c r="K17" s="293"/>
      <c r="L17" s="293" t="s">
        <v>1286</v>
      </c>
      <c r="M17" s="293" t="s">
        <v>1287</v>
      </c>
    </row>
    <row r="18" spans="1:36" ht="31.9" customHeight="1" thickBot="1">
      <c r="A18" s="1627" t="s">
        <v>1288</v>
      </c>
      <c r="B18" s="1540"/>
      <c r="C18" s="124">
        <f>ROUND(C17/SUM(C17:D17),2)</f>
        <v>0.2</v>
      </c>
      <c r="D18" s="124">
        <f>1-C18</f>
        <v>0.8</v>
      </c>
      <c r="E18" s="3370" t="s">
        <v>2128</v>
      </c>
      <c r="F18" s="3371"/>
      <c r="G18" s="3371"/>
      <c r="H18" s="3371"/>
      <c r="I18" s="3371"/>
      <c r="K18" s="293" t="s">
        <v>1289</v>
      </c>
      <c r="L18" s="293">
        <f>IF(C1="",'数据-汇总表'!E3,SUMIF(项目类型,C1,'数据-汇总表'!E17:E26)+SUMIF(项目类型,C1,'数据-汇总表'!I17:I26))</f>
        <v>141.37</v>
      </c>
      <c r="M18" s="293">
        <f>IF(C1="",'数据-汇总表'!E3,SUMIF(项目类型,C1,'数据-汇总表'!E17:E26))</f>
        <v>141.37</v>
      </c>
    </row>
    <row r="19" spans="1:36" ht="15">
      <c r="A19" s="1628" t="s">
        <v>1290</v>
      </c>
      <c r="B19" s="1629" t="s">
        <v>1291</v>
      </c>
      <c r="C19" s="125">
        <f ca="1">SUMIF(INDIRECT("'"&amp;C4&amp;"'"&amp;"!A:A"),结果表!B19,INDIRECT("'"&amp;C4&amp;"'"&amp;"!B:B"))</f>
        <v>279.56939999999997</v>
      </c>
      <c r="D19" s="126">
        <f ca="1">SUMIF(INDIRECT("'"&amp;D4&amp;"'"&amp;"!A:A"),结果表!B19,INDIRECT("'"&amp;D4&amp;"'"&amp;"!B:B"))</f>
        <v>465.36180000000002</v>
      </c>
      <c r="E19" s="1628" t="s">
        <v>1292</v>
      </c>
      <c r="F19" s="1629" t="s">
        <v>1291</v>
      </c>
      <c r="G19" s="3162">
        <f ca="1">ROUND((G20*'数据-基础表'!I13)/10000,4)</f>
        <v>428.2097</v>
      </c>
      <c r="H19" s="1630"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19776</v>
      </c>
      <c r="D20" s="129">
        <f ca="1">SUMIF(INDIRECT("'"&amp;D4&amp;"'"&amp;"!A:A"),结果表!B20,INDIRECT("'"&amp;D4&amp;"'"&amp;"!B:B"))</f>
        <v>32918</v>
      </c>
      <c r="E20" s="1631"/>
      <c r="F20" s="43" t="s">
        <v>1295</v>
      </c>
      <c r="G20" s="130">
        <f ca="1">ROUND(C20*$C$18+D20*$D$18,0)</f>
        <v>30290</v>
      </c>
      <c r="H20" s="759" t="s">
        <v>1296</v>
      </c>
      <c r="I20" s="120">
        <f ca="1">G19/J20</f>
        <v>0.99583651162790698</v>
      </c>
      <c r="J20" s="683">
        <v>430</v>
      </c>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f ca="1">G19/J21</f>
        <v>0.9515771111111111</v>
      </c>
      <c r="J21" s="683">
        <v>450</v>
      </c>
    </row>
    <row r="22" spans="1:36" ht="15" thickBot="1">
      <c r="A22" s="1562" t="s">
        <v>1298</v>
      </c>
      <c r="B22" s="1633"/>
      <c r="C22" s="1634"/>
      <c r="D22" s="679">
        <f ca="1">IF(C19&lt;D19,D19/C19-1,C19/D19-1)</f>
        <v>0.66456629373600995</v>
      </c>
      <c r="E22" s="120"/>
      <c r="F22" s="120"/>
      <c r="G22" s="120"/>
      <c r="H22" s="120"/>
      <c r="I22" s="120"/>
    </row>
    <row r="23" spans="1:36" ht="13.5" thickBot="1">
      <c r="A23" s="645"/>
      <c r="B23" s="645"/>
      <c r="C23" s="645"/>
      <c r="D23" s="645"/>
      <c r="E23" s="120"/>
      <c r="F23" s="120"/>
      <c r="G23" s="120"/>
      <c r="H23" s="120"/>
      <c r="I23" s="120"/>
    </row>
    <row r="24" spans="1:36" ht="14.25">
      <c r="A24" s="3363" t="s">
        <v>1299</v>
      </c>
      <c r="B24" s="1629" t="s">
        <v>1291</v>
      </c>
      <c r="C24" s="127">
        <f>IF(B30=0,0,D30)</f>
        <v>0</v>
      </c>
      <c r="D24" s="1635"/>
      <c r="E24" s="120"/>
      <c r="F24" s="120"/>
      <c r="G24" s="120">
        <f ca="1">系统读取表!D14</f>
        <v>428.2097</v>
      </c>
      <c r="H24" s="120"/>
      <c r="I24" s="120"/>
    </row>
    <row r="25" spans="1:36" ht="14.25">
      <c r="A25" s="3364"/>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3164" t="s">
        <v>3444</v>
      </c>
      <c r="B27" s="133">
        <f>'数据-基础表'!I13</f>
        <v>141.37</v>
      </c>
      <c r="C27" s="133"/>
      <c r="D27" s="134">
        <f ca="1">ROUND(G19*10000*10%,0)</f>
        <v>428210</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f ca="1">ROUND(D30*10000/B27,0)</f>
        <v>27261</v>
      </c>
      <c r="D30" s="3165">
        <f ca="1">ROUND((G19*10000-D27)/10000,4)</f>
        <v>385.38869999999997</v>
      </c>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1305</v>
      </c>
      <c r="B32" s="1533"/>
      <c r="C32" s="135">
        <f ca="1">IF(D32="总价",G19-C24,G20-C25)</f>
        <v>30290</v>
      </c>
      <c r="D32" s="1639"/>
      <c r="E32" s="120"/>
      <c r="F32" s="120"/>
      <c r="G32" s="120"/>
      <c r="H32" s="120"/>
      <c r="I32" s="120"/>
    </row>
    <row r="33" spans="1:15" ht="15">
      <c r="A33" s="739" t="s">
        <v>1306</v>
      </c>
      <c r="B33" s="122"/>
      <c r="C33" s="1640"/>
      <c r="D33" s="1641"/>
      <c r="E33" s="1642" t="s">
        <v>1307</v>
      </c>
      <c r="F33" s="1643" t="str">
        <f>IF(D32="楼面单价","取值（单价）","取值（总价）")</f>
        <v>取值（总价）</v>
      </c>
      <c r="G33" s="120"/>
      <c r="H33" s="120"/>
      <c r="I33" s="120"/>
    </row>
    <row r="34" spans="1:15" ht="15">
      <c r="A34" s="1644"/>
      <c r="B34" s="1645"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0"/>
      <c r="H34" s="120"/>
      <c r="I34" s="120"/>
    </row>
    <row r="35" spans="1:15" ht="15.75" thickBot="1">
      <c r="A35" s="1647"/>
      <c r="B35" s="1648"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1311</v>
      </c>
      <c r="F35" s="145"/>
      <c r="G35" s="120"/>
      <c r="H35" s="120"/>
      <c r="I35" s="120"/>
    </row>
    <row r="36" spans="1:15" ht="15.75" thickBot="1">
      <c r="A36" s="3340" t="s">
        <v>1312</v>
      </c>
      <c r="B36" s="1650" t="s">
        <v>1313</v>
      </c>
      <c r="C36" s="136"/>
      <c r="D36" s="1651"/>
      <c r="E36" s="1565"/>
      <c r="F36" s="1652"/>
      <c r="G36" s="120"/>
      <c r="H36" s="120"/>
      <c r="I36" s="120"/>
    </row>
    <row r="37" spans="1:15" ht="15.75" thickBot="1">
      <c r="A37" s="3341"/>
      <c r="B37" s="1553" t="s">
        <v>1314</v>
      </c>
      <c r="C37" s="138"/>
      <c r="D37" s="1070"/>
      <c r="E37" s="1070"/>
      <c r="F37" s="1652"/>
      <c r="G37" s="120"/>
      <c r="H37" s="120"/>
      <c r="I37" s="120"/>
    </row>
    <row r="38" spans="1:15" ht="15.75" thickBot="1">
      <c r="A38" s="3342"/>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360" t="s">
        <v>1326</v>
      </c>
      <c r="B45" s="3361"/>
      <c r="C45" s="3362"/>
      <c r="D45" s="146" t="e">
        <f ca="1">ROUND(H101*F45,0)</f>
        <v>#REF!</v>
      </c>
      <c r="E45" s="147" t="s">
        <v>1327</v>
      </c>
      <c r="F45" s="148">
        <v>1</v>
      </c>
      <c r="G45" s="149" t="s">
        <v>1328</v>
      </c>
      <c r="H45" s="120"/>
      <c r="I45" s="120"/>
      <c r="J45" s="3280" t="s">
        <v>1329</v>
      </c>
      <c r="K45" s="3280"/>
      <c r="L45" s="3280"/>
      <c r="M45" s="3280"/>
      <c r="N45" s="3280"/>
      <c r="O45" s="3280"/>
    </row>
    <row r="46" spans="1:15" ht="14.25" customHeight="1">
      <c r="A46" s="3357" t="s">
        <v>1330</v>
      </c>
      <c r="B46" s="3358"/>
      <c r="C46" s="3358"/>
      <c r="D46" s="3358"/>
      <c r="E46" s="3358"/>
      <c r="F46" s="3358"/>
      <c r="G46" s="3359"/>
      <c r="H46" s="1666"/>
      <c r="I46" s="150"/>
      <c r="J46" s="2304">
        <v>1</v>
      </c>
      <c r="K46" s="3281" t="s">
        <v>1331</v>
      </c>
      <c r="L46" s="3281"/>
      <c r="M46" s="3282"/>
      <c r="N46" s="3282"/>
      <c r="O46" s="3282"/>
    </row>
    <row r="47" spans="1:15" ht="12" customHeight="1">
      <c r="A47" s="151" t="s">
        <v>1332</v>
      </c>
      <c r="B47" s="152"/>
      <c r="C47" s="153"/>
      <c r="D47" s="1023" t="s">
        <v>1333</v>
      </c>
      <c r="E47" s="293" t="s">
        <v>1334</v>
      </c>
      <c r="F47" s="154" t="s">
        <v>1335</v>
      </c>
      <c r="G47" s="2327" t="s">
        <v>1336</v>
      </c>
      <c r="H47" s="2328"/>
      <c r="I47" s="150"/>
      <c r="J47" s="2304">
        <v>2</v>
      </c>
      <c r="K47" s="3281" t="s">
        <v>1337</v>
      </c>
      <c r="L47" s="3281"/>
      <c r="M47" s="3283">
        <f>'数据-取费表'!B2</f>
        <v>45583</v>
      </c>
      <c r="N47" s="3283"/>
      <c r="O47" s="3283"/>
    </row>
    <row r="48" spans="1:15" ht="25.5">
      <c r="A48" s="3343" t="s">
        <v>1338</v>
      </c>
      <c r="B48" s="3344"/>
      <c r="C48" s="3344"/>
      <c r="D48" s="12" t="b">
        <f>IF(H48="情况1",0,IF(H48="情况2",D52,IF(H48="情况3",D53,IF(H48="情况4",D54))))</f>
        <v>0</v>
      </c>
      <c r="E48" s="1254" t="str">
        <f>IF(H48="情况4","(销售额-原购置价)×税（费）率","销售额×税（费）率")</f>
        <v>销售额×税（费）率</v>
      </c>
      <c r="F48" s="2329">
        <f>IF(H48="情况1","免征",'数据-取费表'!B41)</f>
        <v>5.5000000000000007E-2</v>
      </c>
      <c r="G48" s="2330" t="s">
        <v>1339</v>
      </c>
      <c r="H48" s="2331"/>
      <c r="I48" s="1666"/>
      <c r="J48" s="2304">
        <v>3</v>
      </c>
      <c r="K48" s="3281" t="s">
        <v>1340</v>
      </c>
      <c r="L48" s="3281"/>
      <c r="M48" s="3284" t="e">
        <f ca="1">H101</f>
        <v>#REF!</v>
      </c>
      <c r="N48" s="3284"/>
      <c r="O48" s="3284"/>
    </row>
    <row r="49" spans="1:35" ht="25.5" customHeight="1">
      <c r="A49" s="2147" t="s">
        <v>1341</v>
      </c>
      <c r="B49" s="3329" t="s">
        <v>1342</v>
      </c>
      <c r="C49" s="3329"/>
      <c r="D49" s="1476">
        <v>0</v>
      </c>
      <c r="E49" s="315" t="s">
        <v>1343</v>
      </c>
      <c r="F49" s="2228" t="s">
        <v>28</v>
      </c>
      <c r="G49" s="3312"/>
      <c r="H49" s="2129" t="s">
        <v>2131</v>
      </c>
      <c r="I49" s="2130"/>
      <c r="J49" s="2304">
        <v>4</v>
      </c>
      <c r="K49" s="3281" t="str">
        <f>IF(项目基本情况!E8="房地产抵押价值","房地产抵押价值","抵押担保权已注销时的房地产抵押价值")</f>
        <v>抵押担保权已注销时的房地产抵押价值</v>
      </c>
      <c r="L49" s="3281"/>
      <c r="M49" s="3284" t="str">
        <f>IF(项目基本情况!E8="房地产抵押价值",H107,H109)</f>
        <v>——</v>
      </c>
      <c r="N49" s="3284"/>
      <c r="O49" s="3284"/>
    </row>
    <row r="50" spans="1:35" ht="25.5" customHeight="1">
      <c r="A50" s="2332"/>
      <c r="B50" s="3329" t="s">
        <v>1344</v>
      </c>
      <c r="C50" s="3329"/>
      <c r="D50" s="2184"/>
      <c r="E50" s="322"/>
      <c r="F50" s="2228"/>
      <c r="G50" s="3313"/>
      <c r="H50" s="2131" t="s">
        <v>2132</v>
      </c>
      <c r="I50" s="2130"/>
      <c r="J50" s="3280" t="s">
        <v>1345</v>
      </c>
      <c r="K50" s="3280"/>
      <c r="L50" s="3280"/>
      <c r="M50" s="3280"/>
      <c r="N50" s="3280"/>
      <c r="O50" s="3280"/>
    </row>
    <row r="51" spans="1:35" ht="20.45" customHeight="1">
      <c r="A51" s="2333"/>
      <c r="B51" s="3329" t="s">
        <v>1346</v>
      </c>
      <c r="C51" s="3329"/>
      <c r="D51" s="1023"/>
      <c r="E51" s="318"/>
      <c r="F51" s="2228"/>
      <c r="G51" s="3314"/>
      <c r="H51" s="2131" t="s">
        <v>2133</v>
      </c>
      <c r="I51" s="2130"/>
      <c r="J51" s="2305" t="s">
        <v>1347</v>
      </c>
      <c r="K51" s="3281" t="s">
        <v>1348</v>
      </c>
      <c r="L51" s="3281"/>
      <c r="M51" s="2305" t="s">
        <v>1349</v>
      </c>
      <c r="N51" s="2305" t="s">
        <v>1350</v>
      </c>
      <c r="O51" s="2305" t="s">
        <v>1351</v>
      </c>
    </row>
    <row r="52" spans="1:35" ht="24" customHeight="1">
      <c r="A52" s="2148" t="s">
        <v>1352</v>
      </c>
      <c r="B52" s="3329" t="s">
        <v>1353</v>
      </c>
      <c r="C52" s="3329"/>
      <c r="D52" s="1023" t="e">
        <f ca="1">ROUND(D45*'数据-取费表'!B41/(1+'数据-取费表'!C42),0)</f>
        <v>#REF!</v>
      </c>
      <c r="E52" s="1254" t="s">
        <v>1354</v>
      </c>
      <c r="F52" s="2334">
        <f>'数据-取费表'!B41</f>
        <v>5.5000000000000007E-2</v>
      </c>
      <c r="G52" s="2335"/>
      <c r="H52" s="2325"/>
      <c r="I52" s="1667"/>
      <c r="J52" s="2304">
        <v>1</v>
      </c>
      <c r="K52" s="3306" t="s">
        <v>1355</v>
      </c>
      <c r="L52" s="3306"/>
      <c r="M52" s="2306" t="b">
        <f>D48</f>
        <v>0</v>
      </c>
      <c r="N52" s="2304" t="str">
        <f>E48</f>
        <v>销售额×税（费）率</v>
      </c>
      <c r="O52" s="2307">
        <f>F48</f>
        <v>5.5000000000000007E-2</v>
      </c>
    </row>
    <row r="53" spans="1:35" ht="12" customHeight="1">
      <c r="A53" s="2148" t="s">
        <v>1356</v>
      </c>
      <c r="B53" s="3330" t="s">
        <v>2286</v>
      </c>
      <c r="C53" s="3331"/>
      <c r="D53" s="1023" t="e">
        <f ca="1">ROUND(D45*'数据-取费表'!B41/(1+'数据-取费表'!C42),0)</f>
        <v>#REF!</v>
      </c>
      <c r="E53" s="1254" t="s">
        <v>1354</v>
      </c>
      <c r="F53" s="2334">
        <f>'数据-取费表'!B41</f>
        <v>5.5000000000000007E-2</v>
      </c>
      <c r="G53" s="2335"/>
      <c r="H53" s="2325"/>
      <c r="I53" s="1667"/>
      <c r="J53" s="2304">
        <v>2</v>
      </c>
      <c r="K53" s="3306" t="s">
        <v>1357</v>
      </c>
      <c r="L53" s="3306"/>
      <c r="M53" s="2306" t="e">
        <f t="shared" ref="M53:O54" ca="1" si="0">D55</f>
        <v>#REF!</v>
      </c>
      <c r="N53" s="2304" t="str">
        <f t="shared" si="0"/>
        <v>销售额×税（费）率</v>
      </c>
      <c r="O53" s="2307" t="str">
        <f t="shared" si="0"/>
        <v>免征</v>
      </c>
    </row>
    <row r="54" spans="1:35" ht="12" customHeight="1">
      <c r="A54" s="2148" t="s">
        <v>1358</v>
      </c>
      <c r="B54" s="3330" t="s">
        <v>2287</v>
      </c>
      <c r="C54" s="3331"/>
      <c r="D54" s="1023" t="e">
        <f ca="1">C68</f>
        <v>#REF!</v>
      </c>
      <c r="E54" s="318" t="s">
        <v>1359</v>
      </c>
      <c r="F54" s="2334">
        <f>'数据-取费表'!B41</f>
        <v>5.5000000000000007E-2</v>
      </c>
      <c r="G54" s="2335"/>
      <c r="H54" s="2336"/>
      <c r="I54" s="1667"/>
      <c r="J54" s="2304">
        <v>3</v>
      </c>
      <c r="K54" s="3306" t="s">
        <v>1360</v>
      </c>
      <c r="L54" s="3306"/>
      <c r="M54" s="2306" t="e">
        <f t="shared" ca="1" si="0"/>
        <v>#REF!</v>
      </c>
      <c r="N54" s="2304" t="str">
        <f t="shared" si="0"/>
        <v>增值额×税（费）率</v>
      </c>
      <c r="O54" s="2308" t="str">
        <f t="shared" si="0"/>
        <v>免征</v>
      </c>
    </row>
    <row r="55" spans="1:35" ht="24" customHeight="1">
      <c r="A55" s="3366" t="s">
        <v>1361</v>
      </c>
      <c r="B55" s="3344"/>
      <c r="C55" s="3344"/>
      <c r="D55" s="12" t="e">
        <f ca="1">IF(H55="个人住宅",0,ROUND(D45*I55,0))</f>
        <v>#REF!</v>
      </c>
      <c r="E55" s="1254" t="s">
        <v>1362</v>
      </c>
      <c r="F55" s="2334" t="str">
        <f>IF(H55="正常",I55,"免征")</f>
        <v>免征</v>
      </c>
      <c r="G55" s="2335"/>
      <c r="H55" s="2331"/>
      <c r="I55" s="156">
        <f>'数据-取费表'!B49</f>
        <v>5.0000000000000001E-4</v>
      </c>
      <c r="J55" s="2304">
        <f>IF(H59="非个人房产","",4)</f>
        <v>4</v>
      </c>
      <c r="K55" s="3306" t="str">
        <f>IF(H59="非个人房产","——","个人所得税")</f>
        <v>个人所得税</v>
      </c>
      <c r="L55" s="3306"/>
      <c r="M55" s="2309" t="e">
        <f ca="1">D59</f>
        <v>#REF!</v>
      </c>
      <c r="N55" s="1878" t="str">
        <f>E59</f>
        <v>差额计税</v>
      </c>
      <c r="O55" s="2310">
        <f>F59</f>
        <v>0.01</v>
      </c>
    </row>
    <row r="56" spans="1:35" ht="24.75">
      <c r="A56" s="3366" t="s">
        <v>1363</v>
      </c>
      <c r="B56" s="3344"/>
      <c r="C56" s="3344"/>
      <c r="D56" s="12" t="e">
        <f ca="1">IF(H56="个人住宅",D57,D58)</f>
        <v>#REF!</v>
      </c>
      <c r="E56" s="1254" t="s">
        <v>1364</v>
      </c>
      <c r="F56" s="2334" t="str">
        <f>IF(H56="正常",F58,"免征")</f>
        <v>免征</v>
      </c>
      <c r="G56" s="2337" t="s">
        <v>1365</v>
      </c>
      <c r="H56" s="2338"/>
      <c r="I56" s="1668"/>
      <c r="J56" s="2304" t="str">
        <f>IF(项目基本情况!K6="上海银行",IF(J55="",4,J55+1),"")</f>
        <v/>
      </c>
      <c r="K56" s="3287" t="str">
        <f>IF(项目基本情况!K6="上海银行","其他处置费用","")</f>
        <v/>
      </c>
      <c r="L56" s="3288"/>
      <c r="M56" s="2306" t="str">
        <f>IF(项目基本情况!K6="上海银行",M69,"")</f>
        <v/>
      </c>
      <c r="N56" s="3287" t="str">
        <f>IF(项目基本情况!K6="上海银行","包含处置中涉及的律师、诉讼、拍卖、评估等费用","")</f>
        <v/>
      </c>
      <c r="O56" s="3290"/>
    </row>
    <row r="57" spans="1:35" ht="12.75">
      <c r="A57" s="2148" t="s">
        <v>1341</v>
      </c>
      <c r="B57" s="3330" t="s">
        <v>1366</v>
      </c>
      <c r="C57" s="3331"/>
      <c r="D57" s="1476">
        <v>0</v>
      </c>
      <c r="E57" s="315" t="s">
        <v>1343</v>
      </c>
      <c r="F57" s="293"/>
      <c r="G57" s="2335"/>
      <c r="H57" s="2339"/>
      <c r="I57" s="1668"/>
      <c r="J57" s="3306">
        <f>IF(AND(J55="",J56=""),4,IF(项目基本情况!K6="上海银行",结果表!J56+1,结果表!J55+1))</f>
        <v>5</v>
      </c>
      <c r="K57" s="3306" t="s">
        <v>1367</v>
      </c>
      <c r="L57" s="2311" t="s">
        <v>1368</v>
      </c>
      <c r="M57" s="2312"/>
      <c r="N57" s="2313">
        <f ca="1">SUMIF(M52:M56,"&lt;9e307")</f>
        <v>0</v>
      </c>
      <c r="O57" s="2314"/>
      <c r="P57" s="2459" t="e">
        <f ca="1">N57/M49</f>
        <v>#VALUE!</v>
      </c>
    </row>
    <row r="58" spans="1:35" ht="24.75">
      <c r="A58" s="2148" t="s">
        <v>1352</v>
      </c>
      <c r="B58" s="3330" t="s">
        <v>1369</v>
      </c>
      <c r="C58" s="3329"/>
      <c r="D58" s="12" t="e">
        <f ca="1">IF(H58="转让取得",C81,C97)</f>
        <v>#REF!</v>
      </c>
      <c r="E58" s="1254" t="s">
        <v>1364</v>
      </c>
      <c r="F58" s="293" t="s">
        <v>28</v>
      </c>
      <c r="G58" s="2335"/>
      <c r="H58" s="2338"/>
      <c r="I58" s="1668"/>
      <c r="J58" s="3306"/>
      <c r="K58" s="3306"/>
      <c r="L58" s="2311" t="s">
        <v>1370</v>
      </c>
      <c r="M58" s="2315"/>
      <c r="N58" s="2316" t="str">
        <f ca="1">NUMBERSTRING(INT(N57*10000),2)&amp;"元整"</f>
        <v>零元整</v>
      </c>
      <c r="O58" s="2317"/>
    </row>
    <row r="59" spans="1:35" ht="24.75" thickBot="1">
      <c r="A59" s="3310" t="s">
        <v>1371</v>
      </c>
      <c r="B59" s="3311"/>
      <c r="C59" s="3311"/>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2134</v>
      </c>
      <c r="J59" s="3308">
        <f>J57+1</f>
        <v>6</v>
      </c>
      <c r="K59" s="3306" t="s">
        <v>1372</v>
      </c>
      <c r="L59" s="2304" t="s">
        <v>1368</v>
      </c>
      <c r="M59" s="2318"/>
      <c r="N59" s="2319" t="e">
        <f ca="1">M49-N57</f>
        <v>#VALUE!</v>
      </c>
      <c r="O59" s="2320"/>
    </row>
    <row r="60" spans="1:35" ht="12" customHeight="1">
      <c r="A60" s="1669"/>
      <c r="B60" s="645"/>
      <c r="C60" s="645"/>
      <c r="D60" s="645"/>
      <c r="E60" s="1464"/>
      <c r="F60" s="1668"/>
      <c r="G60" s="1668"/>
      <c r="H60" s="150"/>
      <c r="I60" s="120"/>
      <c r="J60" s="3309"/>
      <c r="K60" s="3306"/>
      <c r="L60" s="2311" t="s">
        <v>1370</v>
      </c>
      <c r="M60" s="2315"/>
      <c r="N60" s="2316" t="e">
        <f ca="1">NUMBERSTRING(INT(N59*10000),2)&amp;"元整"</f>
        <v>#VALUE!</v>
      </c>
      <c r="O60" s="2317"/>
    </row>
    <row r="61" spans="1:35" ht="13.5" thickBot="1">
      <c r="A61" s="3365" t="s">
        <v>1373</v>
      </c>
      <c r="B61" s="3365"/>
      <c r="C61" s="3365"/>
      <c r="D61" s="3365"/>
      <c r="E61" s="3365"/>
      <c r="F61" s="1668"/>
      <c r="G61" s="1668"/>
      <c r="H61" s="150"/>
      <c r="I61" s="120"/>
      <c r="J61" s="2304">
        <f>J59+1</f>
        <v>7</v>
      </c>
      <c r="K61" s="3306" t="s">
        <v>1374</v>
      </c>
      <c r="L61" s="3306"/>
      <c r="M61" s="2321"/>
      <c r="N61" s="2322" t="e">
        <f ca="1">ROUND(N59*10000/'数据-汇总表'!E3,0)</f>
        <v>#VALUE!</v>
      </c>
      <c r="O61" s="2323"/>
    </row>
    <row r="62" spans="1:35" ht="12.75">
      <c r="A62" s="3325" t="s">
        <v>1375</v>
      </c>
      <c r="B62" s="3326"/>
      <c r="C62" s="1860"/>
      <c r="D62" s="1860" t="s">
        <v>1376</v>
      </c>
      <c r="E62" s="157" t="s">
        <v>1377</v>
      </c>
      <c r="F62" s="1668"/>
      <c r="G62" s="1668"/>
      <c r="H62" s="150"/>
      <c r="I62" s="120"/>
    </row>
    <row r="63" spans="1:35" ht="12.75">
      <c r="A63" s="164" t="s">
        <v>330</v>
      </c>
      <c r="B63" s="158" t="s">
        <v>1378</v>
      </c>
      <c r="C63" s="2344" t="e">
        <f ca="1">ROUND((C64+C65)/(1+'数据-取费表'!C42),0)</f>
        <v>#REF!</v>
      </c>
      <c r="D63" s="158"/>
      <c r="E63" s="159"/>
      <c r="F63" s="1668"/>
      <c r="G63" s="1668"/>
      <c r="H63" s="150"/>
      <c r="I63" s="120"/>
      <c r="J63" s="3289" t="s">
        <v>1379</v>
      </c>
      <c r="K63" s="1243" t="s">
        <v>1380</v>
      </c>
      <c r="L63" s="1243" t="e">
        <f>IF(M49&gt;10000,M49*0.5%,IF(AND(M49&gt;1000,M49&lt;=10000),M49*1%,IF(AND(M49&gt;100,M49&lt;=1000),M49*3%,IF(AND(M49&gt;10,M49&lt;=100),M49*5%,M49*8%))))</f>
        <v>#VALUE!</v>
      </c>
      <c r="M63" s="293" t="e">
        <f>ROUND(L63,1)</f>
        <v>#VALUE!</v>
      </c>
      <c r="N63" s="2324"/>
      <c r="Z63" s="1621"/>
      <c r="AI63" s="1559"/>
    </row>
    <row r="64" spans="1:35" ht="14.25" customHeight="1">
      <c r="A64" s="160" t="s">
        <v>325</v>
      </c>
      <c r="B64" s="161" t="s">
        <v>1381</v>
      </c>
      <c r="C64" s="2345" t="e">
        <f ca="1">D45</f>
        <v>#REF!</v>
      </c>
      <c r="D64" s="161" t="s">
        <v>26</v>
      </c>
      <c r="E64" s="163"/>
      <c r="F64" s="1668"/>
      <c r="G64" s="1668"/>
      <c r="H64" s="150"/>
      <c r="I64" s="120"/>
      <c r="J64" s="3289"/>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5" t="s">
        <v>1383</v>
      </c>
      <c r="Z64" s="1621"/>
      <c r="AI64" s="1559"/>
    </row>
    <row r="65" spans="1:35" ht="14.25" customHeight="1">
      <c r="A65" s="160" t="s">
        <v>326</v>
      </c>
      <c r="B65" s="161" t="s">
        <v>1384</v>
      </c>
      <c r="C65" s="2346"/>
      <c r="D65" s="161"/>
      <c r="E65" s="163"/>
      <c r="F65" s="1668"/>
      <c r="G65" s="1668"/>
      <c r="H65" s="150"/>
      <c r="I65" s="120"/>
      <c r="J65" s="3289"/>
      <c r="K65" s="1243" t="s">
        <v>1385</v>
      </c>
      <c r="L65" s="1243" t="e">
        <f>IF(M49&gt;1000,M49*0.1%,IF(AND(M49&gt;500,M49&lt;=1000),M49*0.5%,IF(AND(M49&gt;50,M49&lt;=500),M49*1%,IF(AND(M49&gt;1,M49&lt;=50),M49*1.5%))))</f>
        <v>#VALUE!</v>
      </c>
      <c r="M65" s="293" t="e">
        <f>ROUND(L65,1)</f>
        <v>#VALUE!</v>
      </c>
      <c r="N65" s="2325" t="s">
        <v>1383</v>
      </c>
      <c r="Z65" s="1621"/>
      <c r="AI65" s="1559"/>
    </row>
    <row r="66" spans="1:35" ht="14.25" customHeight="1">
      <c r="A66" s="164" t="s">
        <v>327</v>
      </c>
      <c r="B66" s="165" t="s">
        <v>1386</v>
      </c>
      <c r="C66" s="2347"/>
      <c r="D66" s="165" t="s">
        <v>26</v>
      </c>
      <c r="E66" s="1249" t="s">
        <v>671</v>
      </c>
      <c r="F66" s="1668"/>
      <c r="G66" s="1668"/>
      <c r="H66" s="150"/>
      <c r="I66" s="120"/>
      <c r="J66" s="3289"/>
      <c r="K66" s="1243" t="s">
        <v>1387</v>
      </c>
      <c r="L66" s="1243" t="e">
        <f>M49*0.5%</f>
        <v>#VALUE!</v>
      </c>
      <c r="M66" s="293" t="e">
        <f>IF(L66&gt;0.5,0.5,ROUND(L66,0))</f>
        <v>#VALUE!</v>
      </c>
      <c r="N66" s="2325" t="s">
        <v>1388</v>
      </c>
      <c r="Z66" s="1621"/>
      <c r="AI66" s="1559"/>
    </row>
    <row r="67" spans="1:35" ht="14.25" customHeight="1">
      <c r="A67" s="164" t="s">
        <v>328</v>
      </c>
      <c r="B67" s="165" t="s">
        <v>1389</v>
      </c>
      <c r="C67" s="2348" t="e">
        <f ca="1">C63-C66</f>
        <v>#REF!</v>
      </c>
      <c r="D67" s="161" t="s">
        <v>26</v>
      </c>
      <c r="E67" s="163"/>
      <c r="F67" s="1668"/>
      <c r="G67" s="1668"/>
      <c r="H67" s="150"/>
      <c r="I67" s="120"/>
      <c r="J67" s="3289"/>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21"/>
      <c r="AI67" s="1559"/>
    </row>
    <row r="68" spans="1:35" ht="14.25" customHeight="1" thickBot="1">
      <c r="A68" s="167" t="s">
        <v>329</v>
      </c>
      <c r="B68" s="168" t="s">
        <v>1391</v>
      </c>
      <c r="C68" s="2349" t="e">
        <f ca="1">IF(C67&lt;=0,0,ROUND(C67*D68,0))</f>
        <v>#REF!</v>
      </c>
      <c r="D68" s="2350">
        <f>'数据-取费表'!B41</f>
        <v>5.5000000000000007E-2</v>
      </c>
      <c r="E68" s="169"/>
      <c r="F68" s="1668"/>
      <c r="G68" s="1668"/>
      <c r="H68" s="150"/>
      <c r="I68" s="120"/>
      <c r="J68" s="3289"/>
      <c r="K68" s="1243" t="s">
        <v>1392</v>
      </c>
      <c r="L68" s="1243" t="e">
        <f>IF(M49&gt;10000,M49*0.5%,IF(AND(M49&gt;5000,M49&lt;=10000),M49*1%,IF(AND(M49&gt;1000,M49&lt;=5000),M49*2%,IF(AND(M49&gt;200,M49&lt;=1000),M49*3%,M49*5%))))</f>
        <v>#VALUE!</v>
      </c>
      <c r="M68" s="293" t="e">
        <f>ROUND(L68,1)</f>
        <v>#VALUE!</v>
      </c>
      <c r="N68" s="2324"/>
      <c r="Z68" s="1621"/>
      <c r="AI68" s="1559"/>
    </row>
    <row r="69" spans="1:35" ht="16.5" customHeight="1">
      <c r="A69" s="1670"/>
      <c r="B69" s="1671"/>
      <c r="C69" s="1672"/>
      <c r="D69" s="1673"/>
      <c r="E69" s="1674"/>
      <c r="F69" s="1464"/>
      <c r="G69" s="1464"/>
      <c r="H69" s="1465"/>
      <c r="I69" s="645"/>
      <c r="J69" s="3289"/>
      <c r="K69" s="1243" t="s">
        <v>1393</v>
      </c>
      <c r="L69" s="1243"/>
      <c r="M69" s="293" t="e">
        <f>ROUND(SUM(M63:M68),0)</f>
        <v>#VALUE!</v>
      </c>
      <c r="N69" s="2326" t="e">
        <f>M69/M49</f>
        <v>#VALUE!</v>
      </c>
      <c r="Z69" s="1621"/>
      <c r="AI69" s="1559"/>
    </row>
    <row r="70" spans="1:35" s="641" customFormat="1" ht="15" thickBot="1">
      <c r="A70" s="3333" t="s">
        <v>1394</v>
      </c>
      <c r="B70" s="3334"/>
      <c r="C70" s="3334"/>
      <c r="D70" s="3334"/>
      <c r="E70" s="3334"/>
      <c r="F70" s="3334"/>
      <c r="G70" s="3334"/>
      <c r="H70" s="3334"/>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25" t="s">
        <v>1375</v>
      </c>
      <c r="B71" s="3326"/>
      <c r="C71" s="1860"/>
      <c r="D71" s="1860"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8"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8"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1"/>
      <c r="D75" s="161" t="s">
        <v>26</v>
      </c>
      <c r="E75" s="175" t="s">
        <v>1399</v>
      </c>
      <c r="F75" s="2352"/>
      <c r="G75" s="175" t="s">
        <v>1400</v>
      </c>
      <c r="H75" s="2353"/>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4">
        <v>0.05</v>
      </c>
      <c r="E76" s="3330" t="s">
        <v>1402</v>
      </c>
      <c r="F76" s="3329"/>
      <c r="G76" s="3329"/>
      <c r="H76" s="3332"/>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6" t="e">
        <f ca="1">ROUND(D45*D78/(1+'数据-取费表'!C42),0)</f>
        <v>#REF!</v>
      </c>
      <c r="D78" s="2357">
        <f>'数据-取费表'!B43</f>
        <v>5.000000000000001E-3</v>
      </c>
      <c r="E78" s="3322" t="s">
        <v>1406</v>
      </c>
      <c r="F78" s="3323"/>
      <c r="G78" s="3323"/>
      <c r="H78" s="3324"/>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8"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33" t="s">
        <v>1410</v>
      </c>
      <c r="B83" s="3334"/>
      <c r="C83" s="3334"/>
      <c r="D83" s="3334"/>
      <c r="E83" s="3334"/>
      <c r="F83" s="3334"/>
      <c r="G83" s="3334"/>
      <c r="H83" s="3334"/>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25" t="s">
        <v>1375</v>
      </c>
      <c r="B84" s="3326"/>
      <c r="C84" s="1860"/>
      <c r="D84" s="1860"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8"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8" t="e">
        <f ca="1">IF(H88="仅含出让金",C87+C90+C91+C92+C93+C94,C87+C91+C92+C93+C94)</f>
        <v>#REF!</v>
      </c>
      <c r="D86" s="2361"/>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6">
        <f>C88+C89</f>
        <v>0</v>
      </c>
      <c r="D87" s="2357"/>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2"/>
      <c r="D88" s="2357"/>
      <c r="E88" s="184" t="s">
        <v>1413</v>
      </c>
      <c r="F88" s="2143"/>
      <c r="G88" s="185" t="s">
        <v>1414</v>
      </c>
      <c r="H88" s="1682"/>
      <c r="I88" s="1679"/>
      <c r="J88" s="2302"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6">
        <f>ROUND(C88*D89,0)</f>
        <v>0</v>
      </c>
      <c r="D89" s="2357">
        <f>'数据-取费表'!B48+'数据-取费表'!B49</f>
        <v>3.0499999999999999E-2</v>
      </c>
      <c r="E89" s="184" t="s">
        <v>1415</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2"/>
      <c r="D90" s="2357"/>
      <c r="E90" s="184" t="str">
        <f>IF(H88="-","土地取得成本中已包含该笔费用"," ")</f>
        <v xml:space="preserve"> </v>
      </c>
      <c r="F90" s="2143"/>
      <c r="G90" s="3291" t="s">
        <v>2126</v>
      </c>
      <c r="H90" s="3292"/>
      <c r="I90" s="1679"/>
      <c r="J90" s="2302"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6">
        <f>IF(H91="——",成本法!C33,I91)</f>
        <v>0</v>
      </c>
      <c r="D91" s="2357"/>
      <c r="E91" s="3322" t="s">
        <v>1419</v>
      </c>
      <c r="F91" s="3323"/>
      <c r="G91" s="3323"/>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6">
        <f>ROUND((C87+C90+C91)*D92,0)</f>
        <v>0</v>
      </c>
      <c r="D92" s="2363"/>
      <c r="E92" s="3322" t="s">
        <v>1422</v>
      </c>
      <c r="F92" s="3323"/>
      <c r="G92" s="3323"/>
      <c r="H92" s="3324"/>
      <c r="I92" s="1679"/>
      <c r="J92" s="2303"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6" t="e">
        <f ca="1">ROUND(D45*D93/(1+'数据-取费表'!C42),0)</f>
        <v>#REF!</v>
      </c>
      <c r="D93" s="2357">
        <f>'数据-取费表'!B43</f>
        <v>5.000000000000001E-3</v>
      </c>
      <c r="E93" s="3322" t="s">
        <v>1406</v>
      </c>
      <c r="F93" s="3323"/>
      <c r="G93" s="3323"/>
      <c r="H93" s="3324"/>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2">
        <f>ROUND((C87+C90+C91)*D94,0)</f>
        <v>0</v>
      </c>
      <c r="D94" s="2357">
        <v>0.2</v>
      </c>
      <c r="E94" s="3367" t="s">
        <v>1426</v>
      </c>
      <c r="F94" s="3368"/>
      <c r="G94" s="3368"/>
      <c r="H94" s="3369"/>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8"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272" t="s">
        <v>1428</v>
      </c>
      <c r="B100" s="3273"/>
      <c r="C100" s="3273"/>
      <c r="D100" s="3307"/>
      <c r="E100" s="3273" t="s">
        <v>1429</v>
      </c>
      <c r="F100" s="3273"/>
      <c r="G100" s="3273"/>
      <c r="H100" s="3307"/>
      <c r="I100" s="120"/>
    </row>
    <row r="101" spans="1:35" ht="18.75" customHeight="1">
      <c r="A101" s="3315" t="s">
        <v>1430</v>
      </c>
      <c r="B101" s="3316"/>
      <c r="C101" s="2365" t="str">
        <f>C4</f>
        <v>收益法 (元)</v>
      </c>
      <c r="D101" s="2366" t="str">
        <f>D4</f>
        <v>比较法-住宅</v>
      </c>
      <c r="E101" s="3285" t="s">
        <v>1431</v>
      </c>
      <c r="F101" s="3286"/>
      <c r="G101" s="1685" t="s">
        <v>1432</v>
      </c>
      <c r="H101" s="2375" t="e">
        <f ca="1">H118</f>
        <v>#REF!</v>
      </c>
      <c r="I101" s="120"/>
    </row>
    <row r="102" spans="1:35" ht="18.75" customHeight="1">
      <c r="A102" s="3317" t="s">
        <v>1433</v>
      </c>
      <c r="B102" s="2364" t="s">
        <v>1432</v>
      </c>
      <c r="C102" s="2365">
        <f ca="1">IF(D32="楼面单价",ROUND(C19,0),C19)</f>
        <v>279.56939999999997</v>
      </c>
      <c r="D102" s="2366">
        <f ca="1">IF(D32="楼面单价",ROUND(D19,0),D19)</f>
        <v>465.36180000000002</v>
      </c>
      <c r="E102" s="3285"/>
      <c r="F102" s="3286"/>
      <c r="G102" s="1685" t="s">
        <v>1434</v>
      </c>
      <c r="H102" s="2335" t="e">
        <f ca="1">I118</f>
        <v>#REF!</v>
      </c>
      <c r="I102" s="120"/>
    </row>
    <row r="103" spans="1:35" ht="42.75" customHeight="1">
      <c r="A103" s="3317"/>
      <c r="B103" s="2364" t="s">
        <v>1434</v>
      </c>
      <c r="C103" s="2367">
        <f ca="1">C20</f>
        <v>19776</v>
      </c>
      <c r="D103" s="2368">
        <f ca="1">D20</f>
        <v>32918</v>
      </c>
      <c r="E103" s="3278" t="s">
        <v>1435</v>
      </c>
      <c r="F103" s="3279"/>
      <c r="G103" s="1686" t="s">
        <v>1436</v>
      </c>
      <c r="H103" s="2375">
        <f>IF(D36="正常操作",H104+H105+H106,H105+H106)</f>
        <v>0</v>
      </c>
      <c r="I103" s="120"/>
    </row>
    <row r="104" spans="1:35" ht="18.75" customHeight="1">
      <c r="A104" s="3317" t="s">
        <v>1437</v>
      </c>
      <c r="B104" s="2369" t="s">
        <v>1432</v>
      </c>
      <c r="C104" s="2370" t="e">
        <f ca="1">H118</f>
        <v>#REF!</v>
      </c>
      <c r="D104" s="2371"/>
      <c r="E104" s="1553" t="s">
        <v>1438</v>
      </c>
      <c r="F104" s="1546"/>
      <c r="G104" s="1686" t="s">
        <v>1436</v>
      </c>
      <c r="H104" s="2376">
        <f>IF(D36="同一抵押权人同一抵押物续贷",C36&amp;"（续贷，未扣减，详见特别提示）",C36)</f>
        <v>0</v>
      </c>
      <c r="I104" s="120"/>
    </row>
    <row r="105" spans="1:35" ht="18.75" customHeight="1" thickBot="1">
      <c r="A105" s="3327"/>
      <c r="B105" s="2372" t="s">
        <v>1434</v>
      </c>
      <c r="C105" s="2373" t="e">
        <f ca="1">I118</f>
        <v>#REF!</v>
      </c>
      <c r="D105" s="2374"/>
      <c r="E105" s="1553" t="s">
        <v>1439</v>
      </c>
      <c r="F105" s="1546"/>
      <c r="G105" s="1686" t="s">
        <v>1436</v>
      </c>
      <c r="H105" s="2377">
        <f>C37</f>
        <v>0</v>
      </c>
      <c r="I105" s="120"/>
    </row>
    <row r="106" spans="1:35" ht="18.75" customHeight="1">
      <c r="A106" s="645" t="s">
        <v>1440</v>
      </c>
      <c r="B106" s="645"/>
      <c r="C106" s="645"/>
      <c r="D106" s="645"/>
      <c r="E106" s="1687" t="s">
        <v>1441</v>
      </c>
      <c r="F106" s="1546"/>
      <c r="G106" s="1686" t="s">
        <v>1436</v>
      </c>
      <c r="H106" s="2377">
        <f>C38</f>
        <v>0</v>
      </c>
      <c r="I106" s="120"/>
    </row>
    <row r="107" spans="1:35" ht="18.75" customHeight="1">
      <c r="A107" s="120"/>
      <c r="B107" s="120"/>
      <c r="C107" s="120"/>
      <c r="D107" s="120"/>
      <c r="E107" s="3318" t="str">
        <f>IF(项目基本情况!E8="已注销","——","3.房地产抵押价值")</f>
        <v>3.房地产抵押价值</v>
      </c>
      <c r="F107" s="3286"/>
      <c r="G107" s="1685" t="s">
        <v>1432</v>
      </c>
      <c r="H107" s="2375" t="e">
        <f ca="1">IF(E107="——","——",H101-H103)</f>
        <v>#REF!</v>
      </c>
      <c r="I107" s="120"/>
    </row>
    <row r="108" spans="1:35" ht="18.75" customHeight="1">
      <c r="A108" s="120"/>
      <c r="B108" s="120"/>
      <c r="C108" s="120"/>
      <c r="D108" s="120"/>
      <c r="E108" s="3318"/>
      <c r="F108" s="3286"/>
      <c r="G108" s="1685" t="s">
        <v>1434</v>
      </c>
      <c r="H108" s="2335">
        <f ca="1">IF(H107=H101,H102,ROUND(H107*10000/'数据-汇总表'!E3,0))</f>
        <v>0</v>
      </c>
      <c r="I108" s="120"/>
    </row>
    <row r="109" spans="1:35" ht="18.75" customHeight="1">
      <c r="A109" s="120"/>
      <c r="B109" s="120"/>
      <c r="C109" s="120"/>
      <c r="D109" s="120"/>
      <c r="E109" s="3318" t="str">
        <f>IF(项目基本情况!E8="已注销及未注销","4.抵押担保权已注销时的房地产抵押价值",IF(项目基本情况!E8="已注销","3.抵押担保权已注销时的房地产抵押价值","——"))</f>
        <v>——</v>
      </c>
      <c r="F109" s="3286"/>
      <c r="G109" s="1685" t="s">
        <v>1432</v>
      </c>
      <c r="H109" s="2378" t="str">
        <f>IF(E109="——","——",H101-H105-H106)</f>
        <v>——</v>
      </c>
      <c r="I109" s="120"/>
    </row>
    <row r="110" spans="1:35" ht="18.75" customHeight="1">
      <c r="A110" s="120"/>
      <c r="B110" s="120"/>
      <c r="C110" s="120"/>
      <c r="D110" s="120"/>
      <c r="E110" s="3318"/>
      <c r="F110" s="3286"/>
      <c r="G110" s="1685" t="s">
        <v>1434</v>
      </c>
      <c r="H110" s="2335" t="str">
        <f>IF(H109="——","——",ROUND(H109*10000/'数据-汇总表'!E3,0))</f>
        <v>——</v>
      </c>
      <c r="I110" s="120"/>
    </row>
    <row r="111" spans="1:35" ht="18.75" customHeight="1">
      <c r="A111" s="120"/>
      <c r="B111" s="120"/>
      <c r="C111" s="120"/>
      <c r="D111" s="120"/>
      <c r="E111" s="3319" t="str">
        <f>IF(项目基本情况!E9="抵押净值",IF(OR(项目基本情况!E8="已注销",项目基本情况!E8="房地产抵押价值"),"4.抵押净值","5.抵押净值"),"——")</f>
        <v>——</v>
      </c>
      <c r="F111" s="3305"/>
      <c r="G111" s="1685" t="s">
        <v>1432</v>
      </c>
      <c r="H111" s="2375" t="str">
        <f>IF(E111="——","——",N59)</f>
        <v>——</v>
      </c>
      <c r="I111" s="120"/>
    </row>
    <row r="112" spans="1:35" ht="18.75" customHeight="1" thickBot="1">
      <c r="A112" s="120"/>
      <c r="B112" s="120"/>
      <c r="C112" s="120"/>
      <c r="D112" s="120"/>
      <c r="E112" s="3320"/>
      <c r="F112" s="3321"/>
      <c r="G112" s="1688" t="s">
        <v>1434</v>
      </c>
      <c r="H112" s="2379" t="str">
        <f>IF(E111="——","——",N61)</f>
        <v>——</v>
      </c>
      <c r="I112" s="120"/>
    </row>
    <row r="113" spans="1:27" ht="18.75" customHeight="1">
      <c r="A113" s="120"/>
      <c r="B113" s="120"/>
      <c r="C113" s="120"/>
      <c r="D113" s="120"/>
      <c r="E113" s="3328" t="s">
        <v>1440</v>
      </c>
      <c r="F113" s="3328"/>
      <c r="G113" s="3328"/>
      <c r="H113" s="3328"/>
      <c r="I113" s="120"/>
    </row>
    <row r="114" spans="1:27" ht="3.75" customHeight="1">
      <c r="A114" s="645"/>
      <c r="B114" s="645"/>
      <c r="C114" s="645"/>
      <c r="D114" s="645"/>
      <c r="E114" s="1669"/>
      <c r="F114" s="1669"/>
      <c r="G114" s="1669"/>
      <c r="H114" s="1669"/>
      <c r="I114" s="645"/>
    </row>
    <row r="115" spans="1:27" ht="18.75" customHeight="1">
      <c r="A115" s="3336" t="s">
        <v>1442</v>
      </c>
      <c r="B115" s="3337"/>
      <c r="C115" s="3337"/>
      <c r="D115" s="3337"/>
      <c r="E115" s="3337"/>
      <c r="F115" s="3337"/>
      <c r="G115" s="3337"/>
      <c r="H115" s="3337"/>
      <c r="I115" s="3338"/>
    </row>
    <row r="116" spans="1:27" ht="27" customHeight="1">
      <c r="A116" s="3293" t="s">
        <v>1443</v>
      </c>
      <c r="B116" s="3297" t="s">
        <v>1444</v>
      </c>
      <c r="C116" s="3297" t="s">
        <v>1445</v>
      </c>
      <c r="D116" s="3303" t="s">
        <v>1446</v>
      </c>
      <c r="E116" s="3304"/>
      <c r="F116" s="3335" t="s">
        <v>1447</v>
      </c>
      <c r="G116" s="3335"/>
      <c r="H116" s="3293" t="s">
        <v>1448</v>
      </c>
      <c r="I116" s="3293"/>
    </row>
    <row r="117" spans="1:27" ht="18.75" customHeight="1">
      <c r="A117" s="3293"/>
      <c r="B117" s="3298"/>
      <c r="C117" s="3298"/>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141.37</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293" t="s">
        <v>1452</v>
      </c>
      <c r="B119" s="3293"/>
      <c r="C119" s="3293"/>
      <c r="D119" s="3299" t="e">
        <f ca="1">NUMBERSTRING(INT(D118*10000),2)&amp;"元整"</f>
        <v>#REF!</v>
      </c>
      <c r="E119" s="3300"/>
      <c r="F119" s="3299" t="e">
        <f ca="1">NUMBERSTRING(INT(F118*10000),2)&amp;"元整"</f>
        <v>#REF!</v>
      </c>
      <c r="G119" s="3300"/>
      <c r="H119" s="3299" t="e">
        <f ca="1">NUMBERSTRING(INT(H118*10000),2)&amp;"元整"</f>
        <v>#REF!</v>
      </c>
      <c r="I119" s="3300"/>
    </row>
    <row r="120" spans="1:27" ht="18.75" customHeight="1">
      <c r="A120" s="3294" t="str">
        <f>IF(项目基本情况!B9="房地产市场价值","",MID(E103,3,LEN(E103)-2))</f>
        <v>估价师知悉的法定优先受偿款</v>
      </c>
      <c r="B120" s="3295"/>
      <c r="C120" s="3296"/>
      <c r="D120" s="3294">
        <f>H103</f>
        <v>0</v>
      </c>
      <c r="E120" s="3295"/>
      <c r="F120" s="3295"/>
      <c r="G120" s="3295"/>
      <c r="H120" s="3295"/>
      <c r="I120" s="3296"/>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299" t="s">
        <v>1452</v>
      </c>
      <c r="B121" s="3301"/>
      <c r="C121" s="3300"/>
      <c r="D121" s="3299" t="str">
        <f>IF(D120=0,"零元整",NUMBERSTRING(INT(D120*10000),2)&amp;"元整")</f>
        <v>零元整</v>
      </c>
      <c r="E121" s="3301"/>
      <c r="F121" s="3301"/>
      <c r="G121" s="3301"/>
      <c r="H121" s="3301"/>
      <c r="I121" s="3300"/>
      <c r="AA121" s="683"/>
    </row>
    <row r="122" spans="1:27" ht="18.75" customHeight="1">
      <c r="A122" s="3305" t="str">
        <f>IF(项目基本情况!B9="房地产市场价值","",MID(E107,3,LEN(E107)-2))</f>
        <v>房地产抵押价值</v>
      </c>
      <c r="B122" s="3305"/>
      <c r="C122" s="3305"/>
      <c r="D122" s="3294" t="e">
        <f ca="1">H107</f>
        <v>#REF!</v>
      </c>
      <c r="E122" s="3295"/>
      <c r="F122" s="3295"/>
      <c r="G122" s="3295"/>
      <c r="H122" s="3295"/>
      <c r="I122" s="3296"/>
      <c r="AA122" s="683"/>
    </row>
    <row r="123" spans="1:27" ht="18.75" customHeight="1">
      <c r="A123" s="3293" t="s">
        <v>1452</v>
      </c>
      <c r="B123" s="3293"/>
      <c r="C123" s="3293"/>
      <c r="D123" s="3299" t="e">
        <f ca="1">NUMBERSTRING(INT(D122*10000),2)&amp;"元整"</f>
        <v>#REF!</v>
      </c>
      <c r="E123" s="3301"/>
      <c r="F123" s="3301"/>
      <c r="G123" s="3301"/>
      <c r="H123" s="3301"/>
      <c r="I123" s="3300"/>
      <c r="AA123" s="683"/>
    </row>
    <row r="124" spans="1:27" ht="18.75" customHeight="1">
      <c r="A124" s="3305" t="str">
        <f>IF(项目基本情况!B9="房地产市场价值","",MID(E109,3,LEN(E109)-2))</f>
        <v/>
      </c>
      <c r="B124" s="3305"/>
      <c r="C124" s="3305"/>
      <c r="D124" s="3294" t="str">
        <f>H109</f>
        <v>——</v>
      </c>
      <c r="E124" s="3295"/>
      <c r="F124" s="3295"/>
      <c r="G124" s="3295"/>
      <c r="H124" s="3295"/>
      <c r="I124" s="3296"/>
      <c r="AA124" s="683"/>
    </row>
    <row r="125" spans="1:27" ht="18.75" customHeight="1">
      <c r="A125" s="3293" t="s">
        <v>1452</v>
      </c>
      <c r="B125" s="3293"/>
      <c r="C125" s="3293"/>
      <c r="D125" s="3299" t="e">
        <f>NUMBERSTRING(INT(D124*10000),2)&amp;"元整"</f>
        <v>#VALUE!</v>
      </c>
      <c r="E125" s="3301"/>
      <c r="F125" s="3301"/>
      <c r="G125" s="3301"/>
      <c r="H125" s="3301"/>
      <c r="I125" s="3300"/>
      <c r="AA125" s="683"/>
    </row>
    <row r="126" spans="1:27" ht="18.75" customHeight="1">
      <c r="A126" s="3305" t="str">
        <f>IF(项目基本情况!B9="房地产市场价值","",MID(E111,3,LEN(E111)-2))</f>
        <v/>
      </c>
      <c r="B126" s="3305"/>
      <c r="C126" s="3305"/>
      <c r="D126" s="3294" t="str">
        <f>H111</f>
        <v>——</v>
      </c>
      <c r="E126" s="3295"/>
      <c r="F126" s="3295"/>
      <c r="G126" s="3295"/>
      <c r="H126" s="3295"/>
      <c r="I126" s="3296"/>
      <c r="AA126" s="683"/>
    </row>
    <row r="127" spans="1:27" ht="18.75" customHeight="1">
      <c r="A127" s="3293" t="s">
        <v>1452</v>
      </c>
      <c r="B127" s="3293"/>
      <c r="C127" s="3293"/>
      <c r="D127" s="3299" t="e">
        <f>NUMBERSTRING(INT(D126*10000),2)&amp;"元整"</f>
        <v>#VALUE!</v>
      </c>
      <c r="E127" s="3301"/>
      <c r="F127" s="3301"/>
      <c r="G127" s="3301"/>
      <c r="H127" s="3301"/>
      <c r="I127" s="3300"/>
      <c r="AA127" s="683"/>
    </row>
    <row r="128" spans="1:27" ht="21.75" customHeight="1">
      <c r="A128" s="3302" t="s">
        <v>1453</v>
      </c>
      <c r="B128" s="3302"/>
      <c r="C128" s="3302"/>
      <c r="D128" s="3302"/>
      <c r="E128" s="3302"/>
      <c r="F128" s="3302"/>
      <c r="G128" s="3302"/>
      <c r="H128" s="3302"/>
      <c r="I128" s="3302"/>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1">
        <f>MATCH(B1,'数据-取费表'!A6:A16,0)+5</f>
        <v>7</v>
      </c>
    </row>
    <row r="2" spans="1:9" s="191" customFormat="1" ht="18" customHeight="1">
      <c r="A2" s="192" t="s">
        <v>1462</v>
      </c>
      <c r="B2" s="193">
        <f ca="1">IF(D2="——",C52,C52-E2)</f>
        <v>30457</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2154417</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21206</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21206</v>
      </c>
      <c r="D8" s="213"/>
      <c r="E8" s="211"/>
      <c r="F8" s="212"/>
      <c r="G8" s="1712"/>
    </row>
    <row r="9" spans="1:9" s="205" customFormat="1" ht="13.5" customHeight="1">
      <c r="A9" s="732" t="s">
        <v>355</v>
      </c>
      <c r="B9" s="215" t="s">
        <v>1478</v>
      </c>
      <c r="C9" s="216">
        <f ca="1">ROUND(D9*E9/10000,0)</f>
        <v>2</v>
      </c>
      <c r="D9" s="794">
        <f ca="1">IF(B1="",'数据-汇总表'!E5,IF(INDIRECT("'数据-取费表'!c"&amp;$G$1)="住宅",INDIRECT("'数据-取费表'!k"&amp;$G$1),0))</f>
        <v>141.37</v>
      </c>
      <c r="E9" s="216">
        <f>'数据-取费表'!B27</f>
        <v>150</v>
      </c>
      <c r="F9" s="212"/>
      <c r="G9" s="1713"/>
      <c r="H9" s="1069"/>
      <c r="I9" s="1714" t="s">
        <v>1479</v>
      </c>
    </row>
    <row r="10" spans="1:9" s="205" customFormat="1" ht="13.5" customHeight="1">
      <c r="A10" s="732" t="s">
        <v>356</v>
      </c>
      <c r="B10" s="215" t="s">
        <v>1480</v>
      </c>
      <c r="C10" s="216">
        <f ca="1">ROUND(D10*E10/10000,0)</f>
        <v>0</v>
      </c>
      <c r="D10" s="794">
        <f ca="1">IF(B1="",'数据-汇总表'!E6,IF(INDIRECT("'数据-取费表'!c"&amp;$G$1)="住宅",INDIRECT("'数据-取费表'!s"&amp;$G$1),INDIRECT("'数据-取费表'!k"&amp;$G$1)+INDIRECT("'数据-取费表'!s"&amp;$G$1)))</f>
        <v>0</v>
      </c>
      <c r="E10" s="216">
        <f>'数据-取费表'!B28</f>
        <v>190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3</v>
      </c>
      <c r="D19" s="203">
        <f ca="1">D9+D10</f>
        <v>141.37</v>
      </c>
      <c r="E19" s="202">
        <f>'数据-取费表'!B31</f>
        <v>200</v>
      </c>
      <c r="F19" s="222"/>
      <c r="G19" s="1712"/>
    </row>
    <row r="20" spans="1:7" s="205" customFormat="1" ht="13.5" customHeight="1">
      <c r="A20" s="246" t="s">
        <v>1493</v>
      </c>
      <c r="B20" s="201" t="s">
        <v>1494</v>
      </c>
      <c r="C20" s="223">
        <f ca="1">ROUND((C5+C19)*F20,0)</f>
        <v>424</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2082</v>
      </c>
      <c r="D22" s="226">
        <f ca="1">C26</f>
        <v>1E-3</v>
      </c>
      <c r="E22" s="227" t="s">
        <v>1498</v>
      </c>
      <c r="F22" s="228">
        <f ca="1">'数据-取费表'!B40</f>
        <v>4.7500000000000001E-2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2062</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20</v>
      </c>
      <c r="D25" s="229"/>
      <c r="E25" s="232"/>
      <c r="F25" s="230"/>
      <c r="G25" s="233" t="s">
        <v>1510</v>
      </c>
    </row>
    <row r="26" spans="1:7" s="205" customFormat="1">
      <c r="A26" s="733" t="s">
        <v>350</v>
      </c>
      <c r="B26" s="206" t="s">
        <v>1511</v>
      </c>
      <c r="C26" s="229">
        <f ca="1">ROUND(IF('数据-取费表'!B22&lt;=1,F21*F22*'数据-取费表'!B23/2,F21*(POWER((1+F22),'数据-取费表'!B23/2)-1)),4)</f>
        <v>1E-3</v>
      </c>
      <c r="D26" s="229"/>
      <c r="E26" s="232"/>
      <c r="F26" s="230"/>
      <c r="G26" s="234"/>
    </row>
    <row r="27" spans="1:7" s="205" customFormat="1" ht="24.75">
      <c r="A27" s="246" t="s">
        <v>1512</v>
      </c>
      <c r="B27" s="235" t="s">
        <v>1513</v>
      </c>
      <c r="C27" s="236">
        <f ca="1">C28</f>
        <v>4327</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ROUND((C5+C19+C20)*F27*'数据-取费表'!B21/'数据-取费表'!B20,0)</f>
        <v>4327</v>
      </c>
      <c r="D28" s="226"/>
      <c r="E28" s="227"/>
      <c r="F28" s="237"/>
      <c r="G28" s="238"/>
    </row>
    <row r="29" spans="1:7" s="205" customFormat="1" ht="13.5" customHeight="1">
      <c r="A29" s="733" t="s">
        <v>347</v>
      </c>
      <c r="B29" s="239" t="s">
        <v>1517</v>
      </c>
      <c r="C29" s="229">
        <f ca="1">ROUND(C21*F27*'数据-取费表'!B21/'数据-取费表'!B20,4)</f>
        <v>4.0000000000000001E-3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30395</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56</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49</v>
      </c>
      <c r="D34" s="208"/>
      <c r="E34" s="211"/>
      <c r="F34" s="248">
        <f ca="1">IF('数据-取费表'!B24=0,1,IF(B1="",'数据-取费表'!N16,INDIRECT("'数据-取费表'!n"&amp;$G$1)))</f>
        <v>1</v>
      </c>
      <c r="G34" s="210" t="s">
        <v>1526</v>
      </c>
    </row>
    <row r="35" spans="1:7" ht="13.5" customHeight="1">
      <c r="A35" s="733" t="s">
        <v>351</v>
      </c>
      <c r="B35" s="206" t="s">
        <v>1527</v>
      </c>
      <c r="C35" s="211">
        <f ca="1">ROUND(C34*F35,0)</f>
        <v>1</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2</v>
      </c>
      <c r="D36" s="211"/>
      <c r="E36" s="211"/>
      <c r="F36" s="250">
        <f>'数据-取费表'!B34</f>
        <v>0.05</v>
      </c>
      <c r="G36" s="251" t="s">
        <v>1530</v>
      </c>
    </row>
    <row r="37" spans="1:7" s="249" customFormat="1" ht="13.5" customHeight="1">
      <c r="A37" s="733" t="s">
        <v>353</v>
      </c>
      <c r="B37" s="206" t="s">
        <v>1531</v>
      </c>
      <c r="C37" s="240">
        <f ca="1">ROUND(E37*D37*F34/10000,0)</f>
        <v>3</v>
      </c>
      <c r="D37" s="208">
        <f ca="1">D19</f>
        <v>141.37</v>
      </c>
      <c r="E37" s="240">
        <f>'数据-取费表'!B35</f>
        <v>200</v>
      </c>
      <c r="F37" s="250"/>
      <c r="G37" s="252" t="s">
        <v>1532</v>
      </c>
    </row>
    <row r="38" spans="1:7" ht="13.5" customHeight="1">
      <c r="A38" s="733" t="s">
        <v>354</v>
      </c>
      <c r="B38" s="206" t="s">
        <v>1533</v>
      </c>
      <c r="C38" s="211">
        <f ca="1">ROUND(C34*F38,0)</f>
        <v>1</v>
      </c>
      <c r="D38" s="211"/>
      <c r="E38" s="211"/>
      <c r="F38" s="250">
        <f>'数据-取费表'!B36</f>
        <v>1.4999999999999999E-2</v>
      </c>
      <c r="G38" s="210" t="s">
        <v>1528</v>
      </c>
    </row>
    <row r="39" spans="1:7" s="205" customFormat="1" ht="13.5" customHeight="1">
      <c r="A39" s="246" t="s">
        <v>1534</v>
      </c>
      <c r="B39" s="201" t="s">
        <v>1535</v>
      </c>
      <c r="C39" s="223">
        <f ca="1">ROUND(C33*F20,0)</f>
        <v>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3</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3</v>
      </c>
      <c r="D42" s="229"/>
      <c r="E42" s="229"/>
      <c r="F42" s="230"/>
      <c r="G42" s="3372" t="s">
        <v>1544</v>
      </c>
    </row>
    <row r="43" spans="1:7" ht="13.5" customHeight="1">
      <c r="A43" s="733" t="s">
        <v>347</v>
      </c>
      <c r="B43" s="206" t="s">
        <v>1545</v>
      </c>
      <c r="C43" s="229">
        <f ca="1">ROUND(IF('数据-取费表'!B22&lt;=1,C39*F22*'数据-取费表'!B21/2,C39*(POWER((1+F22),'数据-取费表'!B21/2)-1)),0)</f>
        <v>0</v>
      </c>
      <c r="D43" s="229"/>
      <c r="E43" s="229"/>
      <c r="F43" s="230"/>
      <c r="G43" s="3373"/>
    </row>
    <row r="44" spans="1:7" ht="13.5" customHeight="1">
      <c r="A44" s="733" t="s">
        <v>348</v>
      </c>
      <c r="B44" s="206" t="s">
        <v>1546</v>
      </c>
      <c r="C44" s="229">
        <f ca="1">ROUND(IF('数据-取费表'!B22&lt;=1,C40*F22*'数据-取费表'!B21/2,C40*(POWER((1+F22),'数据-取费表'!B21/2)-1)),4)</f>
        <v>1E-3</v>
      </c>
      <c r="D44" s="229"/>
      <c r="E44" s="229"/>
      <c r="F44" s="230"/>
      <c r="G44" s="3374"/>
    </row>
    <row r="45" spans="1:7" s="205" customFormat="1" ht="13.5" customHeight="1">
      <c r="A45" s="246" t="s">
        <v>1547</v>
      </c>
      <c r="B45" s="235" t="s">
        <v>1513</v>
      </c>
      <c r="C45" s="236">
        <f ca="1">C46</f>
        <v>11</v>
      </c>
      <c r="D45" s="226">
        <f ca="1">C47</f>
        <v>4.0000000000000001E-3</v>
      </c>
      <c r="E45" s="227" t="s">
        <v>1539</v>
      </c>
      <c r="F45" s="237">
        <f ca="1">F27</f>
        <v>0.2</v>
      </c>
      <c r="G45" s="238" t="s">
        <v>1548</v>
      </c>
    </row>
    <row r="46" spans="1:7" s="205" customFormat="1" ht="13.5" customHeight="1">
      <c r="A46" s="733" t="s">
        <v>346</v>
      </c>
      <c r="B46" s="239" t="s">
        <v>1549</v>
      </c>
      <c r="C46" s="240">
        <f ca="1">ROUND((C33+C39)*F27,0)</f>
        <v>11</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77</v>
      </c>
      <c r="D49" s="223"/>
      <c r="E49" s="223"/>
      <c r="F49" s="255"/>
      <c r="G49" s="225" t="s">
        <v>1554</v>
      </c>
    </row>
    <row r="50" spans="1:7" s="249" customFormat="1" ht="24">
      <c r="A50" s="246" t="s">
        <v>1555</v>
      </c>
      <c r="B50" s="201" t="s">
        <v>1556</v>
      </c>
      <c r="C50" s="223"/>
      <c r="D50" s="223"/>
      <c r="E50" s="223"/>
      <c r="F50" s="255">
        <f>IF('数据-取费表'!B24=0,'数据-取费表'!N16,1)</f>
        <v>0.8</v>
      </c>
      <c r="G50" s="238" t="s">
        <v>1557</v>
      </c>
    </row>
    <row r="51" spans="1:7" ht="16.5" customHeight="1">
      <c r="A51" s="246" t="s">
        <v>1558</v>
      </c>
      <c r="B51" s="201" t="s">
        <v>1559</v>
      </c>
      <c r="C51" s="223">
        <f ca="1">ROUND(C49*F50,0)</f>
        <v>62</v>
      </c>
      <c r="D51" s="223"/>
      <c r="E51" s="223"/>
      <c r="F51" s="255"/>
      <c r="G51" s="225" t="s">
        <v>1560</v>
      </c>
    </row>
    <row r="52" spans="1:7" s="199" customFormat="1" ht="16.5" thickBot="1">
      <c r="A52" s="256" t="s">
        <v>1561</v>
      </c>
      <c r="B52" s="257"/>
      <c r="C52" s="258">
        <f ca="1">C31+C51</f>
        <v>30457</v>
      </c>
      <c r="D52" s="257"/>
      <c r="E52" s="257"/>
      <c r="F52" s="257"/>
      <c r="G52" s="259"/>
    </row>
    <row r="55" spans="1:7" ht="15">
      <c r="B55" s="261" t="s">
        <v>1562</v>
      </c>
      <c r="C55" s="262"/>
    </row>
    <row r="56" spans="1:7">
      <c r="B56" s="264" t="s">
        <v>802</v>
      </c>
      <c r="C56" s="266">
        <f ca="1">1-C57</f>
        <v>0.998</v>
      </c>
    </row>
    <row r="57" spans="1:7">
      <c r="B57" s="264" t="s">
        <v>803</v>
      </c>
      <c r="C57" s="265">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90" t="str">
        <f>项目基本情况!B1</f>
        <v>北京市预评估</v>
      </c>
      <c r="C37" s="3190"/>
      <c r="D37" s="3190"/>
      <c r="E37" s="3190"/>
      <c r="F37" s="3190"/>
      <c r="G37" s="3190"/>
      <c r="H37" s="3190"/>
      <c r="I37" s="3190"/>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25223</v>
      </c>
      <c r="C2" s="267" t="s">
        <v>1595</v>
      </c>
      <c r="D2" s="267"/>
      <c r="E2" s="2562"/>
      <c r="F2" s="2562"/>
      <c r="G2" s="2562"/>
      <c r="H2" s="2562"/>
      <c r="I2" s="2562"/>
      <c r="J2" s="2562"/>
      <c r="K2" s="2562"/>
    </row>
    <row r="3" spans="1:33" ht="18" customHeight="1" thickBot="1">
      <c r="A3" s="194" t="s">
        <v>1464</v>
      </c>
      <c r="B3" s="195">
        <f ca="1">ROUND(B2*10000/IF(C1="",'数据-汇总表'!E3,INDIRECT("'数据-取费表'!K"&amp;$K$1)),0)</f>
        <v>1784183</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141.37</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141.37</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-21204</v>
      </c>
      <c r="D18" s="795"/>
      <c r="E18" s="21"/>
      <c r="F18" s="755"/>
      <c r="G18" s="1718"/>
      <c r="H18" s="1104"/>
      <c r="I18" s="1719" t="s">
        <v>1625</v>
      </c>
      <c r="J18" s="758"/>
      <c r="K18" s="759"/>
    </row>
    <row r="19" spans="1:33" s="754" customFormat="1" ht="13.5" customHeight="1">
      <c r="A19" s="751" t="s">
        <v>360</v>
      </c>
      <c r="B19" s="752" t="s">
        <v>1626</v>
      </c>
      <c r="C19" s="21">
        <f ca="1">ROUND(D19*E19/10000,0)</f>
        <v>2</v>
      </c>
      <c r="D19" s="795">
        <f ca="1">IF(C1="",'数据-汇总表'!E5,IF(INDIRECT("'数据-取费表'!c"&amp;$K$1)="住宅",INDIRECT("'数据-取费表'!k"&amp;$K$1),0))</f>
        <v>141.37</v>
      </c>
      <c r="E19" s="21">
        <f>'数据-取费表'!B27</f>
        <v>150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190</v>
      </c>
      <c r="F20" s="755"/>
      <c r="G20" s="12"/>
      <c r="H20" s="760"/>
      <c r="I20" s="760"/>
      <c r="J20" s="760"/>
      <c r="K20" s="761"/>
    </row>
    <row r="21" spans="1:33" s="754" customFormat="1" ht="13.5" customHeight="1">
      <c r="A21" s="743" t="s">
        <v>357</v>
      </c>
      <c r="B21" s="764" t="s">
        <v>1628</v>
      </c>
      <c r="C21" s="765">
        <f ca="1">C16+C17+C18</f>
        <v>-21204</v>
      </c>
      <c r="D21" s="766"/>
      <c r="E21" s="272"/>
      <c r="F21" s="272"/>
      <c r="G21" s="122" t="s">
        <v>1629</v>
      </c>
      <c r="H21" s="758"/>
      <c r="I21" s="758"/>
      <c r="J21" s="758"/>
      <c r="K21" s="759"/>
    </row>
    <row r="22" spans="1:33" s="754" customFormat="1" ht="13.5" customHeight="1">
      <c r="A22" s="743" t="s">
        <v>1601</v>
      </c>
      <c r="B22" s="764" t="s">
        <v>1630</v>
      </c>
      <c r="C22" s="765">
        <f ca="1">ROUND(C21*F22,0)</f>
        <v>-424</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-4326</v>
      </c>
      <c r="D28" s="271">
        <f ca="1">C29</f>
        <v>0</v>
      </c>
      <c r="E28" s="273" t="s">
        <v>12</v>
      </c>
      <c r="F28" s="279">
        <f ca="1">IF(C1="",'数据-取费表'!Q16,INDIRECT("'数据-取费表'!q"&amp;$K$1))</f>
        <v>0.2</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-4326</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25223</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3"/>
      <c r="H2" s="2463"/>
      <c r="I2" s="2463"/>
      <c r="J2" s="2463"/>
      <c r="K2" s="2464"/>
      <c r="L2" s="2463"/>
      <c r="M2" s="2463"/>
    </row>
    <row r="3" spans="1:37" ht="18" customHeight="1" thickBot="1">
      <c r="A3" s="1295" t="s">
        <v>806</v>
      </c>
      <c r="B3" s="1296">
        <f ca="1">IF(ISERROR(B2*10000/F43),0,ROUND(B2*10000/F43,0))</f>
        <v>0</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377" t="s">
        <v>694</v>
      </c>
      <c r="C6" s="1010">
        <f ca="1">ROUND(F6*F8*F7*(1-F9)/10000,0)</f>
        <v>0</v>
      </c>
      <c r="D6" s="146" t="s">
        <v>2106</v>
      </c>
      <c r="E6" s="293" t="s">
        <v>696</v>
      </c>
      <c r="F6" s="294">
        <f ca="1">INDIRECT("'数据-取费表'!u"&amp;$G$1)</f>
        <v>0</v>
      </c>
      <c r="G6" s="1290"/>
      <c r="H6" s="1005" t="s">
        <v>398</v>
      </c>
      <c r="I6" s="3377" t="s">
        <v>694</v>
      </c>
      <c r="J6" s="292">
        <f ca="1">ROUND(M6*M8*M7*(1-M9)/10000,0)</f>
        <v>0</v>
      </c>
      <c r="K6" s="146" t="s">
        <v>2105</v>
      </c>
      <c r="L6" s="293" t="s">
        <v>696</v>
      </c>
      <c r="M6" s="294">
        <f ca="1">INDIRECT("'数据-取费表'!z"&amp;$G$1)</f>
        <v>0</v>
      </c>
    </row>
    <row r="7" spans="1:37" ht="18" customHeight="1">
      <c r="A7" s="1009"/>
      <c r="B7" s="3378"/>
      <c r="C7" s="1011"/>
      <c r="D7" s="298"/>
      <c r="E7" s="1012" t="s">
        <v>697</v>
      </c>
      <c r="F7" s="294">
        <f ca="1">IF(INDIRECT("'数据-取费表'!ah"&amp;$G$1)="",INDIRECT("'数据-取费表'!k"&amp;$G$1),INDIRECT("'数据-取费表'!ah"&amp;$G$1))</f>
        <v>0</v>
      </c>
      <c r="G7" s="1290"/>
      <c r="H7" s="295"/>
      <c r="I7" s="3378"/>
      <c r="J7" s="297"/>
      <c r="K7" s="298"/>
      <c r="L7" s="293" t="s">
        <v>697</v>
      </c>
      <c r="M7" s="294">
        <f ca="1">F7</f>
        <v>0</v>
      </c>
    </row>
    <row r="8" spans="1:37" ht="18" customHeight="1">
      <c r="A8" s="295"/>
      <c r="B8" s="3378"/>
      <c r="C8" s="297"/>
      <c r="D8" s="298"/>
      <c r="E8" s="293" t="s">
        <v>698</v>
      </c>
      <c r="F8" s="294">
        <f ca="1">INDIRECT("'数据-取费表'!ai"&amp;$G$1)</f>
        <v>0</v>
      </c>
      <c r="G8" s="1290"/>
      <c r="H8" s="295"/>
      <c r="I8" s="3378"/>
      <c r="J8" s="297"/>
      <c r="K8" s="298"/>
      <c r="L8" s="293" t="s">
        <v>698</v>
      </c>
      <c r="M8" s="294">
        <f ca="1">INDIRECT("'数据-取费表'!ai"&amp;$G$1)</f>
        <v>0</v>
      </c>
    </row>
    <row r="9" spans="1:37" ht="18" customHeight="1">
      <c r="A9" s="295"/>
      <c r="B9" s="3379"/>
      <c r="C9" s="297"/>
      <c r="D9" s="298"/>
      <c r="E9" s="293" t="s">
        <v>699</v>
      </c>
      <c r="F9" s="303">
        <f ca="1">INDIRECT("'数据-取费表'!w"&amp;$G$1)</f>
        <v>0</v>
      </c>
      <c r="G9" s="1290"/>
      <c r="H9" s="295"/>
      <c r="I9" s="3379"/>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2114</v>
      </c>
      <c r="E10" s="304" t="s">
        <v>701</v>
      </c>
      <c r="F10" s="1052"/>
      <c r="G10" s="1290"/>
      <c r="H10" s="1005" t="s">
        <v>402</v>
      </c>
      <c r="I10" s="1272" t="s">
        <v>700</v>
      </c>
      <c r="J10" s="292">
        <f ca="1">ROUND(IF(M10="押一",J6/12*M11,IF(M10="押二",J6/12*2*M11,IF(M10="押三",J6/12*3*M11,J11*M11))),0)</f>
        <v>0</v>
      </c>
      <c r="K10" s="149" t="s">
        <v>2113</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3336</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ROUND(IF(AND(项目基本情况!B11="自然人",项目基本情况!B10="北京市"),C6*F31/(1+'数据-取费表'!C42),C32+C33+C34),2)</f>
        <v>0</v>
      </c>
      <c r="D31" s="1255" t="s">
        <v>720</v>
      </c>
      <c r="E31" s="1254" t="s">
        <v>770</v>
      </c>
      <c r="F31" s="2134">
        <f ca="1">IF(项目基本情况!B11="企业","——",IF(M47="住宅",IF(F6*F7*F8/12/(1+'数据-取费表'!F30)&gt;100000,4%,2.5%),IF(F6*F7*F8/12/(1+'数据-取费表'!F30)&gt;100000,12%,7%)))</f>
        <v>7.0000000000000007E-2</v>
      </c>
      <c r="G31" s="1290"/>
      <c r="H31" s="2564" t="s">
        <v>2305</v>
      </c>
      <c r="I31" s="1303"/>
      <c r="J31" s="1304"/>
      <c r="K31" s="120"/>
      <c r="L31" s="2466"/>
      <c r="M31" s="2467"/>
    </row>
    <row r="32" spans="1:37" ht="18" customHeight="1">
      <c r="A32" s="927" t="s">
        <v>397</v>
      </c>
      <c r="B32" s="293" t="s">
        <v>723</v>
      </c>
      <c r="C32" s="21" t="str">
        <f>IF(项目基本情况!B11="自然人","——",ROUND(C6*F32/(1+'数据-取费表'!C42),2))</f>
        <v>——</v>
      </c>
      <c r="D32" s="1254" t="s">
        <v>724</v>
      </c>
      <c r="E32" s="293" t="s">
        <v>712</v>
      </c>
      <c r="F32" s="321">
        <f>'数据-取费表'!B41</f>
        <v>5.5000000000000007E-2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IF(项目基本情况!B11="自然人","——",ROUND(F34*F35/10000,2))</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ROUND(C29*F36,2)</f>
        <v>0</v>
      </c>
      <c r="D36" s="1254" t="s">
        <v>771</v>
      </c>
      <c r="E36" s="293" t="s">
        <v>712</v>
      </c>
      <c r="F36" s="319">
        <f ca="1">INDIRECT("'数据-取费表'!Ak"&amp;$G$1)</f>
        <v>0</v>
      </c>
      <c r="G36" s="1290"/>
      <c r="H36" s="2468"/>
      <c r="I36" s="1303"/>
      <c r="J36" s="1304"/>
      <c r="K36" s="2325"/>
      <c r="L36" s="2468"/>
      <c r="M36" s="2468"/>
    </row>
    <row r="37" spans="1:18" ht="18" customHeight="1">
      <c r="A37" s="927" t="s">
        <v>437</v>
      </c>
      <c r="B37" s="293" t="s">
        <v>742</v>
      </c>
      <c r="C37" s="21">
        <f ca="1">ROUND(C13*F37,2)</f>
        <v>0</v>
      </c>
      <c r="D37" s="1254" t="s">
        <v>743</v>
      </c>
      <c r="E37" s="293" t="s">
        <v>744</v>
      </c>
      <c r="F37" s="320">
        <f ca="1">INDIRECT("'数据-取费表'!Al"&amp;$G$1)</f>
        <v>0</v>
      </c>
      <c r="G37" s="1290"/>
      <c r="H37" s="2468"/>
      <c r="I37" s="1303"/>
      <c r="J37" s="1304"/>
      <c r="K37" s="2325"/>
      <c r="L37" s="2468"/>
      <c r="M37" s="2468"/>
    </row>
    <row r="38" spans="1:18" ht="18" customHeight="1" thickBot="1">
      <c r="A38" s="1025" t="s">
        <v>684</v>
      </c>
      <c r="B38" s="1026" t="s">
        <v>728</v>
      </c>
      <c r="C38" s="1027">
        <f ca="1">ROUND(C5*F38,2)</f>
        <v>0</v>
      </c>
      <c r="D38" s="1028" t="s">
        <v>748</v>
      </c>
      <c r="E38" s="1026" t="s">
        <v>744</v>
      </c>
      <c r="F38" s="1022">
        <f ca="1">INDIRECT("'数据-取费表'!Am"&amp;$G$1)</f>
        <v>0</v>
      </c>
      <c r="G38" s="1290"/>
      <c r="H38" s="2468"/>
      <c r="I38" s="1303"/>
      <c r="J38" s="1304"/>
      <c r="K38" s="2466"/>
      <c r="L38" s="2468"/>
      <c r="M38" s="2468"/>
    </row>
    <row r="39" spans="1:18" ht="24.6" customHeight="1" thickTop="1">
      <c r="A39" s="1015" t="s">
        <v>394</v>
      </c>
      <c r="B39" s="1030" t="s">
        <v>772</v>
      </c>
      <c r="C39" s="301">
        <f ca="1">C5-C30</f>
        <v>0</v>
      </c>
      <c r="D39" s="1031" t="s">
        <v>773</v>
      </c>
      <c r="E39" s="1032"/>
      <c r="F39" s="1033"/>
      <c r="G39" s="1290"/>
      <c r="H39" s="2468"/>
      <c r="I39" s="1303"/>
      <c r="J39" s="1304"/>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2107</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2113</v>
      </c>
      <c r="E53" s="304" t="s">
        <v>701</v>
      </c>
      <c r="F53" s="1052"/>
      <c r="I53" s="1342" t="s">
        <v>836</v>
      </c>
      <c r="J53" s="2001">
        <f ca="1">IF(M47="住宅",IF(D1="——",MAX(J51,L48),MAX(J51,L48-'数据-取费表'!B24)),IF(D1="——",MIN(J51,L48),MIN(J51,L48-'数据-取费表'!B24)))</f>
        <v>0</v>
      </c>
      <c r="K53" s="3375" t="s">
        <v>837</v>
      </c>
      <c r="L53" s="3376"/>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5.5000000000000007E-2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4" zoomScale="90" zoomScaleNormal="70" zoomScaleSheetLayoutView="90" workbookViewId="0">
      <selection activeCell="L48" sqref="L48"/>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3375</v>
      </c>
      <c r="D1" s="1269" t="s">
        <v>43</v>
      </c>
      <c r="E1" s="1270" t="s">
        <v>678</v>
      </c>
      <c r="F1" s="998">
        <f ca="1">J53</f>
        <v>70</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7">
        <f ca="1">ROUND(D2/10000,4)</f>
        <v>279.56939999999997</v>
      </c>
      <c r="C2" s="1287" t="s">
        <v>879</v>
      </c>
      <c r="D2" s="1373">
        <f ca="1">C40+J29+L46</f>
        <v>2795694</v>
      </c>
      <c r="E2" s="1293" t="s">
        <v>880</v>
      </c>
      <c r="F2" s="1294"/>
      <c r="G2" s="2473"/>
      <c r="H2" s="2463"/>
      <c r="I2" s="2463"/>
      <c r="J2" s="2463"/>
      <c r="K2" s="2464"/>
      <c r="L2" s="2463"/>
      <c r="M2" s="2463"/>
    </row>
    <row r="3" spans="1:37" ht="18" customHeight="1" thickBot="1">
      <c r="A3" s="1295" t="s">
        <v>881</v>
      </c>
      <c r="B3" s="1296">
        <f ca="1">IF(ISERROR(D2/F43),0,ROUND(D2/F43,0))</f>
        <v>19776</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81041</v>
      </c>
      <c r="D5" s="1271" t="s">
        <v>889</v>
      </c>
      <c r="E5" s="1007"/>
      <c r="F5" s="1008"/>
      <c r="G5" s="1290"/>
      <c r="H5" s="290">
        <v>1</v>
      </c>
      <c r="I5" s="291" t="s">
        <v>888</v>
      </c>
      <c r="J5" s="1006">
        <f ca="1">J6+J10+J12</f>
        <v>381.5123558650057</v>
      </c>
      <c r="K5" s="1271" t="s">
        <v>889</v>
      </c>
      <c r="L5" s="1007"/>
      <c r="M5" s="1008"/>
    </row>
    <row r="6" spans="1:37" ht="18" customHeight="1">
      <c r="A6" s="1005" t="s">
        <v>398</v>
      </c>
      <c r="B6" s="3377" t="s">
        <v>694</v>
      </c>
      <c r="C6" s="1010">
        <f ca="1">ROUND(F6*F8*F7*(1-F9),0)</f>
        <v>80940</v>
      </c>
      <c r="D6" s="146" t="s">
        <v>2103</v>
      </c>
      <c r="E6" s="293" t="s">
        <v>696</v>
      </c>
      <c r="F6" s="294">
        <f ca="1">INDIRECT("'数据-取费表'!u"&amp;$G$1)</f>
        <v>7100</v>
      </c>
      <c r="G6" s="1290"/>
      <c r="H6" s="1005" t="s">
        <v>398</v>
      </c>
      <c r="I6" s="3377" t="s">
        <v>694</v>
      </c>
      <c r="J6" s="292">
        <f ca="1">ROUND(M6*M8*M7*(1-M9),0)</f>
        <v>0</v>
      </c>
      <c r="K6" s="1282" t="s">
        <v>2104</v>
      </c>
      <c r="L6" s="293" t="s">
        <v>696</v>
      </c>
      <c r="M6" s="294">
        <f ca="1">INDIRECT("'数据-取费表'!z"&amp;$G$1)</f>
        <v>0</v>
      </c>
    </row>
    <row r="7" spans="1:37" ht="18" customHeight="1">
      <c r="A7" s="1009"/>
      <c r="B7" s="3378"/>
      <c r="C7" s="1011"/>
      <c r="D7" s="298"/>
      <c r="E7" s="1012" t="s">
        <v>697</v>
      </c>
      <c r="F7" s="294">
        <f ca="1">IF(INDIRECT("'数据-取费表'!ah"&amp;$G$1)="",INDIRECT("'数据-取费表'!k"&amp;$G$1),INDIRECT("'数据-取费表'!ah"&amp;$G$1))</f>
        <v>1</v>
      </c>
      <c r="G7" s="1290"/>
      <c r="H7" s="295"/>
      <c r="I7" s="3378"/>
      <c r="J7" s="297"/>
      <c r="K7" s="298"/>
      <c r="L7" s="293" t="s">
        <v>697</v>
      </c>
      <c r="M7" s="294">
        <f ca="1">F7</f>
        <v>1</v>
      </c>
    </row>
    <row r="8" spans="1:37" ht="18" customHeight="1">
      <c r="A8" s="295"/>
      <c r="B8" s="3378"/>
      <c r="C8" s="297"/>
      <c r="D8" s="298"/>
      <c r="E8" s="293" t="s">
        <v>698</v>
      </c>
      <c r="F8" s="294">
        <f ca="1">INDIRECT("'数据-取费表'!ai"&amp;$G$1)</f>
        <v>12</v>
      </c>
      <c r="G8" s="1290"/>
      <c r="H8" s="295"/>
      <c r="I8" s="3378"/>
      <c r="J8" s="297"/>
      <c r="K8" s="298"/>
      <c r="L8" s="293" t="s">
        <v>698</v>
      </c>
      <c r="M8" s="294">
        <f ca="1">INDIRECT("'数据-取费表'!ai"&amp;$G$1)</f>
        <v>12</v>
      </c>
    </row>
    <row r="9" spans="1:37" ht="18" customHeight="1">
      <c r="A9" s="295"/>
      <c r="B9" s="3379"/>
      <c r="C9" s="297"/>
      <c r="D9" s="298"/>
      <c r="E9" s="293" t="s">
        <v>699</v>
      </c>
      <c r="F9" s="303">
        <f ca="1">INDIRECT("'数据-取费表'!w"&amp;$G$1)</f>
        <v>0.05</v>
      </c>
      <c r="G9" s="1290"/>
      <c r="H9" s="295"/>
      <c r="I9" s="3379"/>
      <c r="J9" s="297"/>
      <c r="K9" s="298"/>
      <c r="L9" s="304" t="s">
        <v>699</v>
      </c>
      <c r="M9" s="305">
        <f ca="1">INDIRECT("'数据-取费表'!ab"&amp;$G$1)</f>
        <v>0</v>
      </c>
    </row>
    <row r="10" spans="1:37" ht="18" customHeight="1">
      <c r="A10" s="1005" t="s">
        <v>402</v>
      </c>
      <c r="B10" s="1272" t="s">
        <v>700</v>
      </c>
      <c r="C10" s="307">
        <f ca="1">ROUND(IF(F10="押一",C6/12*F11,IF(F10="押二",C6/12*2*F11,IF(F10="押三",C6/12*3*F11,C11*F11))),0)</f>
        <v>101</v>
      </c>
      <c r="D10" s="149" t="s">
        <v>2113</v>
      </c>
      <c r="E10" s="304" t="s">
        <v>701</v>
      </c>
      <c r="F10" s="1052" t="s">
        <v>3395</v>
      </c>
      <c r="G10" s="1290"/>
      <c r="H10" s="1005" t="s">
        <v>402</v>
      </c>
      <c r="I10" s="1272" t="s">
        <v>700</v>
      </c>
      <c r="J10" s="292">
        <f ca="1">ROUND(IF(M10="押一",J6/12*M11,IF(M10="押二",J6/12*2*M11,IF(M10="押三",J6/12*3*M11,J11*M11))),0)</f>
        <v>0</v>
      </c>
      <c r="K10" s="1283" t="s">
        <v>2115</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f>18/0.04*(1-1/1.04^48)</f>
        <v>381.5123558650057</v>
      </c>
      <c r="K12" s="1034"/>
      <c r="L12" s="1026"/>
      <c r="M12" s="1035"/>
    </row>
    <row r="13" spans="1:37" ht="18" customHeight="1" thickTop="1">
      <c r="A13" s="1015">
        <v>2</v>
      </c>
      <c r="B13" s="1016" t="s">
        <v>704</v>
      </c>
      <c r="C13" s="301">
        <f ca="1">ROUND(C29*F13,0)</f>
        <v>628999</v>
      </c>
      <c r="D13" s="1017" t="s">
        <v>705</v>
      </c>
      <c r="E13" s="1017" t="s">
        <v>706</v>
      </c>
      <c r="F13" s="1018">
        <f ca="1">INDIRECT("'数据-取费表'!y"&amp;$G$1)</f>
        <v>0.8</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494795</v>
      </c>
      <c r="D14" s="1255" t="s">
        <v>708</v>
      </c>
      <c r="E14" s="1253"/>
      <c r="F14" s="310"/>
      <c r="G14" s="1290"/>
      <c r="H14" s="927" t="s">
        <v>398</v>
      </c>
      <c r="I14" s="293" t="s">
        <v>709</v>
      </c>
      <c r="J14" s="21">
        <f ca="1">C29</f>
        <v>786249</v>
      </c>
      <c r="K14" s="12"/>
      <c r="L14" s="758"/>
      <c r="M14" s="759"/>
    </row>
    <row r="15" spans="1:37" s="1302" customFormat="1" ht="18" customHeight="1" thickBot="1">
      <c r="A15" s="927" t="s">
        <v>399</v>
      </c>
      <c r="B15" s="293" t="s">
        <v>710</v>
      </c>
      <c r="C15" s="21">
        <f ca="1">ROUND(C14*F15,0)</f>
        <v>14844</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24740</v>
      </c>
      <c r="D16" s="293" t="s">
        <v>711</v>
      </c>
      <c r="E16" s="293" t="s">
        <v>712</v>
      </c>
      <c r="F16" s="313">
        <f ca="1">IF(INDIRECT("'数据-取费表'!c"&amp;$G$1)="住宅",'数据-取费表'!B34,0)</f>
        <v>0.05</v>
      </c>
      <c r="G16" s="1290"/>
      <c r="H16" s="1015" t="s">
        <v>393</v>
      </c>
      <c r="I16" s="1016" t="s">
        <v>714</v>
      </c>
      <c r="J16" s="301">
        <f ca="1">ROUND(J17+J22+J23+J24,0)</f>
        <v>11798</v>
      </c>
      <c r="K16" s="1023" t="s">
        <v>715</v>
      </c>
      <c r="L16" s="1024"/>
      <c r="M16" s="1008"/>
    </row>
    <row r="17" spans="1:37" s="1302" customFormat="1" ht="18" customHeight="1">
      <c r="A17" s="927" t="s">
        <v>681</v>
      </c>
      <c r="B17" s="293" t="s">
        <v>716</v>
      </c>
      <c r="C17" s="21">
        <f ca="1">ROUND(F17*(F43+INDIRECT("'数据-取费表'!S"&amp;$G$1)),0)</f>
        <v>28274</v>
      </c>
      <c r="D17" s="293" t="s">
        <v>717</v>
      </c>
      <c r="E17" s="293" t="s">
        <v>718</v>
      </c>
      <c r="F17" s="23">
        <f>'数据-取费表'!B35</f>
        <v>200</v>
      </c>
      <c r="G17" s="1301"/>
      <c r="H17" s="927" t="s">
        <v>398</v>
      </c>
      <c r="I17" s="293" t="s">
        <v>719</v>
      </c>
      <c r="J17" s="2135">
        <f ca="1">ROUND(IF(AND(项目基本情况!B11="自然人",项目基本情况!B10="北京市"),J6*M17/(1+'数据-取费表'!C42),J18+J19+J20),0)</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7422</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570075</v>
      </c>
      <c r="D19" s="122" t="s">
        <v>726</v>
      </c>
      <c r="E19" s="1267"/>
      <c r="F19" s="23"/>
      <c r="G19" s="1290"/>
      <c r="H19" s="927" t="s">
        <v>399</v>
      </c>
      <c r="I19" s="293" t="s">
        <v>727</v>
      </c>
      <c r="J19" s="21">
        <f ca="1">IF(K19="按租金收入计税",ROUND(J6*M19/(1+'数据-取费表'!C42),0),ROUND(C29*M19*0.7,0))</f>
        <v>0</v>
      </c>
      <c r="K19" s="1276" t="s">
        <v>3336</v>
      </c>
      <c r="L19" s="293" t="s">
        <v>712</v>
      </c>
      <c r="M19" s="313">
        <f>IF(K19="按租金收入计税",'数据-取费表'!B51,'数据-取费表'!B50)</f>
        <v>0.12</v>
      </c>
    </row>
    <row r="20" spans="1:37" s="1302" customFormat="1" ht="18" customHeight="1">
      <c r="A20" s="927" t="s">
        <v>402</v>
      </c>
      <c r="B20" s="293" t="s">
        <v>728</v>
      </c>
      <c r="C20" s="21">
        <f ca="1">ROUND(C19*F20,0)</f>
        <v>11402</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11794</v>
      </c>
      <c r="K22" s="1254" t="s">
        <v>739</v>
      </c>
      <c r="L22" s="293" t="s">
        <v>712</v>
      </c>
      <c r="M22" s="319">
        <f ca="1">INDIRECT("'数据-取费表'!Ak"&amp;$G$1)</f>
        <v>1.4999999999999999E-2</v>
      </c>
    </row>
    <row r="23" spans="1:37" s="1302" customFormat="1" ht="18" customHeight="1">
      <c r="A23" s="927" t="s">
        <v>397</v>
      </c>
      <c r="B23" s="293" t="s">
        <v>740</v>
      </c>
      <c r="C23" s="21">
        <f ca="1">IF('数据-取费表'!B22&lt;=1,ROUND(C19*F24*F23/2,0)+ROUND(C20*F24*F23/2,0),ROUND(C19*(POWER((1+F24),F23/2)-1),0)+ROUND(C20*(POWER((1+F24),F23/2)-1),0))</f>
        <v>27621</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ROUND(J13*M23,0)</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3182">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ROUND(J5*M24,0)</f>
        <v>4</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-11416.487644134995</v>
      </c>
      <c r="K25" s="1031" t="s">
        <v>753</v>
      </c>
      <c r="L25" s="1032"/>
      <c r="M25" s="1033"/>
    </row>
    <row r="26" spans="1:37" ht="18" customHeight="1">
      <c r="A26" s="927" t="s">
        <v>397</v>
      </c>
      <c r="B26" s="293" t="s">
        <v>754</v>
      </c>
      <c r="C26" s="21">
        <f ca="1">ROUND((C19+C20)*F26,0)</f>
        <v>116295</v>
      </c>
      <c r="D26" s="314" t="s">
        <v>755</v>
      </c>
      <c r="E26" s="304" t="s">
        <v>756</v>
      </c>
      <c r="F26" s="303">
        <f ca="1">INDIRECT("'数据-取费表'!q"&amp;$G$1)</f>
        <v>0.2</v>
      </c>
      <c r="G26" s="1290"/>
      <c r="H26" s="290" t="s">
        <v>395</v>
      </c>
      <c r="I26" s="291" t="s">
        <v>757</v>
      </c>
      <c r="J26" s="292">
        <f ca="1">IF(J5&lt;&gt;0,ROUND(J25*(1-((1+M28)/(1+M26))^M27)/(M26-M28),0),0)</f>
        <v>0</v>
      </c>
      <c r="K26" s="315" t="s">
        <v>758</v>
      </c>
      <c r="L26" s="293" t="s">
        <v>759</v>
      </c>
      <c r="M26" s="303">
        <f ca="1">INDIRECT("'数据-取费表'!I"&amp;$G$1)</f>
        <v>4.4999999999999998E-2</v>
      </c>
    </row>
    <row r="27" spans="1:37" ht="18" customHeight="1">
      <c r="A27" s="927" t="s">
        <v>399</v>
      </c>
      <c r="B27" s="293" t="s">
        <v>760</v>
      </c>
      <c r="C27" s="21">
        <f ca="1">ROUND(F21*F26,4)</f>
        <v>4.0000000000000001E-3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786249</v>
      </c>
      <c r="D29" s="1028"/>
      <c r="E29" s="1026"/>
      <c r="F29" s="1029"/>
      <c r="G29" s="1301"/>
      <c r="H29" s="324" t="s">
        <v>396</v>
      </c>
      <c r="I29" s="325" t="s">
        <v>768</v>
      </c>
      <c r="J29" s="326">
        <f ca="1">ROUND(J26/(1+F40)^F41,0)</f>
        <v>0</v>
      </c>
      <c r="K29" s="327" t="s">
        <v>769</v>
      </c>
      <c r="L29" s="328"/>
      <c r="M29" s="329">
        <f ca="1">INDIRECT("'数据-取费表'!k"&amp;$G$1)</f>
        <v>141.37</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15160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ROUND(IF(AND(项目基本情况!B11="自然人",项目基本情况!B10="北京市"),C6*F31/(1+'数据-取费表'!C42),C32+C33+C34),0)</f>
        <v>1927</v>
      </c>
      <c r="D31" s="1255" t="s">
        <v>720</v>
      </c>
      <c r="E31" s="1254" t="s">
        <v>770</v>
      </c>
      <c r="F31" s="2134">
        <f ca="1">IF(项目基本情况!B11="企业","——",IF(M47="住宅",IF(F6*F7*F8/12/(1+'数据-取费表'!F30)&gt;100000,4%,2.5%),IF(F6*F7*F8/12/(1+'数据-取费表'!F30)&gt;100000,12%,7%)))</f>
        <v>2.5000000000000001E-2</v>
      </c>
      <c r="G31" s="1290"/>
      <c r="H31" s="3187" t="s">
        <v>2305</v>
      </c>
      <c r="I31" s="1303"/>
      <c r="J31" s="1304"/>
      <c r="K31" s="120"/>
      <c r="L31" s="2466"/>
      <c r="M31" s="2467"/>
    </row>
    <row r="32" spans="1:37" ht="18" customHeight="1">
      <c r="A32" s="927" t="s">
        <v>397</v>
      </c>
      <c r="B32" s="293" t="s">
        <v>723</v>
      </c>
      <c r="C32" s="21" t="str">
        <f>IF(项目基本情况!B11="自然人","——",ROUND(C6*F32/(1+'数据-取费表'!C42),0))</f>
        <v>——</v>
      </c>
      <c r="D32" s="1254" t="s">
        <v>724</v>
      </c>
      <c r="E32" s="293" t="s">
        <v>712</v>
      </c>
      <c r="F32" s="321">
        <f>'数据-取费表'!B41</f>
        <v>5.5000000000000007E-2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IF(项目基本情况!B11="自然人","——",ROUND(F34*F35,0))</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ROUND(C29*F36,0)</f>
        <v>11794</v>
      </c>
      <c r="D36" s="1254" t="s">
        <v>771</v>
      </c>
      <c r="E36" s="293" t="s">
        <v>712</v>
      </c>
      <c r="F36" s="319">
        <f ca="1">INDIRECT("'数据-取费表'!Ak"&amp;$G$1)</f>
        <v>1.4999999999999999E-2</v>
      </c>
      <c r="G36" s="1290"/>
      <c r="H36" s="2468"/>
      <c r="I36" s="1303"/>
      <c r="J36" s="1304"/>
      <c r="K36" s="2325"/>
      <c r="L36" s="2468"/>
      <c r="M36" s="2468"/>
    </row>
    <row r="37" spans="1:18" ht="18" customHeight="1">
      <c r="A37" s="927" t="s">
        <v>437</v>
      </c>
      <c r="B37" s="293" t="s">
        <v>742</v>
      </c>
      <c r="C37" s="21">
        <f ca="1">ROUND(C13*F37,0)</f>
        <v>629</v>
      </c>
      <c r="D37" s="1254" t="s">
        <v>743</v>
      </c>
      <c r="E37" s="293" t="s">
        <v>744</v>
      </c>
      <c r="F37" s="320">
        <f ca="1">INDIRECT("'数据-取费表'!Al"&amp;$G$1)</f>
        <v>1E-3</v>
      </c>
      <c r="G37" s="1290"/>
      <c r="H37" s="2468"/>
      <c r="I37" s="1303"/>
      <c r="J37" s="1304"/>
      <c r="K37" s="2325"/>
      <c r="L37" s="2468"/>
      <c r="M37" s="2468"/>
    </row>
    <row r="38" spans="1:18" ht="18" customHeight="1" thickBot="1">
      <c r="A38" s="1025" t="s">
        <v>684</v>
      </c>
      <c r="B38" s="1026" t="s">
        <v>728</v>
      </c>
      <c r="C38" s="1027">
        <f ca="1">ROUND(C5*F38,0)</f>
        <v>810</v>
      </c>
      <c r="D38" s="1028" t="s">
        <v>748</v>
      </c>
      <c r="E38" s="1026" t="s">
        <v>744</v>
      </c>
      <c r="F38" s="1022">
        <f ca="1">INDIRECT("'数据-取费表'!Am"&amp;$G$1)</f>
        <v>0.01</v>
      </c>
      <c r="G38" s="1290"/>
      <c r="H38" s="2468"/>
      <c r="I38" s="1303"/>
      <c r="J38" s="1304"/>
      <c r="K38" s="2466"/>
      <c r="L38" s="2468"/>
      <c r="M38" s="2468"/>
    </row>
    <row r="39" spans="1:18" ht="24.6" customHeight="1" thickTop="1">
      <c r="A39" s="1015" t="s">
        <v>394</v>
      </c>
      <c r="B39" s="1030" t="s">
        <v>772</v>
      </c>
      <c r="C39" s="301">
        <f ca="1">C5-C30</f>
        <v>65881</v>
      </c>
      <c r="D39" s="1031" t="s">
        <v>773</v>
      </c>
      <c r="E39" s="1032"/>
      <c r="F39" s="1033"/>
      <c r="G39" s="1290"/>
      <c r="H39" s="2468"/>
      <c r="I39" s="1303"/>
      <c r="J39" s="1304"/>
      <c r="K39" s="2466"/>
      <c r="L39" s="2468"/>
      <c r="M39" s="2468"/>
    </row>
    <row r="40" spans="1:18" ht="18" customHeight="1">
      <c r="A40" s="290" t="s">
        <v>395</v>
      </c>
      <c r="B40" s="291" t="s">
        <v>774</v>
      </c>
      <c r="C40" s="292">
        <f ca="1">ROUND(C39*(1-((1+F42)/(1+F40))^F41)/(F40-F42),0)</f>
        <v>2795694</v>
      </c>
      <c r="D40" s="315" t="s">
        <v>758</v>
      </c>
      <c r="E40" s="293" t="s">
        <v>759</v>
      </c>
      <c r="F40" s="303">
        <f ca="1">INDIRECT("'数据-取费表'!I"&amp;$G$1)</f>
        <v>4.4999999999999998E-2</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70</v>
      </c>
      <c r="G41" s="1290"/>
      <c r="H41" s="120"/>
      <c r="I41" s="1303"/>
      <c r="J41" s="1304"/>
      <c r="K41" s="2325"/>
      <c r="L41" s="120"/>
      <c r="M41" s="120"/>
    </row>
    <row r="42" spans="1:18" ht="18" customHeight="1">
      <c r="A42" s="299"/>
      <c r="B42" s="300"/>
      <c r="C42" s="301"/>
      <c r="D42" s="318"/>
      <c r="E42" s="293" t="s">
        <v>766</v>
      </c>
      <c r="F42" s="303">
        <f ca="1">INDIRECT("'数据-取费表'!v"&amp;$G$1)</f>
        <v>0.03</v>
      </c>
      <c r="G42" s="1290"/>
      <c r="H42" s="120"/>
      <c r="I42" s="1303"/>
      <c r="J42" s="1304"/>
      <c r="K42" s="2325"/>
      <c r="L42" s="120"/>
      <c r="M42" s="120"/>
    </row>
    <row r="43" spans="1:18" ht="18" customHeight="1" thickBot="1">
      <c r="A43" s="324" t="s">
        <v>396</v>
      </c>
      <c r="B43" s="325" t="s">
        <v>776</v>
      </c>
      <c r="C43" s="326">
        <f ca="1">ROUND(C40/F43,0)</f>
        <v>19776</v>
      </c>
      <c r="D43" s="327" t="s">
        <v>777</v>
      </c>
      <c r="E43" s="328" t="s">
        <v>778</v>
      </c>
      <c r="F43" s="329">
        <f ca="1">INDIRECT("'数据-取费表'!k"&amp;$G$1)</f>
        <v>141.37</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3123" t="s">
        <v>3352</v>
      </c>
      <c r="B45" s="1305"/>
      <c r="C45" s="1374">
        <f ca="1">ROUND((C68-C40)/10000,4)</f>
        <v>-305.90879999999999</v>
      </c>
      <c r="D45" s="3124" t="s">
        <v>3353</v>
      </c>
      <c r="E45" s="1305"/>
      <c r="F45" s="1305"/>
      <c r="O45" s="1308" t="s">
        <v>808</v>
      </c>
      <c r="P45" s="1364"/>
      <c r="Q45" s="1364"/>
      <c r="R45" s="1364"/>
    </row>
    <row r="46" spans="1:18" s="1290" customFormat="1" ht="13.5" thickBot="1">
      <c r="A46" s="1309" t="s">
        <v>809</v>
      </c>
      <c r="C46" s="1310">
        <f ca="1">ROUND(C45,0)</f>
        <v>-306</v>
      </c>
      <c r="D46" s="1311" t="str">
        <f>C2</f>
        <v>万元</v>
      </c>
      <c r="I46" s="1312" t="s">
        <v>810</v>
      </c>
      <c r="J46" s="1313"/>
      <c r="K46" s="1314"/>
      <c r="L46" s="1315">
        <f>IF(M47="住宅",0,IF(L48&gt;J51,L60,J60))</f>
        <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3396</v>
      </c>
      <c r="K47" s="1321" t="s">
        <v>816</v>
      </c>
      <c r="L47" s="1322">
        <f ca="1">INDIRECT("'数据-取费表'!d"&amp;$G$1)</f>
        <v>70</v>
      </c>
      <c r="M47" s="1286" t="str">
        <f>IF(ISNUMBER(FIND("住宅",C1)),"住宅","非住宅")</f>
        <v>住宅</v>
      </c>
      <c r="O47" s="1323" t="s">
        <v>403</v>
      </c>
      <c r="P47" s="1324" t="s">
        <v>817</v>
      </c>
      <c r="Q47" s="1325">
        <f ca="1">C40+J29</f>
        <v>2795694</v>
      </c>
      <c r="R47" s="1325" t="s">
        <v>818</v>
      </c>
    </row>
    <row r="48" spans="1:18" s="1290" customFormat="1" ht="28.5" thickBot="1">
      <c r="A48" s="1046" t="s">
        <v>438</v>
      </c>
      <c r="B48" s="291" t="s">
        <v>692</v>
      </c>
      <c r="C48" s="1266">
        <f ca="1">C49+C53+C55</f>
        <v>0</v>
      </c>
      <c r="D48" s="1048"/>
      <c r="E48" s="1049"/>
      <c r="F48" s="907"/>
      <c r="G48" s="680"/>
      <c r="H48" s="681"/>
      <c r="I48" s="1326" t="s">
        <v>819</v>
      </c>
      <c r="J48" s="1327" t="s">
        <v>3397</v>
      </c>
      <c r="K48" s="1328" t="s">
        <v>820</v>
      </c>
      <c r="L48" s="1329">
        <f ca="1">INDIRECT("'数据-取费表'!f"&amp;$G$1)</f>
        <v>70</v>
      </c>
      <c r="O48" s="1323" t="s">
        <v>404</v>
      </c>
      <c r="P48" s="1324" t="s">
        <v>821</v>
      </c>
      <c r="Q48" s="1325" t="str">
        <f ca="1">J60</f>
        <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2001</v>
      </c>
      <c r="K49" s="1328" t="s">
        <v>824</v>
      </c>
      <c r="L49" s="1331"/>
      <c r="O49" s="1332" t="s">
        <v>405</v>
      </c>
      <c r="P49" s="1324" t="s">
        <v>825</v>
      </c>
      <c r="Q49" s="1325">
        <f ca="1">C29</f>
        <v>786249</v>
      </c>
      <c r="R49" s="1325" t="s">
        <v>818</v>
      </c>
    </row>
    <row r="50" spans="1:18" s="1290" customFormat="1" ht="13.5"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5" thickBot="1">
      <c r="A51" s="922"/>
      <c r="B51" s="924"/>
      <c r="C51" s="925"/>
      <c r="D51" s="898"/>
      <c r="E51" s="926" t="s">
        <v>698</v>
      </c>
      <c r="F51" s="294">
        <f ca="1">F8</f>
        <v>12</v>
      </c>
      <c r="I51" s="1336" t="s">
        <v>829</v>
      </c>
      <c r="J51" s="1329">
        <f>IF(J49="",J50,J49+J50-YEAR('数据-取费表'!B2))</f>
        <v>37</v>
      </c>
      <c r="K51" s="1337" t="s">
        <v>830</v>
      </c>
      <c r="L51" s="1338">
        <f ca="1">ROUND(-PV(INDIRECT("'数据-取费表'!h"&amp;$G$1),J51,(C39-C13*C76),0),0)</f>
        <v>578876</v>
      </c>
      <c r="M51" s="1339"/>
      <c r="O51" s="1332" t="s">
        <v>407</v>
      </c>
      <c r="P51" s="1324" t="s">
        <v>831</v>
      </c>
      <c r="Q51" s="1335">
        <f>J52</f>
        <v>5.5E-2</v>
      </c>
      <c r="R51" s="1325"/>
    </row>
    <row r="52" spans="1:18" s="1290" customFormat="1" ht="13.5" thickBot="1">
      <c r="A52" s="922"/>
      <c r="B52" s="924"/>
      <c r="C52" s="925"/>
      <c r="D52" s="898"/>
      <c r="E52" s="926" t="s">
        <v>699</v>
      </c>
      <c r="F52" s="990"/>
      <c r="I52" s="1340" t="s">
        <v>832</v>
      </c>
      <c r="J52" s="1341">
        <v>5.5E-2</v>
      </c>
      <c r="K52" s="1340" t="s">
        <v>833</v>
      </c>
      <c r="L52" s="1341"/>
      <c r="O52" s="1332" t="s">
        <v>408</v>
      </c>
      <c r="P52" s="1324" t="s">
        <v>834</v>
      </c>
      <c r="Q52" s="1325">
        <f ca="1">J53</f>
        <v>70</v>
      </c>
      <c r="R52" s="1325" t="s">
        <v>835</v>
      </c>
    </row>
    <row r="53" spans="1:18" s="1290" customFormat="1" ht="30.75" customHeight="1" thickBot="1">
      <c r="A53" s="1047" t="s">
        <v>440</v>
      </c>
      <c r="B53" s="314" t="s">
        <v>700</v>
      </c>
      <c r="C53" s="307">
        <f ca="1">ROUND(IF(F53="押一",C49/12*F11,IF(F53="押二",C49/12*2*F11,IF(F53="押三",C49/12*3*F11,C54*F11))),0)</f>
        <v>0</v>
      </c>
      <c r="D53" s="149" t="s">
        <v>2116</v>
      </c>
      <c r="E53" s="304" t="s">
        <v>701</v>
      </c>
      <c r="F53" s="1052"/>
      <c r="I53" s="1342" t="s">
        <v>836</v>
      </c>
      <c r="J53" s="2001">
        <f ca="1">IF(M47="住宅",IF(D1="——",MAX(J51,L48),MAX(J51,L48-'数据-取费表'!B24)),IF(D1="——",MIN(J51,L48),MIN(J51,L48-'数据-取费表'!B24)))</f>
        <v>70</v>
      </c>
      <c r="K53" s="3375" t="s">
        <v>837</v>
      </c>
      <c r="L53" s="3376"/>
      <c r="O53" s="1323" t="s">
        <v>409</v>
      </c>
      <c r="P53" s="1324" t="s">
        <v>838</v>
      </c>
      <c r="Q53" s="1325">
        <f ca="1">Q47+Q48</f>
        <v>2795694</v>
      </c>
      <c r="R53" s="1325" t="s">
        <v>410</v>
      </c>
    </row>
    <row r="54" spans="1:18" s="1290" customFormat="1" ht="13.5"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628999</v>
      </c>
      <c r="D56" s="1350"/>
      <c r="E56" s="1351"/>
      <c r="F56" s="1343"/>
      <c r="I56" s="1352" t="s">
        <v>842</v>
      </c>
      <c r="J56" s="1353" t="s">
        <v>3398</v>
      </c>
      <c r="K56" s="1326" t="s">
        <v>843</v>
      </c>
      <c r="L56" s="1329">
        <f ca="1">IF(L48&lt;J51,"——",L48-J51)</f>
        <v>33</v>
      </c>
      <c r="O56" s="1323" t="s">
        <v>403</v>
      </c>
      <c r="P56" s="1324" t="s">
        <v>817</v>
      </c>
      <c r="Q56" s="1325">
        <f ca="1">C40+J29</f>
        <v>2795694</v>
      </c>
      <c r="R56" s="1325" t="s">
        <v>818</v>
      </c>
    </row>
    <row r="57" spans="1:18" s="1290" customFormat="1" ht="24.75" thickBot="1">
      <c r="A57" s="1354"/>
      <c r="B57" s="895" t="s">
        <v>767</v>
      </c>
      <c r="C57" s="229">
        <f ca="1">C29</f>
        <v>786249</v>
      </c>
      <c r="D57" s="1355"/>
      <c r="E57" s="1356"/>
      <c r="F57" s="1357"/>
      <c r="I57" s="1358" t="s">
        <v>844</v>
      </c>
      <c r="J57" s="1359" t="str">
        <f ca="1">IF(OR(M47="住宅",J51&lt;L48,J56="是"),"——",J51-L48)</f>
        <v>——</v>
      </c>
      <c r="K57" s="1326" t="s">
        <v>892</v>
      </c>
      <c r="L57" s="1329">
        <f ca="1">IF(L48&lt;J51,"——",IF(L55="比较法",L49,IF(L55="基准地价",L50,L51)))</f>
        <v>578876</v>
      </c>
      <c r="O57" s="1323" t="s">
        <v>404</v>
      </c>
      <c r="P57" s="1324" t="s">
        <v>893</v>
      </c>
      <c r="Q57" s="1325">
        <f ca="1">L60</f>
        <v>0</v>
      </c>
      <c r="R57" s="1325" t="s">
        <v>894</v>
      </c>
    </row>
    <row r="58" spans="1:18" s="1290" customFormat="1" ht="24.75" thickBot="1">
      <c r="A58" s="306" t="s">
        <v>393</v>
      </c>
      <c r="B58" s="903" t="s">
        <v>714</v>
      </c>
      <c r="C58" s="307">
        <f ca="1">ROUND(C59+C64+C65+C66,0)</f>
        <v>12423</v>
      </c>
      <c r="D58" s="905" t="s">
        <v>715</v>
      </c>
      <c r="E58" s="906"/>
      <c r="F58" s="907"/>
      <c r="I58" s="1358" t="s">
        <v>848</v>
      </c>
      <c r="J58" s="1360" t="e">
        <f ca="1">IF(J55&lt;0.4,0.4,J55)</f>
        <v>#VALUE!</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5.5000000000000007E-2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2795694</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11794</v>
      </c>
      <c r="D64" s="909" t="s">
        <v>791</v>
      </c>
      <c r="E64" s="895" t="s">
        <v>783</v>
      </c>
      <c r="F64" s="319">
        <f t="shared" ca="1" si="0"/>
        <v>1.4999999999999999E-2</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629</v>
      </c>
      <c r="D65" s="909" t="s">
        <v>743</v>
      </c>
      <c r="E65" s="895" t="s">
        <v>744</v>
      </c>
      <c r="F65" s="320">
        <f t="shared" ca="1" si="0"/>
        <v>1E-3</v>
      </c>
      <c r="I65" s="1365" t="s">
        <v>867</v>
      </c>
      <c r="J65" s="609">
        <v>40</v>
      </c>
      <c r="K65" s="609">
        <v>30</v>
      </c>
      <c r="L65" s="609">
        <v>50</v>
      </c>
      <c r="M65" s="1367">
        <v>0.02</v>
      </c>
      <c r="O65" s="1323" t="s">
        <v>403</v>
      </c>
      <c r="P65" s="1324" t="s">
        <v>868</v>
      </c>
      <c r="Q65" s="1325">
        <f ca="1">C40+J29</f>
        <v>2795694</v>
      </c>
      <c r="R65" s="1325" t="s">
        <v>818</v>
      </c>
    </row>
    <row r="66" spans="1:18" s="1290" customFormat="1" ht="16.5" thickBot="1">
      <c r="A66" s="927" t="s">
        <v>793</v>
      </c>
      <c r="B66" s="895" t="s">
        <v>728</v>
      </c>
      <c r="C66" s="21">
        <f ca="1">ROUND(C48*F66,0)</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-12423</v>
      </c>
      <c r="D67" s="908" t="s">
        <v>753</v>
      </c>
      <c r="E67" s="913"/>
      <c r="F67" s="914"/>
      <c r="O67" s="1332" t="s">
        <v>405</v>
      </c>
      <c r="P67" s="1324" t="s">
        <v>850</v>
      </c>
      <c r="Q67" s="1368">
        <f ca="1">L51</f>
        <v>578876</v>
      </c>
      <c r="R67" s="1325" t="s">
        <v>870</v>
      </c>
    </row>
    <row r="68" spans="1:18" s="1290" customFormat="1" ht="16.5" thickBot="1">
      <c r="A68" s="892" t="s">
        <v>395</v>
      </c>
      <c r="B68" s="893" t="s">
        <v>774</v>
      </c>
      <c r="C68" s="292">
        <f ca="1">ROUND(C67*(1-((1+F70)/(1+F68))^F69)/(F68-F70),0)</f>
        <v>-263394</v>
      </c>
      <c r="D68" s="910" t="s">
        <v>758</v>
      </c>
      <c r="E68" s="895" t="s">
        <v>759</v>
      </c>
      <c r="F68" s="303">
        <f ca="1">F40</f>
        <v>4.4999999999999998E-2</v>
      </c>
      <c r="O68" s="1332" t="s">
        <v>406</v>
      </c>
      <c r="P68" s="1369" t="s">
        <v>871</v>
      </c>
      <c r="Q68" s="1325">
        <f ca="1">ROUND(Q69-Q70*Q71,0)</f>
        <v>28141</v>
      </c>
      <c r="R68" s="1325" t="s">
        <v>414</v>
      </c>
    </row>
    <row r="69" spans="1:18" s="1290" customFormat="1" ht="13.5" thickBot="1">
      <c r="A69" s="896"/>
      <c r="B69" s="897"/>
      <c r="C69" s="297"/>
      <c r="D69" s="915" t="s">
        <v>762</v>
      </c>
      <c r="E69" s="895" t="s">
        <v>763</v>
      </c>
      <c r="F69" s="323">
        <f ca="1">F41</f>
        <v>70</v>
      </c>
      <c r="O69" s="1332" t="s">
        <v>411</v>
      </c>
      <c r="P69" s="1369" t="s">
        <v>872</v>
      </c>
      <c r="Q69" s="1325">
        <f ca="1">C39</f>
        <v>65881</v>
      </c>
      <c r="R69" s="1325" t="s">
        <v>818</v>
      </c>
    </row>
    <row r="70" spans="1:18" s="1290" customFormat="1" ht="13.5" thickBot="1">
      <c r="A70" s="899"/>
      <c r="B70" s="900"/>
      <c r="C70" s="301"/>
      <c r="D70" s="911"/>
      <c r="E70" s="895" t="s">
        <v>766</v>
      </c>
      <c r="F70" s="990"/>
      <c r="O70" s="1332" t="s">
        <v>412</v>
      </c>
      <c r="P70" s="1369" t="s">
        <v>873</v>
      </c>
      <c r="Q70" s="1325">
        <f ca="1">C13</f>
        <v>628999</v>
      </c>
      <c r="R70" s="1325" t="s">
        <v>818</v>
      </c>
    </row>
    <row r="71" spans="1:18" s="1290" customFormat="1" ht="13.5" thickBot="1">
      <c r="A71" s="916" t="s">
        <v>396</v>
      </c>
      <c r="B71" s="917" t="s">
        <v>776</v>
      </c>
      <c r="C71" s="326">
        <f ca="1">ROUND(C68/F71,0)</f>
        <v>-1863</v>
      </c>
      <c r="D71" s="918" t="s">
        <v>777</v>
      </c>
      <c r="E71" s="919" t="s">
        <v>778</v>
      </c>
      <c r="F71" s="329">
        <f ca="1">F43</f>
        <v>141.37</v>
      </c>
      <c r="O71" s="1332" t="s">
        <v>413</v>
      </c>
      <c r="P71" s="1369" t="s">
        <v>874</v>
      </c>
      <c r="Q71" s="1335">
        <f ca="1">C76</f>
        <v>0.06</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37740</v>
      </c>
      <c r="D75" s="1290"/>
      <c r="E75" s="1290"/>
      <c r="F75" s="1290"/>
      <c r="K75" s="1307"/>
      <c r="L75" s="1290"/>
      <c r="O75" s="1323" t="s">
        <v>409</v>
      </c>
      <c r="P75" s="1324" t="s">
        <v>838</v>
      </c>
      <c r="Q75" s="1325">
        <f ca="1">Q65+Q66</f>
        <v>2795694</v>
      </c>
      <c r="R75" s="1325" t="s">
        <v>410</v>
      </c>
    </row>
    <row r="76" spans="1:18">
      <c r="B76" s="332" t="s">
        <v>796</v>
      </c>
      <c r="C76" s="333">
        <f ca="1">INDIRECT("'数据-取费表'!j"&amp;$G$1)</f>
        <v>0.06</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0.42700000000000005</v>
      </c>
    </row>
    <row r="80" spans="1:18">
      <c r="B80" s="330" t="s">
        <v>800</v>
      </c>
      <c r="C80" s="265">
        <f ca="1">ROUND(C75/C39,3)</f>
        <v>0.57299999999999995</v>
      </c>
    </row>
    <row r="81" spans="2:3">
      <c r="B81" s="261" t="s">
        <v>801</v>
      </c>
      <c r="C81" s="229"/>
    </row>
    <row r="82" spans="2:3">
      <c r="B82" s="264" t="s">
        <v>802</v>
      </c>
      <c r="C82" s="266">
        <f ca="1">1-C83</f>
        <v>0.77500000000000002</v>
      </c>
    </row>
    <row r="83" spans="2:3">
      <c r="B83" s="264" t="s">
        <v>803</v>
      </c>
      <c r="C83" s="265">
        <f ca="1">ROUND(C13/C40,3)</f>
        <v>0.22500000000000001</v>
      </c>
    </row>
  </sheetData>
  <sheetProtection formatCells="0" formatColumns="0" formatRows="0"/>
  <mergeCells count="3">
    <mergeCell ref="B6:B9"/>
    <mergeCell ref="I6:I9"/>
    <mergeCell ref="K53:L53"/>
  </mergeCells>
  <phoneticPr fontId="137" type="noConversion"/>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2433</v>
      </c>
      <c r="B1" s="2577"/>
      <c r="C1" s="2589"/>
      <c r="D1" s="2589"/>
      <c r="E1" s="2578"/>
      <c r="F1" s="2579"/>
      <c r="G1" s="2580"/>
      <c r="J1" s="2583" t="s">
        <v>2312</v>
      </c>
      <c r="K1" s="2584"/>
      <c r="L1" s="2584"/>
      <c r="M1" s="2584"/>
      <c r="N1" s="2584"/>
      <c r="O1" s="2584"/>
      <c r="P1" s="2584"/>
      <c r="Q1" s="2584"/>
      <c r="R1" s="2585"/>
      <c r="S1" s="2586"/>
      <c r="T1" s="2586"/>
      <c r="U1" s="2586"/>
    </row>
    <row r="2" spans="1:22" s="2598" customFormat="1" ht="13.15" customHeight="1">
      <c r="A2" s="1291" t="s">
        <v>2313</v>
      </c>
      <c r="B2" s="2588" t="e">
        <f>IF(D2="——",C40,C40+E2)</f>
        <v>#DIV/0!</v>
      </c>
      <c r="C2" s="2589" t="s">
        <v>2314</v>
      </c>
      <c r="D2" s="3132" t="s">
        <v>3359</v>
      </c>
      <c r="E2" s="3133"/>
      <c r="F2" s="2591"/>
      <c r="G2" s="2592"/>
      <c r="H2" s="2593"/>
      <c r="I2" s="2594"/>
      <c r="J2" s="3380" t="s">
        <v>2315</v>
      </c>
      <c r="K2" s="3381"/>
      <c r="L2" s="2595" t="s">
        <v>2316</v>
      </c>
      <c r="M2" s="2595" t="s">
        <v>2317</v>
      </c>
      <c r="N2" s="2595" t="s">
        <v>2318</v>
      </c>
      <c r="O2" s="2595" t="s">
        <v>2319</v>
      </c>
      <c r="P2" s="2595" t="s">
        <v>2320</v>
      </c>
      <c r="Q2" s="2596" t="s">
        <v>2321</v>
      </c>
      <c r="R2" s="2597" t="s">
        <v>2322</v>
      </c>
      <c r="S2" s="2586"/>
      <c r="T2" s="2586"/>
      <c r="U2" s="2586"/>
      <c r="V2" s="2594"/>
    </row>
    <row r="3" spans="1:22" s="2598" customFormat="1" ht="13.15" customHeight="1">
      <c r="A3" s="2599" t="s">
        <v>2323</v>
      </c>
      <c r="B3" s="2600" t="e">
        <f>ROUND(B2*10000/B4,0)</f>
        <v>#DIV/0!</v>
      </c>
      <c r="C3" s="2589" t="s">
        <v>2324</v>
      </c>
      <c r="D3" s="2589"/>
      <c r="E3" s="2590"/>
      <c r="F3" s="2591"/>
      <c r="G3" s="2592"/>
      <c r="H3" s="2593"/>
      <c r="I3" s="2594"/>
      <c r="J3" s="3382" t="s">
        <v>2325</v>
      </c>
      <c r="K3" s="3383"/>
      <c r="L3" s="2601"/>
      <c r="M3" s="2601"/>
      <c r="N3" s="2601"/>
      <c r="O3" s="2601"/>
      <c r="P3" s="2601"/>
      <c r="Q3" s="2602"/>
      <c r="R3" s="2603">
        <f>SUM(L3:Q3)</f>
        <v>0</v>
      </c>
      <c r="S3" s="2586"/>
      <c r="T3" s="2586"/>
      <c r="U3" s="2586"/>
      <c r="V3" s="2594"/>
    </row>
    <row r="4" spans="1:22" s="2598" customFormat="1" ht="13.15" customHeight="1">
      <c r="A4" s="2604" t="s">
        <v>2326</v>
      </c>
      <c r="B4" s="2605"/>
      <c r="C4" s="2589"/>
      <c r="D4" s="2589"/>
      <c r="E4" s="2590"/>
      <c r="F4" s="2591"/>
      <c r="G4" s="2592"/>
      <c r="H4" s="2593"/>
      <c r="I4" s="2594"/>
      <c r="J4" s="3382" t="s">
        <v>2327</v>
      </c>
      <c r="K4" s="3383"/>
      <c r="L4" s="2606"/>
      <c r="M4" s="2606"/>
      <c r="N4" s="2606"/>
      <c r="O4" s="2606"/>
      <c r="P4" s="2606"/>
      <c r="Q4" s="2607"/>
      <c r="R4" s="2608">
        <f>SUM(L4:Q4)</f>
        <v>0</v>
      </c>
      <c r="S4" s="2586"/>
      <c r="T4" s="2586"/>
      <c r="U4" s="2586"/>
      <c r="V4" s="2594"/>
    </row>
    <row r="5" spans="1:22" s="2598" customFormat="1" ht="13.15" customHeight="1" thickBot="1">
      <c r="A5" s="2609" t="s">
        <v>2328</v>
      </c>
      <c r="B5" s="2610"/>
      <c r="C5" s="2589"/>
      <c r="D5" s="2611"/>
      <c r="E5" s="2591"/>
      <c r="F5" s="2591"/>
      <c r="G5" s="2592"/>
      <c r="H5" s="2593"/>
      <c r="I5" s="2594"/>
      <c r="J5" s="2612" t="s">
        <v>2329</v>
      </c>
      <c r="K5" s="2613"/>
      <c r="L5" s="2613"/>
      <c r="M5" s="2614"/>
      <c r="N5" s="2614"/>
      <c r="O5" s="2614"/>
      <c r="P5" s="2614"/>
      <c r="Q5" s="2614"/>
      <c r="R5" s="2597">
        <f>SUM(R14,R19,R24,R25,R27,R28)</f>
        <v>0</v>
      </c>
      <c r="S5" s="2586"/>
      <c r="T5" s="2586" t="s">
        <v>2330</v>
      </c>
      <c r="U5" s="2586" t="e">
        <f>ROUND(R5*10000/365/R3,1)</f>
        <v>#DIV/0!</v>
      </c>
      <c r="V5" s="2594"/>
    </row>
    <row r="6" spans="1:22" s="2598" customFormat="1" ht="13.15" customHeight="1" thickBot="1">
      <c r="A6" s="3384" t="s">
        <v>2331</v>
      </c>
      <c r="B6" s="3385"/>
      <c r="C6" s="3386"/>
      <c r="D6" s="2615"/>
      <c r="E6" s="2616"/>
      <c r="F6" s="2617"/>
      <c r="G6" s="2618"/>
      <c r="H6" s="2593"/>
      <c r="I6" s="2594"/>
      <c r="J6" s="3387">
        <v>1</v>
      </c>
      <c r="K6" s="3388" t="s">
        <v>2332</v>
      </c>
      <c r="L6" s="2619" t="s">
        <v>2333</v>
      </c>
      <c r="M6" s="2620" t="s">
        <v>2334</v>
      </c>
      <c r="N6" s="2620" t="s">
        <v>2335</v>
      </c>
      <c r="O6" s="2620" t="s">
        <v>2336</v>
      </c>
      <c r="P6" s="2620" t="s">
        <v>2337</v>
      </c>
      <c r="Q6" s="2620" t="s">
        <v>2338</v>
      </c>
      <c r="R6" s="2603" t="s">
        <v>2339</v>
      </c>
      <c r="S6" s="2586"/>
      <c r="T6" s="2586" t="s">
        <v>2340</v>
      </c>
      <c r="U6" s="2586"/>
      <c r="V6" s="2594"/>
    </row>
    <row r="7" spans="1:22" s="2598" customFormat="1" ht="13.15" customHeight="1">
      <c r="A7" s="2621" t="s">
        <v>2341</v>
      </c>
      <c r="B7" s="2622"/>
      <c r="C7" s="2623"/>
      <c r="D7" s="2624">
        <f>SUM(D9,D10,D11,D17,0)</f>
        <v>0</v>
      </c>
      <c r="E7" s="2625" t="e">
        <f>E9+E10+E11+E17</f>
        <v>#DIV/0!</v>
      </c>
      <c r="F7" s="2626"/>
      <c r="G7" s="2627"/>
      <c r="H7" s="2593"/>
      <c r="I7" s="2594"/>
      <c r="J7" s="3387"/>
      <c r="K7" s="3389"/>
      <c r="L7" s="2628" t="s">
        <v>2342</v>
      </c>
      <c r="M7" s="2629"/>
      <c r="N7" s="2605"/>
      <c r="O7" s="2630"/>
      <c r="P7" s="2630"/>
      <c r="Q7" s="2631">
        <v>365</v>
      </c>
      <c r="R7" s="2632">
        <f>ROUND(M7*N7*O7*P7*Q7/10000,0)</f>
        <v>0</v>
      </c>
      <c r="S7" s="2586"/>
      <c r="T7" s="2586" t="s">
        <v>2343</v>
      </c>
      <c r="U7" s="2586"/>
      <c r="V7" s="2594"/>
    </row>
    <row r="8" spans="1:22" s="2598" customFormat="1" ht="13.15" customHeight="1">
      <c r="A8" s="2633" t="s">
        <v>2344</v>
      </c>
      <c r="B8" s="3391" t="s">
        <v>2345</v>
      </c>
      <c r="C8" s="3392"/>
      <c r="D8" s="2634" t="s">
        <v>2346</v>
      </c>
      <c r="E8" s="2635" t="s">
        <v>2347</v>
      </c>
      <c r="F8" s="2636" t="s">
        <v>2348</v>
      </c>
      <c r="G8" s="2637"/>
      <c r="H8" s="2593"/>
      <c r="I8" s="2594"/>
      <c r="J8" s="3387"/>
      <c r="K8" s="3389"/>
      <c r="L8" s="2628" t="s">
        <v>2349</v>
      </c>
      <c r="M8" s="2629"/>
      <c r="N8" s="2605"/>
      <c r="O8" s="2630"/>
      <c r="P8" s="2630"/>
      <c r="Q8" s="2631">
        <v>365</v>
      </c>
      <c r="R8" s="2632">
        <f t="shared" ref="R8:R13" si="0">ROUND(M8*N8*O8*P8*Q8/10000,0)</f>
        <v>0</v>
      </c>
      <c r="S8" s="2586"/>
      <c r="T8" s="2586" t="s">
        <v>2350</v>
      </c>
      <c r="U8" s="2586"/>
      <c r="V8" s="2594"/>
    </row>
    <row r="9" spans="1:22" s="2598" customFormat="1" ht="13.15" customHeight="1">
      <c r="A9" s="2633">
        <v>1</v>
      </c>
      <c r="B9" s="3391" t="s">
        <v>2351</v>
      </c>
      <c r="C9" s="3392"/>
      <c r="D9" s="2634">
        <f>ROUND(D6*E9,0)</f>
        <v>0</v>
      </c>
      <c r="E9" s="2638"/>
      <c r="F9" s="2639" t="s">
        <v>2352</v>
      </c>
      <c r="G9" s="2618"/>
      <c r="H9" s="2593"/>
      <c r="I9" s="2594"/>
      <c r="J9" s="3387"/>
      <c r="K9" s="3389"/>
      <c r="L9" s="2628" t="s">
        <v>2353</v>
      </c>
      <c r="M9" s="2629"/>
      <c r="N9" s="2605"/>
      <c r="O9" s="2630"/>
      <c r="P9" s="2630"/>
      <c r="Q9" s="2631">
        <v>365</v>
      </c>
      <c r="R9" s="2632">
        <f t="shared" si="0"/>
        <v>0</v>
      </c>
      <c r="S9" s="2586"/>
      <c r="T9" s="2586"/>
      <c r="U9" s="2586"/>
      <c r="V9" s="2594"/>
    </row>
    <row r="10" spans="1:22" s="2598" customFormat="1" ht="13.15" customHeight="1">
      <c r="A10" s="2633">
        <v>2</v>
      </c>
      <c r="B10" s="3391" t="s">
        <v>2354</v>
      </c>
      <c r="C10" s="3392"/>
      <c r="D10" s="2634">
        <f>ROUND(D6*E10,0)</f>
        <v>0</v>
      </c>
      <c r="E10" s="2638"/>
      <c r="F10" s="2639" t="s">
        <v>2355</v>
      </c>
      <c r="G10" s="2618"/>
      <c r="H10" s="2593"/>
      <c r="I10" s="2594"/>
      <c r="J10" s="3387"/>
      <c r="K10" s="3389"/>
      <c r="L10" s="2628" t="s">
        <v>2356</v>
      </c>
      <c r="M10" s="2629"/>
      <c r="N10" s="2605"/>
      <c r="O10" s="2630"/>
      <c r="P10" s="2630"/>
      <c r="Q10" s="2631">
        <v>365</v>
      </c>
      <c r="R10" s="2632">
        <f t="shared" si="0"/>
        <v>0</v>
      </c>
      <c r="S10" s="2586"/>
      <c r="T10" s="2586"/>
      <c r="U10" s="2586"/>
      <c r="V10" s="2594"/>
    </row>
    <row r="11" spans="1:22" s="2598" customFormat="1" ht="13.15" customHeight="1">
      <c r="A11" s="2633">
        <v>3</v>
      </c>
      <c r="B11" s="3391" t="s">
        <v>2357</v>
      </c>
      <c r="C11" s="3392"/>
      <c r="D11" s="2634">
        <f>D12+D14+D15+D16</f>
        <v>0</v>
      </c>
      <c r="E11" s="2640" t="e">
        <f>D11/D6</f>
        <v>#DIV/0!</v>
      </c>
      <c r="F11" s="2636"/>
      <c r="G11" s="2637"/>
      <c r="H11" s="2593"/>
      <c r="I11" s="2594"/>
      <c r="J11" s="3387"/>
      <c r="K11" s="3389"/>
      <c r="L11" s="2628" t="s">
        <v>2358</v>
      </c>
      <c r="M11" s="2629"/>
      <c r="N11" s="2605"/>
      <c r="O11" s="2630"/>
      <c r="P11" s="2630"/>
      <c r="Q11" s="2631">
        <v>365</v>
      </c>
      <c r="R11" s="2632">
        <f t="shared" si="0"/>
        <v>0</v>
      </c>
      <c r="S11" s="2586"/>
      <c r="T11" s="2586"/>
      <c r="U11" s="2586"/>
      <c r="V11" s="2594"/>
    </row>
    <row r="12" spans="1:22" s="2598" customFormat="1" ht="13.15" customHeight="1">
      <c r="A12" s="2641" t="s">
        <v>2359</v>
      </c>
      <c r="B12" s="3393" t="s">
        <v>2360</v>
      </c>
      <c r="C12" s="3394"/>
      <c r="D12" s="2642">
        <f>ROUND(D13*1.2%*(1-30%),0)</f>
        <v>0</v>
      </c>
      <c r="E12" s="2643">
        <v>1.2E-2</v>
      </c>
      <c r="F12" s="2636" t="s">
        <v>2361</v>
      </c>
      <c r="G12" s="2637"/>
      <c r="H12" s="2593"/>
      <c r="I12" s="2594"/>
      <c r="J12" s="3387"/>
      <c r="K12" s="3389"/>
      <c r="L12" s="2628" t="s">
        <v>2362</v>
      </c>
      <c r="M12" s="2629"/>
      <c r="N12" s="2605"/>
      <c r="O12" s="2630"/>
      <c r="P12" s="2630"/>
      <c r="Q12" s="2631">
        <v>365</v>
      </c>
      <c r="R12" s="2632">
        <f t="shared" si="0"/>
        <v>0</v>
      </c>
      <c r="S12" s="2586"/>
      <c r="T12" s="2586"/>
      <c r="U12" s="2586"/>
      <c r="V12" s="2594"/>
    </row>
    <row r="13" spans="1:22" s="2598" customFormat="1" ht="13.15" customHeight="1">
      <c r="A13" s="2641"/>
      <c r="B13" s="2644"/>
      <c r="C13" s="2645" t="s">
        <v>2363</v>
      </c>
      <c r="D13" s="2646"/>
      <c r="E13" s="2647"/>
      <c r="F13" s="2636"/>
      <c r="G13" s="2637"/>
      <c r="H13" s="2593"/>
      <c r="I13" s="2594"/>
      <c r="J13" s="3387"/>
      <c r="K13" s="3389"/>
      <c r="L13" s="2628" t="s">
        <v>2364</v>
      </c>
      <c r="M13" s="2629"/>
      <c r="N13" s="2605"/>
      <c r="O13" s="2630"/>
      <c r="P13" s="2630"/>
      <c r="Q13" s="2631">
        <v>365</v>
      </c>
      <c r="R13" s="2632">
        <f t="shared" si="0"/>
        <v>0</v>
      </c>
      <c r="S13" s="2586"/>
      <c r="T13" s="2586"/>
      <c r="U13" s="2586"/>
      <c r="V13" s="2594"/>
    </row>
    <row r="14" spans="1:22" s="2598" customFormat="1" ht="13.15" customHeight="1">
      <c r="A14" s="2641" t="s">
        <v>2365</v>
      </c>
      <c r="B14" s="3393" t="s">
        <v>2366</v>
      </c>
      <c r="C14" s="3394"/>
      <c r="D14" s="2642">
        <f>ROUND(E14*B5/10000,0)</f>
        <v>0</v>
      </c>
      <c r="E14" s="2631"/>
      <c r="F14" s="2636" t="s">
        <v>2367</v>
      </c>
      <c r="G14" s="2637"/>
      <c r="H14" s="2593"/>
      <c r="I14" s="2594"/>
      <c r="J14" s="3387"/>
      <c r="K14" s="3390"/>
      <c r="L14" s="2648" t="s">
        <v>2368</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2369</v>
      </c>
      <c r="B15" s="3393" t="s">
        <v>2370</v>
      </c>
      <c r="C15" s="3394"/>
      <c r="D15" s="2642">
        <f>ROUND(D6*E15,0)</f>
        <v>0</v>
      </c>
      <c r="E15" s="2643">
        <v>5.5E-2</v>
      </c>
      <c r="F15" s="2636" t="s">
        <v>2371</v>
      </c>
      <c r="G15" s="2618"/>
      <c r="H15" s="2593"/>
      <c r="I15" s="2594"/>
      <c r="J15" s="3387">
        <v>2</v>
      </c>
      <c r="K15" s="3388" t="s">
        <v>2372</v>
      </c>
      <c r="L15" s="2628" t="s">
        <v>2373</v>
      </c>
      <c r="M15" s="2629" t="s">
        <v>2374</v>
      </c>
      <c r="N15" s="2629" t="s">
        <v>2375</v>
      </c>
      <c r="O15" s="2630" t="s">
        <v>2376</v>
      </c>
      <c r="P15" s="2630" t="s">
        <v>2338</v>
      </c>
      <c r="Q15" s="2605" t="s">
        <v>2377</v>
      </c>
      <c r="R15" s="2652" t="s">
        <v>2339</v>
      </c>
      <c r="S15" s="2586"/>
      <c r="T15" s="2586"/>
      <c r="U15" s="2586"/>
      <c r="V15" s="2594"/>
    </row>
    <row r="16" spans="1:22" s="2598" customFormat="1" ht="13.15" customHeight="1">
      <c r="A16" s="2641" t="s">
        <v>2378</v>
      </c>
      <c r="B16" s="3393" t="s">
        <v>2379</v>
      </c>
      <c r="C16" s="3394"/>
      <c r="D16" s="2653">
        <f>D6*E16</f>
        <v>0</v>
      </c>
      <c r="E16" s="2654"/>
      <c r="F16" s="2639" t="s">
        <v>2380</v>
      </c>
      <c r="G16" s="2618"/>
      <c r="H16" s="2593"/>
      <c r="I16" s="2594"/>
      <c r="J16" s="3387"/>
      <c r="K16" s="3389"/>
      <c r="L16" s="2628" t="s">
        <v>2381</v>
      </c>
      <c r="M16" s="2629"/>
      <c r="N16" s="2629"/>
      <c r="O16" s="2630"/>
      <c r="P16" s="2631">
        <v>365</v>
      </c>
      <c r="Q16" s="2605"/>
      <c r="R16" s="2652">
        <f>ROUND(M16*N16*O16*P16/10000,0)</f>
        <v>0</v>
      </c>
      <c r="S16" s="2586"/>
      <c r="T16" s="2586"/>
      <c r="U16" s="2586"/>
      <c r="V16" s="2594"/>
    </row>
    <row r="17" spans="1:22" s="2598" customFormat="1" ht="13.15" customHeight="1" thickBot="1">
      <c r="A17" s="2655">
        <v>4</v>
      </c>
      <c r="B17" s="3395" t="s">
        <v>2382</v>
      </c>
      <c r="C17" s="3396"/>
      <c r="D17" s="2656">
        <f>ROUND(D6*E17,0)</f>
        <v>0</v>
      </c>
      <c r="E17" s="2657"/>
      <c r="F17" s="2658" t="s">
        <v>2383</v>
      </c>
      <c r="G17" s="2618"/>
      <c r="H17" s="2593"/>
      <c r="I17" s="2594"/>
      <c r="J17" s="3387"/>
      <c r="K17" s="3389"/>
      <c r="L17" s="2628" t="s">
        <v>2384</v>
      </c>
      <c r="M17" s="2629"/>
      <c r="N17" s="2629"/>
      <c r="O17" s="2630"/>
      <c r="P17" s="2631">
        <v>365</v>
      </c>
      <c r="Q17" s="2605"/>
      <c r="R17" s="2652">
        <f>ROUND(M17*N17*O17*P17/10000,0)</f>
        <v>0</v>
      </c>
      <c r="S17" s="2586"/>
      <c r="T17" s="2586"/>
      <c r="U17" s="2586"/>
      <c r="V17" s="2594"/>
    </row>
    <row r="18" spans="1:22" s="2598" customFormat="1" ht="13.15" customHeight="1" thickBot="1">
      <c r="A18" s="2621" t="s">
        <v>2385</v>
      </c>
      <c r="B18" s="2622"/>
      <c r="C18" s="2622"/>
      <c r="D18" s="2659">
        <f>ROUND(D6*E18,0)</f>
        <v>0</v>
      </c>
      <c r="E18" s="2660"/>
      <c r="F18" s="2661" t="s">
        <v>2386</v>
      </c>
      <c r="G18" s="2618"/>
      <c r="H18" s="2593"/>
      <c r="I18" s="2594"/>
      <c r="J18" s="3387"/>
      <c r="K18" s="3389"/>
      <c r="L18" s="2628" t="s">
        <v>2387</v>
      </c>
      <c r="M18" s="2629"/>
      <c r="N18" s="2629"/>
      <c r="O18" s="2630"/>
      <c r="P18" s="2631">
        <v>365</v>
      </c>
      <c r="Q18" s="2605"/>
      <c r="R18" s="2652">
        <f>ROUND(M18*N18*O18*P18/10000,0)</f>
        <v>0</v>
      </c>
      <c r="S18" s="2586"/>
      <c r="T18" s="2586"/>
      <c r="U18" s="2586"/>
      <c r="V18" s="2594"/>
    </row>
    <row r="19" spans="1:22" s="2598" customFormat="1" ht="13.15" customHeight="1" thickBot="1">
      <c r="A19" s="2662" t="s">
        <v>2388</v>
      </c>
      <c r="B19" s="2616"/>
      <c r="C19" s="2616"/>
      <c r="D19" s="2616"/>
      <c r="E19" s="2616"/>
      <c r="F19" s="2617"/>
      <c r="G19" s="2637"/>
      <c r="H19" s="2593"/>
      <c r="I19" s="2594"/>
      <c r="J19" s="3387"/>
      <c r="K19" s="3390"/>
      <c r="L19" s="2648" t="s">
        <v>2368</v>
      </c>
      <c r="M19" s="2649"/>
      <c r="N19" s="2649">
        <f>SUM(N16:N18)</f>
        <v>0</v>
      </c>
      <c r="O19" s="2650"/>
      <c r="P19" s="2663" t="s">
        <v>2432</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387">
        <v>3</v>
      </c>
      <c r="K20" s="3388" t="s">
        <v>2389</v>
      </c>
      <c r="L20" s="2628" t="s">
        <v>2390</v>
      </c>
      <c r="M20" s="2629" t="s">
        <v>2391</v>
      </c>
      <c r="N20" s="2666" t="s">
        <v>2392</v>
      </c>
      <c r="O20" s="2630" t="s">
        <v>2393</v>
      </c>
      <c r="P20" s="2631" t="s">
        <v>2394</v>
      </c>
      <c r="Q20" s="2605" t="s">
        <v>2395</v>
      </c>
      <c r="R20" s="2652" t="s">
        <v>2396</v>
      </c>
      <c r="S20" s="2586"/>
      <c r="T20" s="2586"/>
      <c r="U20" s="2586"/>
      <c r="V20" s="2594"/>
    </row>
    <row r="21" spans="1:22" s="2598" customFormat="1" ht="13.15" customHeight="1">
      <c r="A21" s="2621"/>
      <c r="B21" s="2622"/>
      <c r="C21" s="2667" t="s">
        <v>2397</v>
      </c>
      <c r="D21" s="2668" t="s">
        <v>2398</v>
      </c>
      <c r="E21" s="2669" t="s">
        <v>2399</v>
      </c>
      <c r="F21" s="2665"/>
      <c r="G21" s="2637"/>
      <c r="H21" s="2593"/>
      <c r="I21" s="2594"/>
      <c r="J21" s="3387"/>
      <c r="K21" s="3389"/>
      <c r="L21" s="2628" t="s">
        <v>2400</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2401</v>
      </c>
      <c r="D22" s="2672" t="s">
        <v>2402</v>
      </c>
      <c r="E22" s="2673" t="s">
        <v>2403</v>
      </c>
      <c r="F22" s="2665"/>
      <c r="G22" s="2586"/>
      <c r="H22" s="2593"/>
      <c r="I22" s="2594"/>
      <c r="J22" s="3387"/>
      <c r="K22" s="3389"/>
      <c r="L22" s="2628" t="s">
        <v>2404</v>
      </c>
      <c r="M22" s="2629"/>
      <c r="N22" s="2629"/>
      <c r="O22" s="2630"/>
      <c r="P22" s="2631">
        <v>365</v>
      </c>
      <c r="Q22" s="2605"/>
      <c r="R22" s="2670">
        <f>ROUND(M22*N22*O22*P22/10000,0)</f>
        <v>0</v>
      </c>
      <c r="S22" s="2586"/>
      <c r="T22" s="2586"/>
      <c r="U22" s="2586"/>
      <c r="V22" s="2594"/>
    </row>
    <row r="23" spans="1:22" s="2598" customFormat="1" ht="13.15" customHeight="1">
      <c r="A23" s="2674">
        <v>1</v>
      </c>
      <c r="B23" s="2675" t="s">
        <v>2405</v>
      </c>
      <c r="C23" s="2676">
        <f>D6</f>
        <v>0</v>
      </c>
      <c r="D23" s="2677">
        <f>C23*(1+D24)</f>
        <v>0</v>
      </c>
      <c r="E23" s="2678">
        <f>D23*(1+E24)</f>
        <v>0</v>
      </c>
      <c r="F23" s="2679"/>
      <c r="G23" s="2680"/>
      <c r="H23" s="2593"/>
      <c r="I23" s="2594"/>
      <c r="J23" s="3387"/>
      <c r="K23" s="3389"/>
      <c r="L23" s="2628" t="s">
        <v>2406</v>
      </c>
      <c r="M23" s="2629"/>
      <c r="N23" s="2629"/>
      <c r="O23" s="2630"/>
      <c r="P23" s="2631">
        <v>365</v>
      </c>
      <c r="Q23" s="2605"/>
      <c r="R23" s="2670">
        <f>ROUND(M23*N23*O23*P23/10000,0)</f>
        <v>0</v>
      </c>
      <c r="S23" s="2586"/>
      <c r="T23" s="2586"/>
      <c r="U23" s="2586"/>
      <c r="V23" s="2594"/>
    </row>
    <row r="24" spans="1:22" s="2598" customFormat="1" ht="13.15" customHeight="1">
      <c r="A24" s="2681"/>
      <c r="B24" s="2682" t="s">
        <v>2407</v>
      </c>
      <c r="C24" s="2683"/>
      <c r="D24" s="2684"/>
      <c r="E24" s="2685"/>
      <c r="F24" s="2686"/>
      <c r="G24" s="2680"/>
      <c r="H24" s="2593"/>
      <c r="I24" s="2594"/>
      <c r="J24" s="3387"/>
      <c r="K24" s="3390"/>
      <c r="L24" s="2648" t="s">
        <v>2368</v>
      </c>
      <c r="M24" s="2649">
        <f>SUM(M21:M23)</f>
        <v>0</v>
      </c>
      <c r="N24" s="2649"/>
      <c r="O24" s="2650"/>
      <c r="P24" s="2663" t="s">
        <v>2432</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2408</v>
      </c>
      <c r="L25" s="2689"/>
      <c r="M25" s="2689"/>
      <c r="N25" s="2689"/>
      <c r="O25" s="2689"/>
      <c r="P25" s="2690"/>
      <c r="Q25" s="2691">
        <v>0</v>
      </c>
      <c r="R25" s="2664">
        <f>ROUND(R14*Q25,0)</f>
        <v>0</v>
      </c>
      <c r="S25" s="2586"/>
      <c r="T25" s="2586"/>
      <c r="U25" s="2586"/>
      <c r="V25" s="2692"/>
    </row>
    <row r="26" spans="1:22" s="2693" customFormat="1" ht="13.15" customHeight="1">
      <c r="A26" s="2674">
        <v>2</v>
      </c>
      <c r="B26" s="2675" t="s">
        <v>2409</v>
      </c>
      <c r="C26" s="2676">
        <f>D7</f>
        <v>0</v>
      </c>
      <c r="D26" s="2677">
        <f>D23*D27</f>
        <v>0</v>
      </c>
      <c r="E26" s="2678">
        <f>E23*E27</f>
        <v>0</v>
      </c>
      <c r="F26" s="2679"/>
      <c r="G26" s="2680"/>
      <c r="H26" s="2593"/>
      <c r="I26" s="2594"/>
      <c r="J26" s="3397">
        <v>5</v>
      </c>
      <c r="K26" s="2694" t="s">
        <v>2410</v>
      </c>
      <c r="L26" s="2695"/>
      <c r="M26" s="2696"/>
      <c r="N26" s="2697" t="s">
        <v>2411</v>
      </c>
      <c r="O26" s="2697" t="s">
        <v>2412</v>
      </c>
      <c r="P26" s="2698" t="s">
        <v>2413</v>
      </c>
      <c r="Q26" s="2698" t="s">
        <v>2414</v>
      </c>
      <c r="R26" s="2603" t="s">
        <v>2339</v>
      </c>
      <c r="S26" s="2637"/>
      <c r="T26" s="2637"/>
      <c r="U26" s="2637"/>
      <c r="V26" s="2692"/>
    </row>
    <row r="27" spans="1:22" s="2598" customFormat="1" ht="13.15" customHeight="1">
      <c r="A27" s="2681"/>
      <c r="B27" s="2682" t="s">
        <v>2415</v>
      </c>
      <c r="C27" s="2699" t="e">
        <f>E7</f>
        <v>#DIV/0!</v>
      </c>
      <c r="D27" s="2684"/>
      <c r="E27" s="2685"/>
      <c r="F27" s="2686"/>
      <c r="G27" s="2680"/>
      <c r="H27" s="2700"/>
      <c r="I27" s="2692"/>
      <c r="J27" s="3398"/>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2416</v>
      </c>
      <c r="F28" s="2686"/>
      <c r="G28" s="2586"/>
      <c r="H28" s="2700"/>
      <c r="I28" s="2692"/>
      <c r="J28" s="2706">
        <v>6</v>
      </c>
      <c r="K28" s="2707" t="s">
        <v>2417</v>
      </c>
      <c r="L28" s="2708" t="s">
        <v>2418</v>
      </c>
      <c r="M28" s="2709"/>
      <c r="N28" s="2708" t="s">
        <v>2419</v>
      </c>
      <c r="O28" s="2710"/>
      <c r="P28" s="2708" t="s">
        <v>2420</v>
      </c>
      <c r="Q28" s="2711">
        <v>1.4999999999999999E-2</v>
      </c>
      <c r="R28" s="2712"/>
      <c r="S28" s="2586"/>
      <c r="T28" s="2586"/>
      <c r="U28" s="2586"/>
      <c r="V28" s="2692"/>
    </row>
    <row r="29" spans="1:22" s="2693" customFormat="1" ht="13.15" customHeight="1">
      <c r="A29" s="2674">
        <v>3</v>
      </c>
      <c r="B29" s="2675" t="s">
        <v>2421</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2415</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2422</v>
      </c>
      <c r="K31" s="2584"/>
      <c r="L31" s="2584"/>
      <c r="M31" s="2584"/>
      <c r="N31" s="2584"/>
      <c r="O31" s="2584"/>
      <c r="P31" s="2584"/>
      <c r="Q31" s="2584"/>
      <c r="R31" s="2585"/>
      <c r="S31" s="2586"/>
      <c r="T31" s="2586"/>
      <c r="U31" s="2586"/>
      <c r="V31" s="2692"/>
    </row>
    <row r="32" spans="1:22" s="2693" customFormat="1" ht="13.15" customHeight="1">
      <c r="A32" s="2674">
        <v>4</v>
      </c>
      <c r="B32" s="2675" t="s">
        <v>2423</v>
      </c>
      <c r="C32" s="2676">
        <f>C23-C26-C29</f>
        <v>0</v>
      </c>
      <c r="D32" s="2677">
        <f>D23-D26-D29</f>
        <v>0</v>
      </c>
      <c r="E32" s="2678">
        <f>E23-E26-E29</f>
        <v>0</v>
      </c>
      <c r="F32" s="2679"/>
      <c r="G32" s="2586"/>
      <c r="H32" s="2593"/>
      <c r="I32" s="2594"/>
      <c r="J32" s="3380" t="s">
        <v>2315</v>
      </c>
      <c r="K32" s="3381"/>
      <c r="L32" s="2595" t="s">
        <v>2316</v>
      </c>
      <c r="M32" s="2595" t="s">
        <v>2317</v>
      </c>
      <c r="N32" s="2595" t="s">
        <v>2318</v>
      </c>
      <c r="O32" s="2595" t="s">
        <v>2319</v>
      </c>
      <c r="P32" s="2595" t="s">
        <v>2320</v>
      </c>
      <c r="Q32" s="2596" t="s">
        <v>2321</v>
      </c>
      <c r="R32" s="2715" t="s">
        <v>2322</v>
      </c>
      <c r="S32" s="2586"/>
      <c r="T32" s="2586"/>
      <c r="U32" s="2586"/>
      <c r="V32" s="2692"/>
    </row>
    <row r="33" spans="1:23" s="2598" customFormat="1" ht="13.15" customHeight="1">
      <c r="A33" s="2674"/>
      <c r="B33" s="2675"/>
      <c r="C33" s="2676"/>
      <c r="D33" s="2716"/>
      <c r="E33" s="2717"/>
      <c r="F33" s="2679"/>
      <c r="G33" s="2586"/>
      <c r="H33" s="2700"/>
      <c r="I33" s="2692"/>
      <c r="J33" s="3382" t="s">
        <v>2325</v>
      </c>
      <c r="K33" s="3383"/>
      <c r="L33" s="2601"/>
      <c r="M33" s="2601"/>
      <c r="N33" s="2601"/>
      <c r="O33" s="2601"/>
      <c r="P33" s="2601"/>
      <c r="Q33" s="2602"/>
      <c r="R33" s="2718">
        <f>SUM(L33:Q33)</f>
        <v>0</v>
      </c>
      <c r="S33" s="2586"/>
      <c r="T33" s="2586"/>
      <c r="U33" s="2586"/>
      <c r="V33" s="2594"/>
    </row>
    <row r="34" spans="1:23" s="2598" customFormat="1" ht="13.15" customHeight="1">
      <c r="A34" s="2674">
        <v>5</v>
      </c>
      <c r="B34" s="2675" t="s">
        <v>2424</v>
      </c>
      <c r="C34" s="2719"/>
      <c r="D34" s="2720"/>
      <c r="E34" s="2721"/>
      <c r="F34" s="2679"/>
      <c r="G34" s="2586"/>
      <c r="H34" s="2700"/>
      <c r="I34" s="2692"/>
      <c r="J34" s="3382" t="s">
        <v>2327</v>
      </c>
      <c r="K34" s="3383"/>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2425</v>
      </c>
      <c r="C35" s="2723"/>
      <c r="D35" s="2724"/>
      <c r="E35" s="2725"/>
      <c r="F35" s="2679"/>
      <c r="G35" s="2726"/>
      <c r="H35" s="2593"/>
      <c r="I35" s="2692"/>
      <c r="J35" s="2612" t="s">
        <v>2329</v>
      </c>
      <c r="K35" s="2613"/>
      <c r="L35" s="2613"/>
      <c r="M35" s="2614"/>
      <c r="N35" s="2614"/>
      <c r="O35" s="2614"/>
      <c r="P35" s="2614"/>
      <c r="Q35" s="2614"/>
      <c r="R35" s="2727">
        <f>R40+R41+R43</f>
        <v>0</v>
      </c>
      <c r="S35" s="2586"/>
      <c r="T35" s="2586" t="s">
        <v>2330</v>
      </c>
      <c r="U35" s="2586"/>
      <c r="V35" s="2594"/>
    </row>
    <row r="36" spans="1:23" s="2598" customFormat="1" ht="13.15" customHeight="1" thickBot="1">
      <c r="A36" s="2674">
        <v>7</v>
      </c>
      <c r="B36" s="2728" t="s">
        <v>2426</v>
      </c>
      <c r="C36" s="2729"/>
      <c r="D36" s="2730"/>
      <c r="E36" s="2731"/>
      <c r="F36" s="2732">
        <f>C36+D36+E36</f>
        <v>0</v>
      </c>
      <c r="G36" s="2586"/>
      <c r="H36" s="2593"/>
      <c r="I36" s="2594"/>
      <c r="J36" s="3387">
        <v>1</v>
      </c>
      <c r="K36" s="3388" t="s">
        <v>2427</v>
      </c>
      <c r="L36" s="2619"/>
      <c r="M36" s="2620"/>
      <c r="N36" s="2620"/>
      <c r="O36" s="2620"/>
      <c r="P36" s="2620"/>
      <c r="Q36" s="2620"/>
      <c r="R36" s="2603" t="s">
        <v>2339</v>
      </c>
      <c r="S36" s="2586"/>
      <c r="T36" s="2586" t="s">
        <v>2340</v>
      </c>
      <c r="U36" s="2586"/>
      <c r="V36" s="2594"/>
    </row>
    <row r="37" spans="1:23" s="2598" customFormat="1" ht="13.15" customHeight="1">
      <c r="A37" s="2674"/>
      <c r="B37" s="2675"/>
      <c r="C37" s="2675"/>
      <c r="D37" s="2675"/>
      <c r="E37" s="2675"/>
      <c r="F37" s="2679"/>
      <c r="G37" s="2586"/>
      <c r="H37" s="2593"/>
      <c r="I37" s="2594"/>
      <c r="J37" s="3387"/>
      <c r="K37" s="3389"/>
      <c r="L37" s="2628"/>
      <c r="M37" s="2629"/>
      <c r="N37" s="2605"/>
      <c r="O37" s="2630"/>
      <c r="P37" s="2630"/>
      <c r="Q37" s="2631"/>
      <c r="R37" s="2632"/>
      <c r="S37" s="2586"/>
      <c r="T37" s="2586" t="s">
        <v>2343</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387"/>
      <c r="K38" s="3389"/>
      <c r="L38" s="2628"/>
      <c r="M38" s="2629"/>
      <c r="N38" s="2605"/>
      <c r="O38" s="2630"/>
      <c r="P38" s="2630"/>
      <c r="Q38" s="2631"/>
      <c r="R38" s="2632"/>
      <c r="S38" s="2586"/>
      <c r="T38" s="2586" t="s">
        <v>2350</v>
      </c>
      <c r="U38" s="2586"/>
      <c r="V38" s="2594"/>
    </row>
    <row r="39" spans="1:23" s="2598" customFormat="1" ht="13.15" customHeight="1">
      <c r="A39" s="2674">
        <v>9</v>
      </c>
      <c r="B39" s="2675" t="s">
        <v>2428</v>
      </c>
      <c r="C39" s="2642" t="e">
        <f>C38</f>
        <v>#DIV/0!</v>
      </c>
      <c r="D39" s="2675">
        <f>D38/(1+D34)^C36</f>
        <v>0</v>
      </c>
      <c r="E39" s="2675">
        <f>E38/(1+E34)^(C36+D36)</f>
        <v>0</v>
      </c>
      <c r="F39" s="2679"/>
      <c r="G39" s="2594"/>
      <c r="H39" s="2593"/>
      <c r="I39" s="2594"/>
      <c r="J39" s="3387"/>
      <c r="K39" s="3389"/>
      <c r="L39" s="2628"/>
      <c r="M39" s="2629"/>
      <c r="N39" s="2605"/>
      <c r="O39" s="2630"/>
      <c r="P39" s="2630"/>
      <c r="Q39" s="2631"/>
      <c r="R39" s="2632"/>
      <c r="S39" s="2586"/>
      <c r="T39" s="2586"/>
      <c r="U39" s="2586"/>
      <c r="V39" s="2594"/>
    </row>
    <row r="40" spans="1:23" s="2598" customFormat="1" ht="13.15" customHeight="1">
      <c r="A40" s="2733">
        <v>10</v>
      </c>
      <c r="B40" s="2675" t="s">
        <v>2429</v>
      </c>
      <c r="C40" s="2734" t="e">
        <f>C39+D39+E39</f>
        <v>#DIV/0!</v>
      </c>
      <c r="D40" s="2735"/>
      <c r="E40" s="2735"/>
      <c r="F40" s="2736"/>
      <c r="G40" s="2586"/>
      <c r="H40" s="2593"/>
      <c r="I40" s="2594"/>
      <c r="J40" s="3387"/>
      <c r="K40" s="3390"/>
      <c r="L40" s="2648" t="s">
        <v>2368</v>
      </c>
      <c r="M40" s="2649"/>
      <c r="N40" s="2649"/>
      <c r="O40" s="2650"/>
      <c r="P40" s="2650"/>
      <c r="Q40" s="2651"/>
      <c r="R40" s="2597">
        <f>SUM(R37:R39)</f>
        <v>0</v>
      </c>
      <c r="S40" s="2586"/>
      <c r="T40" s="2586"/>
      <c r="U40" s="2586"/>
      <c r="V40" s="2594"/>
    </row>
    <row r="41" spans="1:23" s="2598" customFormat="1" ht="13.15" customHeight="1" thickBot="1">
      <c r="A41" s="2737">
        <v>11</v>
      </c>
      <c r="B41" s="2738" t="s">
        <v>2430</v>
      </c>
      <c r="C41" s="2738" t="e">
        <f>ROUND(C40*10000/B4,0)</f>
        <v>#DIV/0!</v>
      </c>
      <c r="D41" s="2739"/>
      <c r="E41" s="2739"/>
      <c r="F41" s="2740"/>
      <c r="G41" s="2593"/>
      <c r="H41" s="2593"/>
      <c r="I41" s="2594"/>
      <c r="J41" s="2687">
        <v>2</v>
      </c>
      <c r="K41" s="2688" t="s">
        <v>2408</v>
      </c>
      <c r="L41" s="2689"/>
      <c r="M41" s="2689"/>
      <c r="N41" s="2689"/>
      <c r="O41" s="2689"/>
      <c r="P41" s="2690"/>
      <c r="Q41" s="2691"/>
      <c r="R41" s="2664">
        <f>ROUND(R40*Q41,0)</f>
        <v>0</v>
      </c>
      <c r="S41" s="2586"/>
      <c r="T41" s="2586"/>
      <c r="U41" s="2637"/>
      <c r="V41" s="2594"/>
    </row>
    <row r="42" spans="1:23" s="2598" customFormat="1" ht="13.15" customHeight="1">
      <c r="G42" s="2593"/>
      <c r="H42" s="2593"/>
      <c r="I42" s="2594"/>
      <c r="J42" s="3397">
        <v>3</v>
      </c>
      <c r="K42" s="2694" t="s">
        <v>2410</v>
      </c>
      <c r="L42" s="2695"/>
      <c r="M42" s="2696"/>
      <c r="N42" s="2697" t="s">
        <v>2411</v>
      </c>
      <c r="O42" s="2697" t="s">
        <v>2412</v>
      </c>
      <c r="P42" s="2698" t="s">
        <v>2413</v>
      </c>
      <c r="Q42" s="2698" t="s">
        <v>2414</v>
      </c>
      <c r="R42" s="2603" t="s">
        <v>2339</v>
      </c>
      <c r="S42" s="2637"/>
      <c r="T42" s="2637"/>
      <c r="U42" s="2586"/>
      <c r="V42" s="2594"/>
    </row>
    <row r="43" spans="1:23" ht="13.15" customHeight="1">
      <c r="A43" s="2598"/>
      <c r="B43" s="2598"/>
      <c r="C43" s="2598"/>
      <c r="D43" s="2598"/>
      <c r="E43" s="2598"/>
      <c r="F43" s="2598"/>
      <c r="I43" s="2581"/>
      <c r="J43" s="3398"/>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2417</v>
      </c>
      <c r="L44" s="2743" t="s">
        <v>2418</v>
      </c>
      <c r="M44" s="2709"/>
      <c r="N44" s="2743" t="s">
        <v>2419</v>
      </c>
      <c r="O44" s="2709"/>
      <c r="P44" s="2743" t="s">
        <v>2420</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279.56939999999997</v>
      </c>
      <c r="C2" s="1727" t="s">
        <v>1651</v>
      </c>
      <c r="D2" s="1728" t="s">
        <v>1652</v>
      </c>
      <c r="E2" s="2387">
        <f>SUM(E6:E13)</f>
        <v>141.37</v>
      </c>
      <c r="F2" s="2474"/>
      <c r="G2" s="458"/>
      <c r="H2" s="458"/>
      <c r="I2" s="458"/>
      <c r="J2" s="458"/>
      <c r="K2" s="458"/>
      <c r="L2" s="458"/>
      <c r="M2" s="458"/>
      <c r="N2" s="458"/>
      <c r="O2" s="458"/>
      <c r="P2" s="458"/>
      <c r="Q2" s="458"/>
      <c r="R2" s="458"/>
      <c r="S2" s="458"/>
    </row>
    <row r="3" spans="1:22" ht="15.75">
      <c r="A3" s="1726" t="s">
        <v>686</v>
      </c>
      <c r="B3" s="2381">
        <f ca="1">ROUND(B2*10000/E2,0)</f>
        <v>19776</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399" t="s">
        <v>1654</v>
      </c>
      <c r="C5" s="3400"/>
      <c r="D5" s="2475"/>
      <c r="E5" s="1729" t="s">
        <v>1655</v>
      </c>
      <c r="F5" s="128" t="s">
        <v>1656</v>
      </c>
      <c r="G5" s="458"/>
      <c r="H5" s="458"/>
      <c r="I5" s="458"/>
      <c r="J5" s="458"/>
      <c r="K5" s="458"/>
      <c r="L5" s="458"/>
      <c r="M5" s="458"/>
      <c r="N5" s="458"/>
      <c r="O5" s="458"/>
      <c r="P5" s="458"/>
      <c r="Q5" s="458"/>
      <c r="R5" s="458"/>
      <c r="S5" s="458"/>
    </row>
    <row r="6" spans="1:22">
      <c r="A6" s="2384" t="str">
        <f>'数据-取费表'!AN6</f>
        <v>收益法 (元)</v>
      </c>
      <c r="B6" s="2382">
        <f ca="1">IF(F6="是",'数据-取费表'!AO6,0)</f>
        <v>279.56939999999997</v>
      </c>
      <c r="C6" s="1727" t="s">
        <v>1651</v>
      </c>
      <c r="D6" s="2474"/>
      <c r="E6" s="2386">
        <f>IF(OR(A6=0,F6="否"),0,'数据-取费表'!K6+'数据-取费表'!S6)</f>
        <v>141.37</v>
      </c>
      <c r="F6" s="1730"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7" t="s">
        <v>1651</v>
      </c>
      <c r="D7" s="2474"/>
      <c r="E7" s="2386">
        <f>IF(OR(A7=0,F7="否"),0,'数据-取费表'!K7+'数据-取费表'!S7)</f>
        <v>0</v>
      </c>
      <c r="F7" s="1730"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7" t="s">
        <v>1651</v>
      </c>
      <c r="D8" s="2474"/>
      <c r="E8" s="2386">
        <f>IF(OR(A8=0,F8="否"),0,'数据-取费表'!K8+'数据-取费表'!S8)</f>
        <v>0</v>
      </c>
      <c r="F8" s="1730"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7" t="s">
        <v>1651</v>
      </c>
      <c r="D9" s="2474"/>
      <c r="E9" s="2386">
        <f>IF(OR(A9=0,F9="否"),0,'数据-取费表'!K9+'数据-取费表'!S9)</f>
        <v>0</v>
      </c>
      <c r="F9" s="1730"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7" t="s">
        <v>1651</v>
      </c>
      <c r="D10" s="2474"/>
      <c r="E10" s="2386">
        <f>IF(OR(A10=0,F10="否"),0,'数据-取费表'!K10+'数据-取费表'!S10)</f>
        <v>0</v>
      </c>
      <c r="F10" s="1730"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7" t="s">
        <v>1651</v>
      </c>
      <c r="D11" s="2474"/>
      <c r="E11" s="2386">
        <f>IF(OR(A11=0,F11="否"),0,'数据-取费表'!K11+'数据-取费表'!S11)</f>
        <v>0</v>
      </c>
      <c r="F11" s="1730"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7" t="s">
        <v>1651</v>
      </c>
      <c r="D12" s="2474"/>
      <c r="E12" s="2386">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1" t="s">
        <v>1651</v>
      </c>
      <c r="D13" s="2476"/>
      <c r="E13" s="2386">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8" zoomScale="90" zoomScaleNormal="60" zoomScaleSheetLayoutView="90" workbookViewId="0">
      <selection activeCell="L104" sqref="L104"/>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8" t="s">
        <v>3400</v>
      </c>
      <c r="F1" s="1733" t="s">
        <v>3393</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9">
        <f>IF(E1="项目模式",IF(C2="——",ROUND(C49*D3/10000,0),ROUND(C49*D3/10000,0)-D2),IF(E1="单套模式",IF(C2="——",ROUND(C49*D3/10000,4),ROUND(C49*D3/10000,4)-D2)))</f>
        <v>465.36180000000002</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32918</v>
      </c>
      <c r="C3" s="343" t="s">
        <v>1665</v>
      </c>
      <c r="D3" s="342">
        <f>IF(D1="",'数据-汇总表'!E3,SUMIF('数据-汇总表'!$C19:$C33,D1,'数据-汇总表'!$E19:$E33))</f>
        <v>141.37</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20" t="s">
        <v>1667</v>
      </c>
      <c r="D4" s="3421"/>
      <c r="E4" s="3422" t="s">
        <v>1668</v>
      </c>
      <c r="F4" s="3423"/>
      <c r="G4" s="3420" t="s">
        <v>1669</v>
      </c>
      <c r="H4" s="3421"/>
      <c r="I4" s="3420" t="s">
        <v>1670</v>
      </c>
      <c r="J4" s="3421"/>
      <c r="K4" s="1742" t="s">
        <v>1671</v>
      </c>
      <c r="L4" s="2481"/>
      <c r="M4" s="2482"/>
      <c r="N4" s="2482"/>
      <c r="O4" s="2482"/>
      <c r="P4" s="3424" t="s">
        <v>1672</v>
      </c>
      <c r="Q4" s="3425"/>
      <c r="R4" s="3406" t="s">
        <v>1668</v>
      </c>
      <c r="S4" s="3407"/>
      <c r="T4" s="3406" t="s">
        <v>1669</v>
      </c>
      <c r="U4" s="3407"/>
      <c r="V4" s="3432" t="s">
        <v>1670</v>
      </c>
      <c r="W4" s="3432"/>
      <c r="X4" s="1263"/>
      <c r="Y4" s="3406" t="s">
        <v>1672</v>
      </c>
      <c r="Z4" s="3407"/>
      <c r="AA4" s="3401" t="s">
        <v>1668</v>
      </c>
      <c r="AB4" s="3401" t="s">
        <v>1669</v>
      </c>
      <c r="AC4" s="3401" t="s">
        <v>1670</v>
      </c>
    </row>
    <row r="5" spans="1:29" ht="15">
      <c r="A5" s="347"/>
      <c r="B5" s="348"/>
      <c r="C5" s="3412" t="s">
        <v>3484</v>
      </c>
      <c r="D5" s="3413"/>
      <c r="E5" s="3410" t="str">
        <f>案例!C2</f>
        <v>天通东苑二区</v>
      </c>
      <c r="F5" s="3411"/>
      <c r="G5" s="3416" t="str">
        <f>案例!C3</f>
        <v>天通东苑二区</v>
      </c>
      <c r="H5" s="3413"/>
      <c r="I5" s="3416" t="str">
        <f>案例!C4</f>
        <v>天通东苑二区</v>
      </c>
      <c r="J5" s="3413"/>
      <c r="K5" s="1743"/>
      <c r="L5" s="2481"/>
      <c r="M5" s="2482"/>
      <c r="N5" s="2482"/>
      <c r="O5" s="2482"/>
      <c r="P5" s="3426"/>
      <c r="Q5" s="3427"/>
      <c r="R5" s="3408"/>
      <c r="S5" s="3409"/>
      <c r="T5" s="3408"/>
      <c r="U5" s="3409"/>
      <c r="V5" s="3432"/>
      <c r="W5" s="3432"/>
      <c r="X5" s="1263"/>
      <c r="Y5" s="3408"/>
      <c r="Z5" s="3409"/>
      <c r="AA5" s="3402"/>
      <c r="AB5" s="3402"/>
      <c r="AC5" s="3402"/>
    </row>
    <row r="6" spans="1:29" ht="15.75" thickBot="1">
      <c r="A6" s="349"/>
      <c r="B6" s="350"/>
      <c r="C6" s="3414" t="s">
        <v>1677</v>
      </c>
      <c r="D6" s="3415"/>
      <c r="E6" s="3417" t="s">
        <v>1677</v>
      </c>
      <c r="F6" s="3418"/>
      <c r="G6" s="3414" t="s">
        <v>1677</v>
      </c>
      <c r="H6" s="3415"/>
      <c r="I6" s="3414" t="s">
        <v>1677</v>
      </c>
      <c r="J6" s="3415"/>
      <c r="K6" s="1743" t="s">
        <v>1678</v>
      </c>
      <c r="L6" s="2481"/>
      <c r="M6" s="2482"/>
      <c r="N6" s="2482"/>
      <c r="O6" s="2482"/>
      <c r="P6" s="3428"/>
      <c r="Q6" s="3429"/>
      <c r="R6" s="3408"/>
      <c r="S6" s="3409"/>
      <c r="T6" s="3430"/>
      <c r="U6" s="3431"/>
      <c r="V6" s="3432"/>
      <c r="W6" s="3432"/>
      <c r="X6" s="1263"/>
      <c r="Y6" s="3430"/>
      <c r="Z6" s="3431"/>
      <c r="AA6" s="3403"/>
      <c r="AB6" s="3403"/>
      <c r="AC6" s="3403"/>
    </row>
    <row r="7" spans="1:29" s="101" customFormat="1" ht="15.75" thickBot="1">
      <c r="A7" s="351" t="s">
        <v>1679</v>
      </c>
      <c r="B7" s="352"/>
      <c r="C7" s="353">
        <f>'数据-取费表'!B2</f>
        <v>45583</v>
      </c>
      <c r="D7" s="354">
        <v>100</v>
      </c>
      <c r="E7" s="355">
        <f>案例!L2</f>
        <v>45576</v>
      </c>
      <c r="F7" s="356">
        <f>SUMIF(58:58,YEAR(E7)&amp;"-"&amp;MONTH(E7),59:59)</f>
        <v>100</v>
      </c>
      <c r="G7" s="355">
        <f>案例!L3</f>
        <v>45563</v>
      </c>
      <c r="H7" s="354">
        <f>SUMIF(58:58,YEAR(G7)&amp;"-"&amp;MONTH(G7),59:59)</f>
        <v>101</v>
      </c>
      <c r="I7" s="355">
        <f>案例!L4</f>
        <v>45554</v>
      </c>
      <c r="J7" s="354">
        <f>SUMIF(58:58,YEAR(I7)&amp;"-"&amp;MONTH(I7),59:59)</f>
        <v>101</v>
      </c>
      <c r="K7" s="3175"/>
      <c r="L7" s="2483"/>
      <c r="M7" s="2434"/>
      <c r="N7" s="2434"/>
      <c r="O7" s="2434"/>
      <c r="P7" s="3404" t="s">
        <v>1680</v>
      </c>
      <c r="Q7" s="3433"/>
      <c r="R7" s="663" t="s">
        <v>20</v>
      </c>
      <c r="S7" s="664">
        <f t="shared" ref="S7:S15" si="0">F7</f>
        <v>100</v>
      </c>
      <c r="T7" s="663" t="s">
        <v>20</v>
      </c>
      <c r="U7" s="664">
        <f t="shared" ref="U7:U15" si="1">H7</f>
        <v>101</v>
      </c>
      <c r="V7" s="663" t="s">
        <v>20</v>
      </c>
      <c r="W7" s="664">
        <f t="shared" ref="W7:W15" si="2">J7</f>
        <v>101</v>
      </c>
      <c r="X7" s="665"/>
      <c r="Y7" s="3404" t="s">
        <v>1680</v>
      </c>
      <c r="Z7" s="3405"/>
      <c r="AA7" s="50">
        <f>D7/F7</f>
        <v>1</v>
      </c>
      <c r="AB7" s="50">
        <f>D7/H7</f>
        <v>0.99009900990099009</v>
      </c>
      <c r="AC7" s="50">
        <f>D7/J7</f>
        <v>0.99009900990099009</v>
      </c>
    </row>
    <row r="8" spans="1:29" s="101" customFormat="1" ht="15.75" thickBot="1">
      <c r="A8" s="351" t="s">
        <v>1681</v>
      </c>
      <c r="B8" s="352"/>
      <c r="C8" s="357" t="s">
        <v>3420</v>
      </c>
      <c r="D8" s="354">
        <v>100</v>
      </c>
      <c r="E8" s="357" t="s">
        <v>3420</v>
      </c>
      <c r="F8" s="356">
        <f>SUMIF(61:61,E8,62:62)-SUMIF(61:61,C8,62:62)+100</f>
        <v>100</v>
      </c>
      <c r="G8" s="357" t="s">
        <v>3420</v>
      </c>
      <c r="H8" s="354">
        <f>SUMIF(61:61,G8,62:62)-SUMIF(61:61,C8,62:62)+100</f>
        <v>100</v>
      </c>
      <c r="I8" s="357" t="s">
        <v>3420</v>
      </c>
      <c r="J8" s="354">
        <f>SUMIF(61:61,I8,62:62)-SUMIF(61:61,C8,62:62)+100</f>
        <v>100</v>
      </c>
      <c r="K8" s="1744"/>
      <c r="L8" s="2483"/>
      <c r="M8" s="2434"/>
      <c r="N8" s="2434"/>
      <c r="O8" s="2434"/>
      <c r="P8" s="3404" t="s">
        <v>1683</v>
      </c>
      <c r="Q8" s="3405"/>
      <c r="R8" s="663" t="s">
        <v>20</v>
      </c>
      <c r="S8" s="664">
        <f t="shared" si="0"/>
        <v>100</v>
      </c>
      <c r="T8" s="663" t="s">
        <v>20</v>
      </c>
      <c r="U8" s="664">
        <f t="shared" si="1"/>
        <v>100</v>
      </c>
      <c r="V8" s="663" t="s">
        <v>20</v>
      </c>
      <c r="W8" s="664">
        <f t="shared" si="2"/>
        <v>100</v>
      </c>
      <c r="X8" s="665"/>
      <c r="Y8" s="3404" t="s">
        <v>1683</v>
      </c>
      <c r="Z8" s="3405"/>
      <c r="AA8" s="50">
        <f t="shared" ref="AA8:AA19" si="3">D8/F8</f>
        <v>1</v>
      </c>
      <c r="AB8" s="50">
        <f t="shared" ref="AB8:AB19" si="4">D8/H8</f>
        <v>1</v>
      </c>
      <c r="AC8" s="50">
        <f t="shared" ref="AC8:AC19" si="5">D8/J8</f>
        <v>1</v>
      </c>
    </row>
    <row r="9" spans="1:29" s="101" customFormat="1">
      <c r="A9" s="358" t="s">
        <v>1684</v>
      </c>
      <c r="B9" s="60" t="s">
        <v>1685</v>
      </c>
      <c r="C9" s="3153" t="s">
        <v>3424</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19" t="s">
        <v>1686</v>
      </c>
      <c r="Q9" s="529" t="str">
        <f t="shared" ref="Q9:Q15" si="6">B9</f>
        <v>用途</v>
      </c>
      <c r="R9" s="663" t="s">
        <v>14</v>
      </c>
      <c r="S9" s="664">
        <f t="shared" si="0"/>
        <v>100</v>
      </c>
      <c r="T9" s="663" t="s">
        <v>14</v>
      </c>
      <c r="U9" s="664">
        <f t="shared" si="1"/>
        <v>100</v>
      </c>
      <c r="V9" s="663" t="s">
        <v>14</v>
      </c>
      <c r="W9" s="664">
        <f t="shared" si="2"/>
        <v>100</v>
      </c>
      <c r="X9" s="665"/>
      <c r="Y9" s="3348" t="s">
        <v>1687</v>
      </c>
      <c r="Z9" s="50" t="str">
        <f t="shared" ref="Z9:Z15" si="7">Q9</f>
        <v>用途</v>
      </c>
      <c r="AA9" s="50">
        <f t="shared" si="3"/>
        <v>1</v>
      </c>
      <c r="AB9" s="50">
        <f t="shared" si="4"/>
        <v>1</v>
      </c>
      <c r="AC9" s="50">
        <f t="shared" si="5"/>
        <v>1</v>
      </c>
    </row>
    <row r="10" spans="1:29" s="365" customFormat="1" ht="15.75" thickBot="1">
      <c r="A10" s="362"/>
      <c r="B10" s="3173" t="s">
        <v>3453</v>
      </c>
      <c r="C10" s="3179" t="s">
        <v>3455</v>
      </c>
      <c r="D10" s="118">
        <v>100</v>
      </c>
      <c r="E10" s="3176" t="s">
        <v>3454</v>
      </c>
      <c r="F10" s="363">
        <f>SUMIF(65:65,E10,66:66)-SUMIF(65:65,C10,66:66)+100</f>
        <v>100</v>
      </c>
      <c r="G10" s="3176" t="s">
        <v>3454</v>
      </c>
      <c r="H10" s="118">
        <f>SUMIF(65:65,G10,66:66)-SUMIF(65:65,C10,66:66)+100</f>
        <v>100</v>
      </c>
      <c r="I10" s="3176" t="s">
        <v>3454</v>
      </c>
      <c r="J10" s="118">
        <f>SUMIF(65:65,I10,66:66)-SUMIF(65:65,C10,66:66)+100</f>
        <v>100</v>
      </c>
      <c r="K10" s="1744"/>
      <c r="L10" s="2484"/>
      <c r="M10" s="2485"/>
      <c r="N10" s="2485"/>
      <c r="O10" s="2485"/>
      <c r="P10" s="3419"/>
      <c r="Q10" s="529" t="str">
        <f t="shared" si="6"/>
        <v>房屋性质</v>
      </c>
      <c r="R10" s="663" t="s">
        <v>14</v>
      </c>
      <c r="S10" s="664">
        <f t="shared" si="0"/>
        <v>100</v>
      </c>
      <c r="T10" s="663" t="s">
        <v>14</v>
      </c>
      <c r="U10" s="664">
        <f t="shared" si="1"/>
        <v>100</v>
      </c>
      <c r="V10" s="663" t="s">
        <v>14</v>
      </c>
      <c r="W10" s="664">
        <f t="shared" si="2"/>
        <v>100</v>
      </c>
      <c r="X10" s="665"/>
      <c r="Y10" s="3348"/>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19"/>
      <c r="Q11" s="529" t="str">
        <f t="shared" si="6"/>
        <v>容积率</v>
      </c>
      <c r="R11" s="663" t="s">
        <v>18</v>
      </c>
      <c r="S11" s="664">
        <f t="shared" si="0"/>
        <v>100</v>
      </c>
      <c r="T11" s="663" t="s">
        <v>18</v>
      </c>
      <c r="U11" s="664">
        <f t="shared" si="1"/>
        <v>100</v>
      </c>
      <c r="V11" s="663" t="s">
        <v>18</v>
      </c>
      <c r="W11" s="664">
        <f t="shared" si="2"/>
        <v>100</v>
      </c>
      <c r="X11" s="665"/>
      <c r="Y11" s="3348"/>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19"/>
      <c r="Q12" s="529">
        <f t="shared" si="6"/>
        <v>111</v>
      </c>
      <c r="R12" s="663" t="s">
        <v>18</v>
      </c>
      <c r="S12" s="664">
        <f t="shared" si="0"/>
        <v>100</v>
      </c>
      <c r="T12" s="663" t="s">
        <v>18</v>
      </c>
      <c r="U12" s="664">
        <f t="shared" si="1"/>
        <v>100</v>
      </c>
      <c r="V12" s="663" t="s">
        <v>18</v>
      </c>
      <c r="W12" s="664">
        <f t="shared" si="2"/>
        <v>100</v>
      </c>
      <c r="X12" s="665"/>
      <c r="Y12" s="3348"/>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19"/>
      <c r="Q13" s="529">
        <f t="shared" si="6"/>
        <v>111</v>
      </c>
      <c r="R13" s="663" t="s">
        <v>18</v>
      </c>
      <c r="S13" s="664">
        <f t="shared" si="0"/>
        <v>100</v>
      </c>
      <c r="T13" s="663" t="s">
        <v>18</v>
      </c>
      <c r="U13" s="664">
        <f t="shared" si="1"/>
        <v>100</v>
      </c>
      <c r="V13" s="663" t="s">
        <v>18</v>
      </c>
      <c r="W13" s="664">
        <f t="shared" si="2"/>
        <v>100</v>
      </c>
      <c r="X13" s="665"/>
      <c r="Y13" s="3348"/>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19"/>
      <c r="Q14" s="529">
        <f t="shared" si="6"/>
        <v>111</v>
      </c>
      <c r="R14" s="663" t="s">
        <v>18</v>
      </c>
      <c r="S14" s="664">
        <f t="shared" si="0"/>
        <v>100</v>
      </c>
      <c r="T14" s="663" t="s">
        <v>18</v>
      </c>
      <c r="U14" s="664">
        <f t="shared" si="1"/>
        <v>100</v>
      </c>
      <c r="V14" s="663" t="s">
        <v>18</v>
      </c>
      <c r="W14" s="664">
        <f t="shared" si="2"/>
        <v>100</v>
      </c>
      <c r="X14" s="665"/>
      <c r="Y14" s="3348"/>
      <c r="Z14" s="50">
        <f t="shared" si="7"/>
        <v>111</v>
      </c>
      <c r="AA14" s="50">
        <f t="shared" si="3"/>
        <v>1</v>
      </c>
      <c r="AB14" s="50">
        <f t="shared" si="4"/>
        <v>1</v>
      </c>
      <c r="AC14" s="50">
        <f t="shared" si="5"/>
        <v>1</v>
      </c>
    </row>
    <row r="15" spans="1:29" ht="41.25" customHeight="1">
      <c r="A15" s="378" t="s">
        <v>1690</v>
      </c>
      <c r="B15" s="58" t="s">
        <v>1257</v>
      </c>
      <c r="C15" s="1747" t="str">
        <f>估价对象房地状况!C3</f>
        <v>周边有天通东苑一区、天通东苑三区、天通苑六区等住宅小区，居住社区成熟度较好。</v>
      </c>
      <c r="D15" s="379">
        <v>100</v>
      </c>
      <c r="E15" s="3156" t="str">
        <f>估价对象房地状况!C3</f>
        <v>周边有天通东苑一区、天通东苑三区、天通苑六区等住宅小区，居住社区成熟度较好。</v>
      </c>
      <c r="F15" s="379">
        <f>SUMIF(76:76,E16,77:77)-SUMIF(76:76,C16,77:77)+100</f>
        <v>100</v>
      </c>
      <c r="G15" s="3156" t="str">
        <f>C15</f>
        <v>周边有天通东苑一区、天通东苑三区、天通苑六区等住宅小区，居住社区成熟度较好。</v>
      </c>
      <c r="H15" s="379">
        <f>SUMIF(76:76,G16,77:77)-SUMIF(76:76,C16,77:77)+100</f>
        <v>100</v>
      </c>
      <c r="I15" s="3156" t="str">
        <f>G15</f>
        <v>周边有天通东苑一区、天通东苑三区、天通苑六区等住宅小区，居住社区成熟度较好。</v>
      </c>
      <c r="J15" s="379">
        <f>SUMIF(76:76,I16,77:77)-SUMIF(76:76,C16,77:77)+100</f>
        <v>100</v>
      </c>
      <c r="K15" s="383"/>
      <c r="L15" s="2487"/>
      <c r="M15" s="2482"/>
      <c r="N15" s="2482"/>
      <c r="O15" s="2482"/>
      <c r="P15" s="3445" t="s">
        <v>1691</v>
      </c>
      <c r="Q15" s="1261" t="str">
        <f t="shared" si="6"/>
        <v>居住社区成熟度</v>
      </c>
      <c r="R15" s="666" t="s">
        <v>18</v>
      </c>
      <c r="S15" s="667">
        <f t="shared" si="0"/>
        <v>100</v>
      </c>
      <c r="T15" s="666" t="s">
        <v>18</v>
      </c>
      <c r="U15" s="667">
        <f t="shared" si="1"/>
        <v>100</v>
      </c>
      <c r="V15" s="666" t="s">
        <v>18</v>
      </c>
      <c r="W15" s="667">
        <f t="shared" si="2"/>
        <v>100</v>
      </c>
      <c r="X15" s="1263"/>
      <c r="Y15" s="3438" t="s">
        <v>1691</v>
      </c>
      <c r="Z15" s="1262" t="str">
        <f t="shared" si="7"/>
        <v>居住社区成熟度</v>
      </c>
      <c r="AA15" s="1262">
        <f t="shared" si="3"/>
        <v>1</v>
      </c>
      <c r="AB15" s="1262">
        <f t="shared" si="4"/>
        <v>1</v>
      </c>
      <c r="AC15" s="1262">
        <f t="shared" si="5"/>
        <v>1</v>
      </c>
    </row>
    <row r="16" spans="1:29" ht="15">
      <c r="A16" s="366"/>
      <c r="B16" s="384"/>
      <c r="C16" s="385" t="s">
        <v>3406</v>
      </c>
      <c r="D16" s="386"/>
      <c r="E16" s="385" t="s">
        <v>3406</v>
      </c>
      <c r="F16" s="386"/>
      <c r="G16" s="385" t="s">
        <v>3406</v>
      </c>
      <c r="H16" s="388"/>
      <c r="I16" s="385" t="s">
        <v>3406</v>
      </c>
      <c r="J16" s="386"/>
      <c r="K16" s="1750"/>
      <c r="L16" s="2487"/>
      <c r="M16" s="2482"/>
      <c r="N16" s="2482"/>
      <c r="O16" s="2482"/>
      <c r="P16" s="3446"/>
      <c r="Q16" s="1261"/>
      <c r="R16" s="666"/>
      <c r="S16" s="667"/>
      <c r="T16" s="666"/>
      <c r="U16" s="667"/>
      <c r="V16" s="666"/>
      <c r="W16" s="667"/>
      <c r="X16" s="1263"/>
      <c r="Y16" s="3439"/>
      <c r="Z16" s="1262"/>
      <c r="AA16" s="1262">
        <v>1</v>
      </c>
      <c r="AB16" s="1262">
        <v>1</v>
      </c>
      <c r="AC16" s="1262">
        <v>1</v>
      </c>
    </row>
    <row r="17" spans="1:29" ht="34.5" customHeight="1">
      <c r="A17" s="366"/>
      <c r="B17" s="389" t="s">
        <v>1259</v>
      </c>
      <c r="C17" s="1751" t="str">
        <f>估价对象房地状况!C6</f>
        <v>周边有301路、432路、530路、620路等多条公交线路及地铁17号线天通苑东站，综合评价交通便捷度较好</v>
      </c>
      <c r="D17" s="388">
        <v>100</v>
      </c>
      <c r="E17" s="3169" t="str">
        <f>C17</f>
        <v>周边有301路、432路、530路、620路等多条公交线路及地铁17号线天通苑东站，综合评价交通便捷度较好</v>
      </c>
      <c r="F17" s="388">
        <f>SUMIF(78:78,E18,79:79)-SUMIF(78:78,C18,79:79)+100</f>
        <v>100</v>
      </c>
      <c r="G17" s="3169" t="str">
        <f>E17</f>
        <v>周边有301路、432路、530路、620路等多条公交线路及地铁17号线天通苑东站，综合评价交通便捷度较好</v>
      </c>
      <c r="H17" s="393">
        <f>SUMIF(78:78,G18,79:79)-SUMIF(78:78,C18,79:79)+100</f>
        <v>100</v>
      </c>
      <c r="I17" s="3170" t="str">
        <f>E17</f>
        <v>周边有301路、432路、530路、620路等多条公交线路及地铁17号线天通苑东站，综合评价交通便捷度较好</v>
      </c>
      <c r="J17" s="393">
        <f>SUMIF(78:78,I18,79:79)-SUMIF(78:78,C18,79:79)+100</f>
        <v>100</v>
      </c>
      <c r="K17" s="383"/>
      <c r="L17" s="2487"/>
      <c r="M17" s="2482"/>
      <c r="N17" s="2482"/>
      <c r="O17" s="2482"/>
      <c r="P17" s="3446"/>
      <c r="Q17" s="1261" t="str">
        <f>B17</f>
        <v>交通便捷度</v>
      </c>
      <c r="R17" s="666" t="s">
        <v>18</v>
      </c>
      <c r="S17" s="667">
        <f>F17</f>
        <v>100</v>
      </c>
      <c r="T17" s="666" t="s">
        <v>18</v>
      </c>
      <c r="U17" s="667">
        <f>H17</f>
        <v>100</v>
      </c>
      <c r="V17" s="666" t="s">
        <v>18</v>
      </c>
      <c r="W17" s="667">
        <f>J17</f>
        <v>100</v>
      </c>
      <c r="X17" s="1263"/>
      <c r="Y17" s="3439"/>
      <c r="Z17" s="1262" t="str">
        <f>Q17</f>
        <v>交通便捷度</v>
      </c>
      <c r="AA17" s="1262">
        <f t="shared" si="3"/>
        <v>1</v>
      </c>
      <c r="AB17" s="1262">
        <f t="shared" si="4"/>
        <v>1</v>
      </c>
      <c r="AC17" s="1262">
        <f t="shared" si="5"/>
        <v>1</v>
      </c>
    </row>
    <row r="18" spans="1:29" ht="15">
      <c r="A18" s="366"/>
      <c r="B18" s="394"/>
      <c r="C18" s="1752" t="s">
        <v>3406</v>
      </c>
      <c r="D18" s="388"/>
      <c r="E18" s="1752" t="s">
        <v>3406</v>
      </c>
      <c r="F18" s="388"/>
      <c r="G18" s="1752" t="s">
        <v>3406</v>
      </c>
      <c r="H18" s="386"/>
      <c r="I18" s="1752" t="s">
        <v>3406</v>
      </c>
      <c r="J18" s="386"/>
      <c r="K18" s="1750"/>
      <c r="L18" s="2487"/>
      <c r="M18" s="2482"/>
      <c r="N18" s="2482"/>
      <c r="O18" s="2482"/>
      <c r="P18" s="3446"/>
      <c r="Q18" s="1261"/>
      <c r="R18" s="666"/>
      <c r="S18" s="667"/>
      <c r="T18" s="666"/>
      <c r="U18" s="667"/>
      <c r="V18" s="666"/>
      <c r="W18" s="667"/>
      <c r="X18" s="1263"/>
      <c r="Y18" s="3439"/>
      <c r="Z18" s="1262"/>
      <c r="AA18" s="1262">
        <v>1</v>
      </c>
      <c r="AB18" s="1262">
        <v>1</v>
      </c>
      <c r="AC18" s="1262">
        <v>1</v>
      </c>
    </row>
    <row r="19" spans="1:29" ht="299.25" customHeight="1">
      <c r="A19" s="366"/>
      <c r="B19" s="389" t="s">
        <v>1258</v>
      </c>
      <c r="C19" s="1751" t="str">
        <f>估价对象房地状况!C7</f>
        <v>银行：中国农业银行、中国建设银行、中国邮政储蓄银行等金融机构；
医院：天通苑中医医院、天通苑东二区社区卫生服务站等医疗机构；
学校：北京市朝阳外国语学校(高中部)、天通苑小学、昌平区育树家幼儿园等教育机构；
商业：国泰百货(天通苑店)、龙德广场等商业设施；
综合评价公共服务设施齐备度较好。</v>
      </c>
      <c r="D19" s="393">
        <v>100</v>
      </c>
      <c r="E19" s="3171" t="s">
        <v>3485</v>
      </c>
      <c r="F19" s="393">
        <f>SUMIF(80:80,E20,81:81)-SUMIF(80:80,C20,81:81)+100</f>
        <v>100</v>
      </c>
      <c r="G19" s="3171" t="s">
        <v>3485</v>
      </c>
      <c r="H19" s="388">
        <f>SUMIF(80:80,G20,81:81)-SUMIF(80:80,C20,81:81)+100</f>
        <v>100</v>
      </c>
      <c r="I19" s="3171" t="s">
        <v>3485</v>
      </c>
      <c r="J19" s="388">
        <f>SUMIF(80:80,I20,81:81)-SUMIF(80:80,C20,81:81)+100</f>
        <v>100</v>
      </c>
      <c r="K19" s="383"/>
      <c r="L19" s="2487"/>
      <c r="M19" s="2482"/>
      <c r="N19" s="2482"/>
      <c r="O19" s="2482"/>
      <c r="P19" s="3446"/>
      <c r="Q19" s="1261" t="str">
        <f>B19</f>
        <v>公共配套设施</v>
      </c>
      <c r="R19" s="666" t="s">
        <v>18</v>
      </c>
      <c r="S19" s="667">
        <f>F19</f>
        <v>100</v>
      </c>
      <c r="T19" s="666" t="s">
        <v>18</v>
      </c>
      <c r="U19" s="667">
        <f>H19</f>
        <v>100</v>
      </c>
      <c r="V19" s="666" t="s">
        <v>18</v>
      </c>
      <c r="W19" s="667">
        <f>J19</f>
        <v>100</v>
      </c>
      <c r="X19" s="1263"/>
      <c r="Y19" s="3439"/>
      <c r="Z19" s="1262" t="str">
        <f>Q19</f>
        <v>公共配套设施</v>
      </c>
      <c r="AA19" s="1262">
        <f t="shared" si="3"/>
        <v>1</v>
      </c>
      <c r="AB19" s="1262">
        <f t="shared" si="4"/>
        <v>1</v>
      </c>
      <c r="AC19" s="1262">
        <f t="shared" si="5"/>
        <v>1</v>
      </c>
    </row>
    <row r="20" spans="1:29" ht="15">
      <c r="A20" s="366"/>
      <c r="B20" s="394"/>
      <c r="C20" s="385" t="s">
        <v>3406</v>
      </c>
      <c r="D20" s="386"/>
      <c r="E20" s="385" t="s">
        <v>3406</v>
      </c>
      <c r="F20" s="386"/>
      <c r="G20" s="385" t="s">
        <v>3406</v>
      </c>
      <c r="H20" s="386"/>
      <c r="I20" s="385" t="s">
        <v>3406</v>
      </c>
      <c r="J20" s="386"/>
      <c r="K20" s="1750"/>
      <c r="L20" s="2487"/>
      <c r="M20" s="2482"/>
      <c r="N20" s="2482"/>
      <c r="O20" s="2482"/>
      <c r="P20" s="3446"/>
      <c r="Q20" s="1261"/>
      <c r="R20" s="666"/>
      <c r="S20" s="667"/>
      <c r="T20" s="666"/>
      <c r="U20" s="667"/>
      <c r="V20" s="666"/>
      <c r="W20" s="667"/>
      <c r="X20" s="1263"/>
      <c r="Y20" s="3439"/>
      <c r="Z20" s="1262"/>
      <c r="AA20" s="1262">
        <v>1</v>
      </c>
      <c r="AB20" s="1262">
        <v>1</v>
      </c>
      <c r="AC20" s="1262">
        <v>1</v>
      </c>
    </row>
    <row r="21" spans="1:29" ht="28.5">
      <c r="A21" s="366"/>
      <c r="B21" s="585" t="s">
        <v>1260</v>
      </c>
      <c r="C21" s="1751" t="str">
        <f>估价对象房地状况!C8</f>
        <v>估价对象所在区域基础设施水平</v>
      </c>
      <c r="D21" s="388">
        <v>100</v>
      </c>
      <c r="E21" s="3157"/>
      <c r="F21" s="393">
        <f>SUMIF(82:82,E22,83:83)-SUMIF(82:82,C22,83:83)+100</f>
        <v>100</v>
      </c>
      <c r="G21" s="395"/>
      <c r="H21" s="388">
        <f>SUMIF(82:82,G22,83:83)-SUMIF(82:82,C22,83:83)+100</f>
        <v>100</v>
      </c>
      <c r="I21" s="395"/>
      <c r="J21" s="388">
        <f>SUMIF(82:82,I22,83:83)-SUMIF(82:82,C22,83:83)+100</f>
        <v>100</v>
      </c>
      <c r="K21" s="383"/>
      <c r="L21" s="2487"/>
      <c r="M21" s="2482"/>
      <c r="N21" s="2482"/>
      <c r="O21" s="2482"/>
      <c r="P21" s="3446"/>
      <c r="Q21" s="1261" t="str">
        <f>B21</f>
        <v>基础设施水平</v>
      </c>
      <c r="R21" s="666" t="s">
        <v>14</v>
      </c>
      <c r="S21" s="667">
        <f>F21</f>
        <v>100</v>
      </c>
      <c r="T21" s="666" t="s">
        <v>14</v>
      </c>
      <c r="U21" s="667">
        <f>H21</f>
        <v>100</v>
      </c>
      <c r="V21" s="666" t="s">
        <v>14</v>
      </c>
      <c r="W21" s="667">
        <f>J21</f>
        <v>100</v>
      </c>
      <c r="X21" s="1263"/>
      <c r="Y21" s="3439"/>
      <c r="Z21" s="1262" t="str">
        <f>Q21</f>
        <v>基础设施水平</v>
      </c>
      <c r="AA21" s="1262">
        <f>D21/F21</f>
        <v>1</v>
      </c>
      <c r="AB21" s="1262">
        <f>D21/H21</f>
        <v>1</v>
      </c>
      <c r="AC21" s="1262">
        <f>D21/J21</f>
        <v>1</v>
      </c>
    </row>
    <row r="22" spans="1:29" ht="15">
      <c r="A22" s="366"/>
      <c r="B22" s="585"/>
      <c r="C22" s="1752" t="s">
        <v>3411</v>
      </c>
      <c r="D22" s="386"/>
      <c r="E22" s="3163" t="s">
        <v>3411</v>
      </c>
      <c r="F22" s="386"/>
      <c r="G22" s="1752" t="s">
        <v>3411</v>
      </c>
      <c r="H22" s="386"/>
      <c r="I22" s="1752" t="s">
        <v>3411</v>
      </c>
      <c r="J22" s="386"/>
      <c r="K22" s="1756"/>
      <c r="L22" s="2487"/>
      <c r="M22" s="2482"/>
      <c r="N22" s="2482"/>
      <c r="O22" s="2482"/>
      <c r="P22" s="3446"/>
      <c r="Q22" s="1261"/>
      <c r="R22" s="666"/>
      <c r="S22" s="667"/>
      <c r="T22" s="666"/>
      <c r="U22" s="667"/>
      <c r="V22" s="666"/>
      <c r="W22" s="667"/>
      <c r="X22" s="1263"/>
      <c r="Y22" s="3439"/>
      <c r="Z22" s="1262"/>
      <c r="AA22" s="1262">
        <v>1</v>
      </c>
      <c r="AB22" s="1262">
        <v>1</v>
      </c>
      <c r="AC22" s="1262">
        <v>1</v>
      </c>
    </row>
    <row r="23" spans="1:29" ht="128.25">
      <c r="A23" s="366"/>
      <c r="B23" s="389" t="s">
        <v>1261</v>
      </c>
      <c r="C23" s="1751" t="str">
        <f>估价对象房地状况!C9</f>
        <v>自然环境：清河营郊野公园、清河水系等自然景观；
人文环境：天通苑体育馆、天通苑文化艺术中心等人文场所；
综合评价环境状况较好。</v>
      </c>
      <c r="D23" s="388">
        <v>100</v>
      </c>
      <c r="E23" s="3170" t="s">
        <v>3486</v>
      </c>
      <c r="F23" s="388">
        <f>SUMIF(84:84,E24,85:85)-SUMIF(84:84,C24,85:85)+100</f>
        <v>100</v>
      </c>
      <c r="G23" s="3170" t="str">
        <f>C23</f>
        <v>自然环境：清河营郊野公园、清河水系等自然景观；
人文环境：天通苑体育馆、天通苑文化艺术中心等人文场所；
综合评价环境状况较好。</v>
      </c>
      <c r="H23" s="388">
        <f>SUMIF(84:84,G24,85:85)-SUMIF(84:84,C24,85:85)+100</f>
        <v>100</v>
      </c>
      <c r="I23" s="3170" t="str">
        <f>C23</f>
        <v>自然环境：清河营郊野公园、清河水系等自然景观；
人文环境：天通苑体育馆、天通苑文化艺术中心等人文场所；
综合评价环境状况较好。</v>
      </c>
      <c r="J23" s="388">
        <f>SUMIF(84:84,I24,85:85)-SUMIF(84:84,C24,85:85)+100</f>
        <v>100</v>
      </c>
      <c r="K23" s="383"/>
      <c r="L23" s="2487"/>
      <c r="M23" s="2482"/>
      <c r="N23" s="2482"/>
      <c r="O23" s="2482"/>
      <c r="P23" s="3446"/>
      <c r="Q23" s="1261" t="str">
        <f>B23</f>
        <v>自然及人文环境</v>
      </c>
      <c r="R23" s="666" t="s">
        <v>18</v>
      </c>
      <c r="S23" s="667">
        <f>F23</f>
        <v>100</v>
      </c>
      <c r="T23" s="666" t="s">
        <v>18</v>
      </c>
      <c r="U23" s="667">
        <f>H23</f>
        <v>100</v>
      </c>
      <c r="V23" s="666" t="s">
        <v>18</v>
      </c>
      <c r="W23" s="667">
        <f>J23</f>
        <v>100</v>
      </c>
      <c r="X23" s="1263"/>
      <c r="Y23" s="3439"/>
      <c r="Z23" s="1262" t="str">
        <f>Q23</f>
        <v>自然及人文环境</v>
      </c>
      <c r="AA23" s="1262">
        <f>D23/F23</f>
        <v>1</v>
      </c>
      <c r="AB23" s="1262">
        <f>D23/H23</f>
        <v>1</v>
      </c>
      <c r="AC23" s="1262">
        <f>D23/J23</f>
        <v>1</v>
      </c>
    </row>
    <row r="24" spans="1:29" ht="15">
      <c r="A24" s="366"/>
      <c r="B24" s="394"/>
      <c r="C24" s="385" t="s">
        <v>3406</v>
      </c>
      <c r="D24" s="386"/>
      <c r="E24" s="385" t="s">
        <v>3406</v>
      </c>
      <c r="F24" s="386"/>
      <c r="G24" s="385" t="s">
        <v>3406</v>
      </c>
      <c r="H24" s="386"/>
      <c r="I24" s="385" t="s">
        <v>3406</v>
      </c>
      <c r="J24" s="386"/>
      <c r="K24" s="1750"/>
      <c r="L24" s="2487"/>
      <c r="M24" s="2482"/>
      <c r="N24" s="2482"/>
      <c r="O24" s="2482"/>
      <c r="P24" s="3446"/>
      <c r="Q24" s="1261"/>
      <c r="R24" s="666"/>
      <c r="S24" s="667"/>
      <c r="T24" s="666"/>
      <c r="U24" s="667"/>
      <c r="V24" s="666"/>
      <c r="W24" s="667"/>
      <c r="X24" s="1263"/>
      <c r="Y24" s="3439"/>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46"/>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39"/>
      <c r="Z25" s="1262" t="str">
        <f>Q25</f>
        <v>楼层-1</v>
      </c>
      <c r="AA25" s="1262">
        <f t="shared" ref="AA25:AA46" si="12">D25/F25</f>
        <v>1</v>
      </c>
      <c r="AB25" s="1262">
        <f t="shared" ref="AB25:AB46" si="13">D25/H25</f>
        <v>1</v>
      </c>
      <c r="AC25" s="1262">
        <f t="shared" ref="AC25:AC46" si="14">D25/J25</f>
        <v>1</v>
      </c>
    </row>
    <row r="26" spans="1:29" ht="15">
      <c r="A26" s="366"/>
      <c r="B26" s="363" t="s">
        <v>1693</v>
      </c>
      <c r="C26" s="398" t="s">
        <v>3487</v>
      </c>
      <c r="D26" s="373">
        <v>100</v>
      </c>
      <c r="E26" s="1757" t="s">
        <v>3482</v>
      </c>
      <c r="F26" s="373">
        <f>SUMIF(88:88,E26,89:89)-SUMIF(88:88,C26,89:89)+100</f>
        <v>97</v>
      </c>
      <c r="G26" s="1757" t="s">
        <v>3492</v>
      </c>
      <c r="H26" s="373">
        <f>SUMIF(88:88,G26,89:89)-SUMIF(88:88,C26,89:89)+100</f>
        <v>94</v>
      </c>
      <c r="I26" s="1758" t="s">
        <v>3482</v>
      </c>
      <c r="J26" s="373">
        <f>SUMIF(88:88,I26,89:89)-SUMIF(88:88,C26,89:89)+100</f>
        <v>97</v>
      </c>
      <c r="K26" s="364">
        <v>1</v>
      </c>
      <c r="L26" s="2487"/>
      <c r="M26" s="2482"/>
      <c r="N26" s="2482"/>
      <c r="O26" s="2482"/>
      <c r="P26" s="3446"/>
      <c r="Q26" s="1261" t="str">
        <f t="shared" si="8"/>
        <v>朝向</v>
      </c>
      <c r="R26" s="666" t="s">
        <v>18</v>
      </c>
      <c r="S26" s="667">
        <f t="shared" si="9"/>
        <v>97</v>
      </c>
      <c r="T26" s="666" t="s">
        <v>18</v>
      </c>
      <c r="U26" s="667">
        <f t="shared" si="10"/>
        <v>94</v>
      </c>
      <c r="V26" s="666" t="s">
        <v>18</v>
      </c>
      <c r="W26" s="667">
        <f t="shared" si="11"/>
        <v>97</v>
      </c>
      <c r="X26" s="1263"/>
      <c r="Y26" s="3439"/>
      <c r="Z26" s="1262" t="str">
        <f>Q26</f>
        <v>朝向</v>
      </c>
      <c r="AA26" s="1262">
        <f t="shared" si="12"/>
        <v>1.0309278350515463</v>
      </c>
      <c r="AB26" s="1262">
        <f t="shared" si="13"/>
        <v>1.0638297872340425</v>
      </c>
      <c r="AC26" s="1262">
        <f t="shared" si="14"/>
        <v>1.0309278350515463</v>
      </c>
    </row>
    <row r="27" spans="1:29" s="101" customFormat="1" ht="15">
      <c r="A27" s="369"/>
      <c r="B27" s="3141" t="s">
        <v>3392</v>
      </c>
      <c r="C27" s="3172" t="s">
        <v>3459</v>
      </c>
      <c r="D27" s="400">
        <v>100</v>
      </c>
      <c r="E27" s="3172" t="s">
        <v>3494</v>
      </c>
      <c r="F27" s="400">
        <f>D91</f>
        <v>99</v>
      </c>
      <c r="G27" s="3172" t="s">
        <v>3459</v>
      </c>
      <c r="H27" s="400">
        <f>C91</f>
        <v>100</v>
      </c>
      <c r="I27" s="3172" t="s">
        <v>3468</v>
      </c>
      <c r="J27" s="400">
        <f>E91</f>
        <v>98</v>
      </c>
      <c r="K27" s="1745"/>
      <c r="L27" s="2483"/>
      <c r="M27" s="2434"/>
      <c r="N27" s="2434"/>
      <c r="O27" s="2434"/>
      <c r="P27" s="3446"/>
      <c r="Q27" s="529" t="str">
        <f t="shared" si="8"/>
        <v>楼层</v>
      </c>
      <c r="R27" s="663" t="s">
        <v>18</v>
      </c>
      <c r="S27" s="664">
        <f t="shared" si="9"/>
        <v>99</v>
      </c>
      <c r="T27" s="663" t="s">
        <v>18</v>
      </c>
      <c r="U27" s="664">
        <f t="shared" si="10"/>
        <v>100</v>
      </c>
      <c r="V27" s="663" t="s">
        <v>18</v>
      </c>
      <c r="W27" s="664">
        <f t="shared" si="11"/>
        <v>98</v>
      </c>
      <c r="X27" s="665"/>
      <c r="Y27" s="3439"/>
      <c r="Z27" s="50" t="str">
        <f>Q27</f>
        <v>楼层</v>
      </c>
      <c r="AA27" s="1262">
        <f t="shared" si="12"/>
        <v>1.0101010101010102</v>
      </c>
      <c r="AB27" s="1262">
        <f t="shared" si="13"/>
        <v>1</v>
      </c>
      <c r="AC27" s="1262">
        <f t="shared" si="14"/>
        <v>1.0204081632653061</v>
      </c>
    </row>
    <row r="28" spans="1:29" ht="15" hidden="1">
      <c r="A28" s="366"/>
      <c r="B28" s="3141" t="s">
        <v>3436</v>
      </c>
      <c r="C28" s="3143" t="s">
        <v>3439</v>
      </c>
      <c r="D28" s="373">
        <v>100</v>
      </c>
      <c r="E28" s="3143" t="s">
        <v>3439</v>
      </c>
      <c r="F28" s="373">
        <f>SUMIF(92:92,E28,93:93)-SUMIF(92:92,C28,93:93)+100</f>
        <v>100</v>
      </c>
      <c r="G28" s="3143" t="s">
        <v>3439</v>
      </c>
      <c r="H28" s="373">
        <f>SUMIF(92:92,G28,93:93)-SUMIF(92:92,C28,93:93)+100</f>
        <v>100</v>
      </c>
      <c r="I28" s="3143" t="s">
        <v>3439</v>
      </c>
      <c r="J28" s="373">
        <f>SUMIF(92:92,I28,93:93)-SUMIF(92:92,C28,93:93)+100</f>
        <v>100</v>
      </c>
      <c r="K28" s="1745"/>
      <c r="L28" s="2487"/>
      <c r="M28" s="2482"/>
      <c r="N28" s="2482"/>
      <c r="O28" s="2482"/>
      <c r="P28" s="3446"/>
      <c r="Q28" s="1261" t="str">
        <f t="shared" si="8"/>
        <v>道路级别</v>
      </c>
      <c r="R28" s="666" t="s">
        <v>18</v>
      </c>
      <c r="S28" s="667">
        <f t="shared" si="9"/>
        <v>100</v>
      </c>
      <c r="T28" s="666" t="s">
        <v>18</v>
      </c>
      <c r="U28" s="667">
        <f t="shared" si="10"/>
        <v>100</v>
      </c>
      <c r="V28" s="666" t="s">
        <v>18</v>
      </c>
      <c r="W28" s="667">
        <f t="shared" si="11"/>
        <v>100</v>
      </c>
      <c r="X28" s="1263"/>
      <c r="Y28" s="3439"/>
      <c r="Z28" s="1262" t="str">
        <f t="shared" ref="Z28:Z46" si="15">Q28</f>
        <v>道路级别</v>
      </c>
      <c r="AA28" s="1262">
        <f t="shared" si="12"/>
        <v>1</v>
      </c>
      <c r="AB28" s="1262">
        <f t="shared" si="13"/>
        <v>1</v>
      </c>
      <c r="AC28" s="1262">
        <f t="shared" si="14"/>
        <v>1</v>
      </c>
    </row>
    <row r="29" spans="1:29" ht="15">
      <c r="A29" s="366"/>
      <c r="B29" s="1065">
        <v>111</v>
      </c>
      <c r="C29" s="3172" t="s">
        <v>3488</v>
      </c>
      <c r="D29" s="373">
        <v>100</v>
      </c>
      <c r="E29" s="3172" t="s">
        <v>3495</v>
      </c>
      <c r="F29" s="373">
        <f>SUMIF(94:94,E29,95:95)-SUMIF(94:94,C29,95:95)+100</f>
        <v>100</v>
      </c>
      <c r="G29" s="3172" t="s">
        <v>3496</v>
      </c>
      <c r="H29" s="373">
        <f>SUMIF(94:94,G29,95:95)-SUMIF(94:94,C29,95:95)+100</f>
        <v>100</v>
      </c>
      <c r="I29" s="3172" t="s">
        <v>3497</v>
      </c>
      <c r="J29" s="373">
        <f>SUMIF(94:94,I29,95:95)-SUMIF(94:94,C29,95:95)+100</f>
        <v>100</v>
      </c>
      <c r="K29" s="1745"/>
      <c r="L29" s="2487"/>
      <c r="M29" s="2482"/>
      <c r="N29" s="2482"/>
      <c r="O29" s="2482"/>
      <c r="P29" s="3446"/>
      <c r="Q29" s="1261">
        <f t="shared" si="8"/>
        <v>111</v>
      </c>
      <c r="R29" s="666" t="s">
        <v>18</v>
      </c>
      <c r="S29" s="667">
        <f t="shared" si="9"/>
        <v>100</v>
      </c>
      <c r="T29" s="666" t="s">
        <v>18</v>
      </c>
      <c r="U29" s="667">
        <f t="shared" si="10"/>
        <v>100</v>
      </c>
      <c r="V29" s="666" t="s">
        <v>18</v>
      </c>
      <c r="W29" s="667">
        <f t="shared" si="11"/>
        <v>100</v>
      </c>
      <c r="X29" s="1263"/>
      <c r="Y29" s="3439"/>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46"/>
      <c r="Q30" s="1261">
        <f t="shared" si="8"/>
        <v>111</v>
      </c>
      <c r="R30" s="666" t="s">
        <v>18</v>
      </c>
      <c r="S30" s="667">
        <f t="shared" si="9"/>
        <v>100</v>
      </c>
      <c r="T30" s="666" t="s">
        <v>18</v>
      </c>
      <c r="U30" s="667">
        <f t="shared" si="10"/>
        <v>100</v>
      </c>
      <c r="V30" s="666" t="s">
        <v>18</v>
      </c>
      <c r="W30" s="667">
        <f t="shared" si="11"/>
        <v>100</v>
      </c>
      <c r="X30" s="1263"/>
      <c r="Y30" s="3439"/>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46"/>
      <c r="Q31" s="1261">
        <f t="shared" si="8"/>
        <v>111</v>
      </c>
      <c r="R31" s="666" t="s">
        <v>18</v>
      </c>
      <c r="S31" s="667">
        <f t="shared" si="9"/>
        <v>100</v>
      </c>
      <c r="T31" s="666" t="s">
        <v>18</v>
      </c>
      <c r="U31" s="667">
        <f t="shared" si="10"/>
        <v>100</v>
      </c>
      <c r="V31" s="666" t="s">
        <v>18</v>
      </c>
      <c r="W31" s="667">
        <f t="shared" si="11"/>
        <v>100</v>
      </c>
      <c r="X31" s="1263"/>
      <c r="Y31" s="3439"/>
      <c r="Z31" s="1262">
        <f t="shared" si="15"/>
        <v>111</v>
      </c>
      <c r="AA31" s="1262">
        <f t="shared" si="12"/>
        <v>1</v>
      </c>
      <c r="AB31" s="1262">
        <f t="shared" si="13"/>
        <v>1</v>
      </c>
      <c r="AC31" s="1262">
        <f t="shared" si="14"/>
        <v>1</v>
      </c>
    </row>
    <row r="32" spans="1:29" ht="15.75" thickBot="1">
      <c r="A32" s="378" t="s">
        <v>1694</v>
      </c>
      <c r="B32" s="363" t="s">
        <v>1695</v>
      </c>
      <c r="C32" s="3168" t="s">
        <v>3489</v>
      </c>
      <c r="D32" s="404">
        <v>100</v>
      </c>
      <c r="E32" s="3168" t="s">
        <v>3489</v>
      </c>
      <c r="F32" s="399">
        <f>SUMIF(100:100,E32,101:101)-SUMIF(100:100,C32,101:101)+100</f>
        <v>100</v>
      </c>
      <c r="G32" s="3168" t="s">
        <v>3489</v>
      </c>
      <c r="H32" s="404">
        <f>SUMIF(100:100,G32,101:101)-SUMIF(100:100,C32,101:101)+100</f>
        <v>100</v>
      </c>
      <c r="I32" s="3168" t="s">
        <v>3489</v>
      </c>
      <c r="J32" s="373">
        <f>SUMIF(100:100,I32,101:101)-SUMIF(100:100,C32,101:101)+100</f>
        <v>100</v>
      </c>
      <c r="K32" s="364">
        <v>2</v>
      </c>
      <c r="L32" s="2487"/>
      <c r="M32" s="2482"/>
      <c r="N32" s="2482"/>
      <c r="O32" s="2482"/>
      <c r="P32" s="3440" t="s">
        <v>1696</v>
      </c>
      <c r="Q32" s="1261" t="str">
        <f t="shared" si="8"/>
        <v>建筑类型</v>
      </c>
      <c r="R32" s="666" t="s">
        <v>18</v>
      </c>
      <c r="S32" s="667">
        <f t="shared" si="9"/>
        <v>100</v>
      </c>
      <c r="T32" s="666" t="s">
        <v>18</v>
      </c>
      <c r="U32" s="667">
        <f t="shared" si="10"/>
        <v>100</v>
      </c>
      <c r="V32" s="666" t="s">
        <v>18</v>
      </c>
      <c r="W32" s="667">
        <f t="shared" si="11"/>
        <v>100</v>
      </c>
      <c r="X32" s="1263"/>
      <c r="Y32" s="3443" t="s">
        <v>1696</v>
      </c>
      <c r="Z32" s="1262" t="str">
        <f t="shared" si="15"/>
        <v>建筑类型</v>
      </c>
      <c r="AA32" s="1262">
        <f t="shared" si="12"/>
        <v>1</v>
      </c>
      <c r="AB32" s="1262">
        <f t="shared" si="13"/>
        <v>1</v>
      </c>
      <c r="AC32" s="1262">
        <f t="shared" si="14"/>
        <v>1</v>
      </c>
    </row>
    <row r="33" spans="1:29" s="407" customFormat="1" ht="15">
      <c r="A33" s="405"/>
      <c r="B33" s="363" t="s">
        <v>1697</v>
      </c>
      <c r="C33" s="3127">
        <f>'数据-取费表'!K6</f>
        <v>141.37</v>
      </c>
      <c r="D33" s="118">
        <v>100</v>
      </c>
      <c r="E33" s="3168">
        <f>案例!$E$2</f>
        <v>75.099999999999994</v>
      </c>
      <c r="F33" s="399">
        <f>D104</f>
        <v>104</v>
      </c>
      <c r="G33" s="3168">
        <f>案例!$E$3</f>
        <v>98.68</v>
      </c>
      <c r="H33" s="404">
        <f>E104</f>
        <v>103</v>
      </c>
      <c r="I33" s="1761">
        <f>案例!$E$4</f>
        <v>75.510000000000005</v>
      </c>
      <c r="J33" s="3166">
        <f>F33</f>
        <v>104</v>
      </c>
      <c r="K33" s="1745"/>
      <c r="L33" s="2486"/>
      <c r="M33" s="2488"/>
      <c r="N33" s="2488"/>
      <c r="O33" s="2488"/>
      <c r="P33" s="3441"/>
      <c r="Q33" s="530" t="str">
        <f t="shared" si="8"/>
        <v>项目建筑规模</v>
      </c>
      <c r="R33" s="668" t="s">
        <v>18</v>
      </c>
      <c r="S33" s="669">
        <f t="shared" si="9"/>
        <v>104</v>
      </c>
      <c r="T33" s="668" t="s">
        <v>18</v>
      </c>
      <c r="U33" s="669">
        <f t="shared" si="10"/>
        <v>103</v>
      </c>
      <c r="V33" s="668" t="s">
        <v>18</v>
      </c>
      <c r="W33" s="669">
        <f t="shared" si="11"/>
        <v>104</v>
      </c>
      <c r="X33" s="670"/>
      <c r="Y33" s="3443"/>
      <c r="Z33" s="671" t="str">
        <f t="shared" si="15"/>
        <v>项目建筑规模</v>
      </c>
      <c r="AA33" s="1262">
        <f t="shared" si="12"/>
        <v>0.96153846153846156</v>
      </c>
      <c r="AB33" s="1262">
        <f t="shared" si="13"/>
        <v>0.970873786407767</v>
      </c>
      <c r="AC33" s="1262">
        <f t="shared" si="14"/>
        <v>0.96153846153846156</v>
      </c>
    </row>
    <row r="34" spans="1:29" ht="15">
      <c r="A34" s="408"/>
      <c r="B34" s="363" t="s">
        <v>1698</v>
      </c>
      <c r="C34" s="398" t="s">
        <v>3396</v>
      </c>
      <c r="D34" s="373">
        <v>100</v>
      </c>
      <c r="E34" s="398" t="s">
        <v>3396</v>
      </c>
      <c r="F34" s="399">
        <f>SUMIF(105:105,E34,106:106)-SUMIF(105:105,C34,106:106)+100</f>
        <v>100</v>
      </c>
      <c r="G34" s="398" t="s">
        <v>3396</v>
      </c>
      <c r="H34" s="373">
        <f>SUMIF(105:105,G34,106:106)-SUMIF(105:105,C34,106:106)+100</f>
        <v>100</v>
      </c>
      <c r="I34" s="398" t="s">
        <v>3396</v>
      </c>
      <c r="J34" s="373">
        <f>SUMIF(105:105,I34,106:106)-SUMIF(105:105,C34,106:106)+100</f>
        <v>100</v>
      </c>
      <c r="K34" s="364">
        <v>0.5</v>
      </c>
      <c r="L34" s="2487"/>
      <c r="M34" s="2482"/>
      <c r="N34" s="2482"/>
      <c r="O34" s="2482"/>
      <c r="P34" s="3441"/>
      <c r="Q34" s="1261" t="str">
        <f t="shared" si="8"/>
        <v>建筑结构</v>
      </c>
      <c r="R34" s="666" t="s">
        <v>18</v>
      </c>
      <c r="S34" s="667">
        <f t="shared" si="9"/>
        <v>100</v>
      </c>
      <c r="T34" s="666" t="s">
        <v>18</v>
      </c>
      <c r="U34" s="667">
        <f t="shared" si="10"/>
        <v>100</v>
      </c>
      <c r="V34" s="666" t="s">
        <v>18</v>
      </c>
      <c r="W34" s="667">
        <f t="shared" si="11"/>
        <v>100</v>
      </c>
      <c r="X34" s="1263"/>
      <c r="Y34" s="3443"/>
      <c r="Z34" s="1262" t="str">
        <f t="shared" si="15"/>
        <v>建筑结构</v>
      </c>
      <c r="AA34" s="1262">
        <f t="shared" si="12"/>
        <v>1</v>
      </c>
      <c r="AB34" s="1262">
        <f t="shared" si="13"/>
        <v>1</v>
      </c>
      <c r="AC34" s="1262">
        <f t="shared" si="14"/>
        <v>1</v>
      </c>
    </row>
    <row r="35" spans="1:29" ht="15" hidden="1">
      <c r="A35" s="408"/>
      <c r="B35" s="363" t="s">
        <v>3448</v>
      </c>
      <c r="C35" s="1757" t="s">
        <v>3406</v>
      </c>
      <c r="D35" s="373">
        <v>100</v>
      </c>
      <c r="E35" s="1757" t="s">
        <v>3406</v>
      </c>
      <c r="F35" s="399">
        <f>SUMIF(107:107,E35,108:108)-SUMIF(107:107,C35,108:108)+100</f>
        <v>100</v>
      </c>
      <c r="G35" s="1757" t="s">
        <v>3406</v>
      </c>
      <c r="H35" s="373">
        <f>SUMIF(107:107,G35,108:108)-SUMIF(107:107,C35,108:108)+100</f>
        <v>100</v>
      </c>
      <c r="I35" s="1757" t="s">
        <v>3406</v>
      </c>
      <c r="J35" s="373">
        <f>SUMIF(107:107,I35,108:108)-SUMIF(107:107,C35,108:108)+100</f>
        <v>100</v>
      </c>
      <c r="K35" s="364">
        <v>3</v>
      </c>
      <c r="L35" s="2487"/>
      <c r="M35" s="2482"/>
      <c r="N35" s="2482"/>
      <c r="O35" s="2482"/>
      <c r="P35" s="3441"/>
      <c r="Q35" s="1261" t="str">
        <f t="shared" si="8"/>
        <v>噪音污染</v>
      </c>
      <c r="R35" s="666" t="s">
        <v>18</v>
      </c>
      <c r="S35" s="667">
        <f t="shared" si="9"/>
        <v>100</v>
      </c>
      <c r="T35" s="666" t="s">
        <v>18</v>
      </c>
      <c r="U35" s="667">
        <f t="shared" si="10"/>
        <v>100</v>
      </c>
      <c r="V35" s="666" t="s">
        <v>18</v>
      </c>
      <c r="W35" s="667">
        <f t="shared" si="11"/>
        <v>100</v>
      </c>
      <c r="X35" s="1263"/>
      <c r="Y35" s="3443"/>
      <c r="Z35" s="1262" t="str">
        <f t="shared" si="15"/>
        <v>噪音污染</v>
      </c>
      <c r="AA35" s="1262">
        <f t="shared" si="12"/>
        <v>1</v>
      </c>
      <c r="AB35" s="1262">
        <f t="shared" si="13"/>
        <v>1</v>
      </c>
      <c r="AC35" s="1262">
        <f t="shared" si="14"/>
        <v>1</v>
      </c>
    </row>
    <row r="36" spans="1:29" ht="15">
      <c r="A36" s="408"/>
      <c r="B36" s="363" t="s">
        <v>1699</v>
      </c>
      <c r="C36" s="3185" t="s">
        <v>3475</v>
      </c>
      <c r="D36" s="373">
        <v>100</v>
      </c>
      <c r="E36" s="3185" t="s">
        <v>3475</v>
      </c>
      <c r="F36" s="399">
        <f>SUMIF(109:109,E36,110:110)-SUMIF(109:109,C36,110:110)+100</f>
        <v>100</v>
      </c>
      <c r="G36" s="3185" t="s">
        <v>3475</v>
      </c>
      <c r="H36" s="373">
        <f>SUMIF(109:109,G36,110:110)-SUMIF(109:109,C36,110:110)+100</f>
        <v>100</v>
      </c>
      <c r="I36" s="3185" t="s">
        <v>3475</v>
      </c>
      <c r="J36" s="373">
        <f>SUMIF(109:109,I36,110:110)-SUMIF(109:109,C36,110:110)+100</f>
        <v>100</v>
      </c>
      <c r="K36" s="364"/>
      <c r="L36" s="2487"/>
      <c r="M36" s="2482"/>
      <c r="N36" s="2482"/>
      <c r="O36" s="2482"/>
      <c r="P36" s="3441"/>
      <c r="Q36" s="1261" t="str">
        <f t="shared" si="8"/>
        <v>公共部分装修</v>
      </c>
      <c r="R36" s="666" t="s">
        <v>18</v>
      </c>
      <c r="S36" s="667">
        <f t="shared" si="9"/>
        <v>100</v>
      </c>
      <c r="T36" s="666" t="s">
        <v>18</v>
      </c>
      <c r="U36" s="667">
        <f t="shared" si="10"/>
        <v>100</v>
      </c>
      <c r="V36" s="666" t="s">
        <v>18</v>
      </c>
      <c r="W36" s="667">
        <f t="shared" si="11"/>
        <v>100</v>
      </c>
      <c r="X36" s="1263"/>
      <c r="Y36" s="3443"/>
      <c r="Z36" s="1262" t="str">
        <f t="shared" si="15"/>
        <v>公共部分装修</v>
      </c>
      <c r="AA36" s="1262">
        <f t="shared" si="12"/>
        <v>1</v>
      </c>
      <c r="AB36" s="1262">
        <f t="shared" si="13"/>
        <v>1</v>
      </c>
      <c r="AC36" s="1262">
        <f t="shared" si="14"/>
        <v>1</v>
      </c>
    </row>
    <row r="37" spans="1:29" s="101" customFormat="1" ht="15">
      <c r="A37" s="409"/>
      <c r="B37" s="3173" t="s">
        <v>3451</v>
      </c>
      <c r="C37" s="3174">
        <v>2001</v>
      </c>
      <c r="D37" s="118">
        <v>100</v>
      </c>
      <c r="E37" s="3174">
        <f>案例!I2</f>
        <v>2001</v>
      </c>
      <c r="F37" s="118">
        <f>H37</f>
        <v>100</v>
      </c>
      <c r="G37" s="3174">
        <f>案例!I3</f>
        <v>2001</v>
      </c>
      <c r="H37" s="118">
        <f>LOOKUP(G37,112:112,113:113)-LOOKUP(C37,112:112,113:113)+100</f>
        <v>100</v>
      </c>
      <c r="I37" s="3174">
        <f>案例!I4</f>
        <v>2001</v>
      </c>
      <c r="J37" s="118">
        <f>LOOKUP(I37,112:112,113:113)-LOOKUP(E37,112:112,113:113)+100</f>
        <v>100</v>
      </c>
      <c r="K37" s="364">
        <v>0.5</v>
      </c>
      <c r="L37" s="2483"/>
      <c r="M37" s="2434"/>
      <c r="N37" s="2434"/>
      <c r="O37" s="2434"/>
      <c r="P37" s="3441"/>
      <c r="Q37" s="529" t="str">
        <f t="shared" si="8"/>
        <v>建成年代</v>
      </c>
      <c r="R37" s="663" t="s">
        <v>18</v>
      </c>
      <c r="S37" s="664">
        <f t="shared" si="9"/>
        <v>100</v>
      </c>
      <c r="T37" s="663" t="s">
        <v>18</v>
      </c>
      <c r="U37" s="664">
        <f t="shared" si="10"/>
        <v>100</v>
      </c>
      <c r="V37" s="663" t="s">
        <v>18</v>
      </c>
      <c r="W37" s="664">
        <f t="shared" si="11"/>
        <v>100</v>
      </c>
      <c r="X37" s="665"/>
      <c r="Y37" s="3443"/>
      <c r="Z37" s="50" t="str">
        <f t="shared" si="15"/>
        <v>建成年代</v>
      </c>
      <c r="AA37" s="50">
        <f t="shared" si="12"/>
        <v>1</v>
      </c>
      <c r="AB37" s="50">
        <f t="shared" si="13"/>
        <v>1</v>
      </c>
      <c r="AC37" s="50">
        <f t="shared" si="14"/>
        <v>1</v>
      </c>
    </row>
    <row r="38" spans="1:29" ht="15">
      <c r="A38" s="408"/>
      <c r="B38" s="363" t="s">
        <v>1700</v>
      </c>
      <c r="C38" s="1757" t="s">
        <v>3450</v>
      </c>
      <c r="D38" s="373">
        <v>100</v>
      </c>
      <c r="E38" s="1757" t="s">
        <v>3450</v>
      </c>
      <c r="F38" s="399">
        <f>SUMIF(114:114,E38,115:115)-SUMIF(114:114,C38,115:115)+100</f>
        <v>100</v>
      </c>
      <c r="G38" s="1757" t="s">
        <v>3450</v>
      </c>
      <c r="H38" s="373">
        <f>SUMIF(114:114,G38,115:115)-SUMIF(114:114,C38,115:115)+100</f>
        <v>100</v>
      </c>
      <c r="I38" s="1757" t="s">
        <v>3450</v>
      </c>
      <c r="J38" s="373">
        <f>SUMIF(114:114,I38,115:115)-SUMIF(114:114,C38,115:115)+100</f>
        <v>100</v>
      </c>
      <c r="K38" s="364">
        <v>1</v>
      </c>
      <c r="L38" s="2487"/>
      <c r="M38" s="2482"/>
      <c r="N38" s="2482"/>
      <c r="O38" s="2482"/>
      <c r="P38" s="3441" t="s">
        <v>1696</v>
      </c>
      <c r="Q38" s="1261" t="str">
        <f t="shared" si="8"/>
        <v>物业管理</v>
      </c>
      <c r="R38" s="666" t="s">
        <v>18</v>
      </c>
      <c r="S38" s="667">
        <f t="shared" si="9"/>
        <v>100</v>
      </c>
      <c r="T38" s="666" t="s">
        <v>18</v>
      </c>
      <c r="U38" s="667">
        <f t="shared" si="10"/>
        <v>100</v>
      </c>
      <c r="V38" s="666" t="s">
        <v>18</v>
      </c>
      <c r="W38" s="667">
        <f t="shared" si="11"/>
        <v>100</v>
      </c>
      <c r="X38" s="1263"/>
      <c r="Y38" s="3443" t="s">
        <v>1696</v>
      </c>
      <c r="Z38" s="1262" t="str">
        <f t="shared" si="15"/>
        <v>物业管理</v>
      </c>
      <c r="AA38" s="1262">
        <f t="shared" si="12"/>
        <v>1</v>
      </c>
      <c r="AB38" s="1262">
        <f t="shared" si="13"/>
        <v>1</v>
      </c>
      <c r="AC38" s="1262">
        <f t="shared" si="14"/>
        <v>1</v>
      </c>
    </row>
    <row r="39" spans="1:29" ht="15">
      <c r="A39" s="408"/>
      <c r="B39" s="363" t="s">
        <v>1701</v>
      </c>
      <c r="C39" s="1757" t="s">
        <v>3411</v>
      </c>
      <c r="D39" s="373">
        <v>100</v>
      </c>
      <c r="E39" s="1757" t="s">
        <v>3411</v>
      </c>
      <c r="F39" s="399">
        <f>SUMIF(116:116,E39,117:117)-SUMIF(116:116,C39,117:117)+100</f>
        <v>100</v>
      </c>
      <c r="G39" s="1757" t="s">
        <v>3411</v>
      </c>
      <c r="H39" s="373">
        <f>SUMIF(116:116,G39,117:117)-SUMIF(116:116,C39,117:117)+100</f>
        <v>100</v>
      </c>
      <c r="I39" s="1757" t="s">
        <v>3411</v>
      </c>
      <c r="J39" s="373">
        <f>SUMIF(116:116,I39,117:117)-SUMIF(116:116,C39,117:117)+100</f>
        <v>100</v>
      </c>
      <c r="K39" s="364"/>
      <c r="L39" s="2487"/>
      <c r="M39" s="2482"/>
      <c r="N39" s="2482"/>
      <c r="O39" s="2482"/>
      <c r="P39" s="3441"/>
      <c r="Q39" s="1261" t="str">
        <f t="shared" si="8"/>
        <v>市政基础设施</v>
      </c>
      <c r="R39" s="666" t="s">
        <v>18</v>
      </c>
      <c r="S39" s="667">
        <f t="shared" si="9"/>
        <v>100</v>
      </c>
      <c r="T39" s="666" t="s">
        <v>18</v>
      </c>
      <c r="U39" s="667">
        <f t="shared" si="10"/>
        <v>100</v>
      </c>
      <c r="V39" s="666" t="s">
        <v>18</v>
      </c>
      <c r="W39" s="667">
        <f t="shared" si="11"/>
        <v>100</v>
      </c>
      <c r="X39" s="1263"/>
      <c r="Y39" s="3443"/>
      <c r="Z39" s="1262" t="str">
        <f t="shared" si="15"/>
        <v>市政基础设施</v>
      </c>
      <c r="AA39" s="1262">
        <f t="shared" si="12"/>
        <v>1</v>
      </c>
      <c r="AB39" s="1262">
        <f t="shared" si="13"/>
        <v>1</v>
      </c>
      <c r="AC39" s="1262">
        <f t="shared" si="14"/>
        <v>1</v>
      </c>
    </row>
    <row r="40" spans="1:29" ht="15" hidden="1">
      <c r="A40" s="408"/>
      <c r="B40" s="363" t="s">
        <v>1702</v>
      </c>
      <c r="C40" s="1757" t="s">
        <v>3417</v>
      </c>
      <c r="D40" s="373">
        <v>100</v>
      </c>
      <c r="E40" s="1757" t="s">
        <v>3417</v>
      </c>
      <c r="F40" s="399">
        <f>SUMIF(118:118,E40,119:119)-SUMIF(118:118,C40,119:119)+100</f>
        <v>100</v>
      </c>
      <c r="G40" s="1757" t="s">
        <v>3417</v>
      </c>
      <c r="H40" s="373">
        <f>SUMIF(118:118,G40,119:119)-SUMIF(118:118,C40,119:119)+100</f>
        <v>100</v>
      </c>
      <c r="I40" s="1757" t="s">
        <v>3417</v>
      </c>
      <c r="J40" s="373">
        <f>SUMIF(118:118,I40,119:119)-SUMIF(118:118,C40,119:119)+100</f>
        <v>100</v>
      </c>
      <c r="K40" s="364"/>
      <c r="L40" s="2487"/>
      <c r="M40" s="2482"/>
      <c r="N40" s="2482"/>
      <c r="O40" s="2482"/>
      <c r="P40" s="3441"/>
      <c r="Q40" s="1261" t="str">
        <f t="shared" si="8"/>
        <v>房型</v>
      </c>
      <c r="R40" s="666" t="s">
        <v>18</v>
      </c>
      <c r="S40" s="667">
        <f t="shared" si="9"/>
        <v>100</v>
      </c>
      <c r="T40" s="666" t="s">
        <v>18</v>
      </c>
      <c r="U40" s="667">
        <f t="shared" si="10"/>
        <v>100</v>
      </c>
      <c r="V40" s="666" t="s">
        <v>18</v>
      </c>
      <c r="W40" s="667">
        <f t="shared" si="11"/>
        <v>100</v>
      </c>
      <c r="X40" s="1263"/>
      <c r="Y40" s="3443"/>
      <c r="Z40" s="1262" t="str">
        <f t="shared" si="15"/>
        <v>房型</v>
      </c>
      <c r="AA40" s="1262">
        <f t="shared" si="12"/>
        <v>1</v>
      </c>
      <c r="AB40" s="1262">
        <f t="shared" si="13"/>
        <v>1</v>
      </c>
      <c r="AC40" s="1262">
        <f t="shared" si="14"/>
        <v>1</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41"/>
      <c r="Q41" s="530" t="str">
        <f t="shared" si="8"/>
        <v>单套/主力户型建筑面积</v>
      </c>
      <c r="R41" s="668" t="s">
        <v>18</v>
      </c>
      <c r="S41" s="669">
        <f t="shared" si="9"/>
        <v>100</v>
      </c>
      <c r="T41" s="668" t="s">
        <v>18</v>
      </c>
      <c r="U41" s="669">
        <f t="shared" si="10"/>
        <v>100</v>
      </c>
      <c r="V41" s="668" t="s">
        <v>18</v>
      </c>
      <c r="W41" s="669">
        <f t="shared" si="11"/>
        <v>100</v>
      </c>
      <c r="X41" s="670"/>
      <c r="Y41" s="3443"/>
      <c r="Z41" s="671" t="str">
        <f t="shared" si="15"/>
        <v>单套/主力户型建筑面积</v>
      </c>
      <c r="AA41" s="1262">
        <f t="shared" si="12"/>
        <v>1</v>
      </c>
      <c r="AB41" s="1262">
        <f t="shared" si="13"/>
        <v>1</v>
      </c>
      <c r="AC41" s="1262">
        <f t="shared" si="14"/>
        <v>1</v>
      </c>
    </row>
    <row r="42" spans="1:29" ht="15">
      <c r="A42" s="408"/>
      <c r="B42" s="363" t="s">
        <v>1704</v>
      </c>
      <c r="C42" s="1757" t="s">
        <v>3464</v>
      </c>
      <c r="D42" s="373">
        <v>100</v>
      </c>
      <c r="E42" s="1757" t="s">
        <v>3464</v>
      </c>
      <c r="F42" s="399">
        <f>SUMIF(122:122,E42,123:123)-SUMIF(122:122,C42,123:123)+100</f>
        <v>100</v>
      </c>
      <c r="G42" s="1757" t="s">
        <v>3475</v>
      </c>
      <c r="H42" s="373">
        <f>SUMIF(122:122,G42,123:123)-SUMIF(122:122,C42,123:123)+100</f>
        <v>99.5</v>
      </c>
      <c r="I42" s="1757" t="s">
        <v>3464</v>
      </c>
      <c r="J42" s="373">
        <f>SUMIF(122:122,I42,123:123)-SUMIF(122:122,C42,123:123)+100</f>
        <v>100</v>
      </c>
      <c r="K42" s="364">
        <v>0.5</v>
      </c>
      <c r="L42" s="2487"/>
      <c r="M42" s="2482"/>
      <c r="N42" s="2482"/>
      <c r="O42" s="2482"/>
      <c r="P42" s="3441"/>
      <c r="Q42" s="1261" t="str">
        <f t="shared" si="8"/>
        <v>内部装修</v>
      </c>
      <c r="R42" s="666" t="s">
        <v>18</v>
      </c>
      <c r="S42" s="667">
        <f t="shared" si="9"/>
        <v>100</v>
      </c>
      <c r="T42" s="666" t="s">
        <v>18</v>
      </c>
      <c r="U42" s="667">
        <f t="shared" si="10"/>
        <v>99.5</v>
      </c>
      <c r="V42" s="666" t="s">
        <v>18</v>
      </c>
      <c r="W42" s="667">
        <f t="shared" si="11"/>
        <v>100</v>
      </c>
      <c r="X42" s="1263"/>
      <c r="Y42" s="3443"/>
      <c r="Z42" s="1262" t="str">
        <f t="shared" si="15"/>
        <v>内部装修</v>
      </c>
      <c r="AA42" s="1262">
        <f t="shared" si="12"/>
        <v>1</v>
      </c>
      <c r="AB42" s="1262">
        <f t="shared" si="13"/>
        <v>1.0050251256281406</v>
      </c>
      <c r="AC42" s="1262">
        <f t="shared" si="14"/>
        <v>1</v>
      </c>
    </row>
    <row r="43" spans="1:29" ht="15" hidden="1">
      <c r="A43" s="408"/>
      <c r="B43" s="363" t="s">
        <v>1705</v>
      </c>
      <c r="C43" s="1757" t="s">
        <v>3406</v>
      </c>
      <c r="D43" s="373">
        <v>100</v>
      </c>
      <c r="E43" s="1757" t="s">
        <v>3406</v>
      </c>
      <c r="F43" s="399">
        <f>SUMIF(124:124,E43,125:125)-SUMIF(124:124,C43,125:125)+100</f>
        <v>100</v>
      </c>
      <c r="G43" s="1757" t="s">
        <v>3406</v>
      </c>
      <c r="H43" s="373">
        <f>SUMIF(124:124,G43,125:125)-SUMIF(124:124,C43,125:125)+100</f>
        <v>100</v>
      </c>
      <c r="I43" s="1757" t="s">
        <v>3406</v>
      </c>
      <c r="J43" s="373">
        <f>SUMIF(124:124,I43,125:125)-SUMIF(124:124,C43,125:125)+100</f>
        <v>100</v>
      </c>
      <c r="K43" s="364">
        <v>0.5</v>
      </c>
      <c r="L43" s="2487"/>
      <c r="M43" s="2482"/>
      <c r="N43" s="2482"/>
      <c r="O43" s="2482"/>
      <c r="P43" s="3441"/>
      <c r="Q43" s="1261" t="str">
        <f t="shared" si="8"/>
        <v>内部装修维护情况</v>
      </c>
      <c r="R43" s="666" t="s">
        <v>18</v>
      </c>
      <c r="S43" s="667">
        <f t="shared" si="9"/>
        <v>100</v>
      </c>
      <c r="T43" s="666" t="s">
        <v>18</v>
      </c>
      <c r="U43" s="667">
        <f t="shared" si="10"/>
        <v>100</v>
      </c>
      <c r="V43" s="666" t="s">
        <v>18</v>
      </c>
      <c r="W43" s="667">
        <f t="shared" si="11"/>
        <v>100</v>
      </c>
      <c r="X43" s="1263"/>
      <c r="Y43" s="3443"/>
      <c r="Z43" s="1262" t="str">
        <f t="shared" si="15"/>
        <v>内部装修维护情况</v>
      </c>
      <c r="AA43" s="1262">
        <f t="shared" si="12"/>
        <v>1</v>
      </c>
      <c r="AB43" s="1262">
        <f t="shared" si="13"/>
        <v>1</v>
      </c>
      <c r="AC43" s="1262">
        <f t="shared" si="14"/>
        <v>1</v>
      </c>
    </row>
    <row r="44" spans="1:29" s="101" customFormat="1" ht="15" hidden="1">
      <c r="A44" s="409"/>
      <c r="B44" s="3141" t="s">
        <v>3469</v>
      </c>
      <c r="C44" s="1757" t="s">
        <v>3407</v>
      </c>
      <c r="D44" s="118">
        <v>100</v>
      </c>
      <c r="E44" s="1757" t="s">
        <v>3406</v>
      </c>
      <c r="F44" s="363">
        <f>SUMIF(126:126,E44,127:127)-SUMIF(126:126,C44,127:127)+100</f>
        <v>100</v>
      </c>
      <c r="G44" s="1757" t="s">
        <v>3406</v>
      </c>
      <c r="H44" s="118">
        <f>SUMIF(126:126,G44,127:127)-SUMIF(126:126,C44,127:127)+100</f>
        <v>100</v>
      </c>
      <c r="I44" s="1757" t="s">
        <v>3406</v>
      </c>
      <c r="J44" s="118">
        <f>SUMIF(126:126,I44,127:127)-SUMIF(126:126,C44,127:127)+100</f>
        <v>100</v>
      </c>
      <c r="K44" s="1745"/>
      <c r="L44" s="2483"/>
      <c r="M44" s="2434"/>
      <c r="N44" s="2434"/>
      <c r="O44" s="2434"/>
      <c r="P44" s="3441"/>
      <c r="Q44" s="529" t="str">
        <f t="shared" si="8"/>
        <v>户型结构</v>
      </c>
      <c r="R44" s="663" t="s">
        <v>18</v>
      </c>
      <c r="S44" s="664">
        <f t="shared" si="9"/>
        <v>100</v>
      </c>
      <c r="T44" s="663" t="s">
        <v>18</v>
      </c>
      <c r="U44" s="664">
        <f t="shared" si="10"/>
        <v>100</v>
      </c>
      <c r="V44" s="663" t="s">
        <v>18</v>
      </c>
      <c r="W44" s="664">
        <f t="shared" si="11"/>
        <v>100</v>
      </c>
      <c r="X44" s="665"/>
      <c r="Y44" s="3443"/>
      <c r="Z44" s="50" t="str">
        <f t="shared" si="15"/>
        <v>户型结构</v>
      </c>
      <c r="AA44" s="50">
        <f t="shared" si="12"/>
        <v>1</v>
      </c>
      <c r="AB44" s="50">
        <f t="shared" si="13"/>
        <v>1</v>
      </c>
      <c r="AC44" s="50">
        <f t="shared" si="14"/>
        <v>1</v>
      </c>
    </row>
    <row r="45" spans="1:29" ht="15">
      <c r="A45" s="408"/>
      <c r="B45" s="3141" t="s">
        <v>3469</v>
      </c>
      <c r="C45" s="3143" t="s">
        <v>3490</v>
      </c>
      <c r="D45" s="373">
        <v>100</v>
      </c>
      <c r="E45" s="3143" t="s">
        <v>3473</v>
      </c>
      <c r="F45" s="399">
        <f>E127</f>
        <v>98</v>
      </c>
      <c r="G45" s="3143" t="s">
        <v>3474</v>
      </c>
      <c r="H45" s="373">
        <f>D127</f>
        <v>99</v>
      </c>
      <c r="I45" s="3143" t="s">
        <v>3473</v>
      </c>
      <c r="J45" s="373">
        <f>F45</f>
        <v>98</v>
      </c>
      <c r="K45" s="1745"/>
      <c r="L45" s="2487"/>
      <c r="M45" s="2482"/>
      <c r="N45" s="2482"/>
      <c r="O45" s="2482"/>
      <c r="P45" s="3441"/>
      <c r="Q45" s="1261" t="str">
        <f t="shared" si="8"/>
        <v>户型结构</v>
      </c>
      <c r="R45" s="666" t="s">
        <v>18</v>
      </c>
      <c r="S45" s="667">
        <f t="shared" si="9"/>
        <v>98</v>
      </c>
      <c r="T45" s="666" t="s">
        <v>18</v>
      </c>
      <c r="U45" s="667">
        <f t="shared" si="10"/>
        <v>99</v>
      </c>
      <c r="V45" s="666" t="s">
        <v>18</v>
      </c>
      <c r="W45" s="667">
        <f t="shared" si="11"/>
        <v>98</v>
      </c>
      <c r="X45" s="1263"/>
      <c r="Y45" s="3443"/>
      <c r="Z45" s="1262" t="str">
        <f t="shared" si="15"/>
        <v>户型结构</v>
      </c>
      <c r="AA45" s="1262">
        <f t="shared" si="12"/>
        <v>1.0204081632653061</v>
      </c>
      <c r="AB45" s="1262">
        <f t="shared" si="13"/>
        <v>1.0101010101010102</v>
      </c>
      <c r="AC45" s="1262">
        <f t="shared" si="14"/>
        <v>1.0204081632653061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42"/>
      <c r="Q46" s="1261">
        <f t="shared" si="8"/>
        <v>111</v>
      </c>
      <c r="R46" s="666" t="s">
        <v>17</v>
      </c>
      <c r="S46" s="667">
        <f t="shared" si="9"/>
        <v>100</v>
      </c>
      <c r="T46" s="666" t="s">
        <v>17</v>
      </c>
      <c r="U46" s="667">
        <f t="shared" si="10"/>
        <v>100</v>
      </c>
      <c r="V46" s="666" t="s">
        <v>17</v>
      </c>
      <c r="W46" s="667">
        <f t="shared" si="11"/>
        <v>100</v>
      </c>
      <c r="X46" s="1263"/>
      <c r="Y46" s="3444"/>
      <c r="Z46" s="1262">
        <f t="shared" si="15"/>
        <v>111</v>
      </c>
      <c r="AA46" s="1262">
        <f t="shared" si="12"/>
        <v>1</v>
      </c>
      <c r="AB46" s="1262">
        <f t="shared" si="13"/>
        <v>1</v>
      </c>
      <c r="AC46" s="1262">
        <f t="shared" si="14"/>
        <v>1</v>
      </c>
    </row>
    <row r="47" spans="1:29" ht="15">
      <c r="A47" s="415" t="s">
        <v>1706</v>
      </c>
      <c r="B47" s="416"/>
      <c r="C47" s="1080" t="s">
        <v>16</v>
      </c>
      <c r="D47" s="417"/>
      <c r="E47" s="418">
        <f>案例!J2</f>
        <v>32091</v>
      </c>
      <c r="F47" s="419"/>
      <c r="G47" s="420">
        <f>案例!$J$3</f>
        <v>31212</v>
      </c>
      <c r="H47" s="421"/>
      <c r="I47" s="418">
        <f>案例!$J$4</f>
        <v>32843</v>
      </c>
      <c r="J47" s="421"/>
      <c r="K47" s="1762"/>
      <c r="L47" s="2489"/>
      <c r="M47" s="2482"/>
      <c r="N47" s="2482"/>
      <c r="O47" s="2482"/>
      <c r="P47" s="3437" t="str">
        <f>A47</f>
        <v>成交单价（元/平方米）</v>
      </c>
      <c r="Q47" s="3437"/>
      <c r="R47" s="3432">
        <f>E47</f>
        <v>32091</v>
      </c>
      <c r="S47" s="3432"/>
      <c r="T47" s="3432">
        <f>G47</f>
        <v>31212</v>
      </c>
      <c r="U47" s="3432"/>
      <c r="V47" s="3432">
        <f>I47</f>
        <v>32843</v>
      </c>
      <c r="W47" s="3432"/>
      <c r="X47" s="384"/>
      <c r="Y47" s="672"/>
      <c r="Z47" s="384"/>
      <c r="AA47" s="384"/>
      <c r="AB47" s="384"/>
      <c r="AC47" s="384"/>
    </row>
    <row r="48" spans="1:29" ht="15.75" thickBot="1">
      <c r="A48" s="422" t="s">
        <v>1707</v>
      </c>
      <c r="B48" s="423"/>
      <c r="C48" s="1081">
        <f>R49</f>
        <v>32918</v>
      </c>
      <c r="D48" s="2136" t="s">
        <v>2135</v>
      </c>
      <c r="E48" s="1082">
        <f>R48</f>
        <v>32788</v>
      </c>
      <c r="F48" s="2137"/>
      <c r="G48" s="1081">
        <f>T48</f>
        <v>32402</v>
      </c>
      <c r="H48" s="2137"/>
      <c r="I48" s="1082">
        <f>V48</f>
        <v>33563</v>
      </c>
      <c r="J48" s="2137"/>
      <c r="K48" s="2138">
        <f>F48+H48+J48</f>
        <v>0</v>
      </c>
      <c r="L48" s="2489"/>
      <c r="M48" s="2482"/>
      <c r="N48" s="2482"/>
      <c r="O48" s="2482"/>
      <c r="P48" s="3437" t="str">
        <f>A48</f>
        <v>比较价值（元/平方米）</v>
      </c>
      <c r="Q48" s="3437"/>
      <c r="R48" s="3432">
        <f>IF(F1="售价",ROUND(PRODUCT(R47,AA7:AA46),0),ROUND(PRODUCT(R47,AA7:AA46),1))</f>
        <v>32788</v>
      </c>
      <c r="S48" s="3432"/>
      <c r="T48" s="3432">
        <f>IF(F1="售价",ROUND(PRODUCT(T47,AB7:AB46),0),ROUND(PRODUCT(T47,AB7:AB46),1))</f>
        <v>32402</v>
      </c>
      <c r="U48" s="3432"/>
      <c r="V48" s="3432">
        <f>IF(F1="售价",ROUND(PRODUCT(V47,AC7:AC46),0),ROUND(PRODUCT(V47,AC7:AC46),1))</f>
        <v>33563</v>
      </c>
      <c r="W48" s="3432"/>
      <c r="X48" s="384"/>
      <c r="Y48" s="384"/>
      <c r="Z48" s="384"/>
      <c r="AA48" s="384"/>
      <c r="AB48" s="384"/>
      <c r="AC48" s="384"/>
    </row>
    <row r="49" spans="1:29" ht="15.75" thickBot="1">
      <c r="A49" s="426" t="s">
        <v>1708</v>
      </c>
      <c r="B49" s="427"/>
      <c r="C49" s="1083">
        <f>R49</f>
        <v>32918</v>
      </c>
      <c r="D49" s="350"/>
      <c r="E49" s="350"/>
      <c r="F49" s="350"/>
      <c r="G49" s="350"/>
      <c r="H49" s="350"/>
      <c r="I49" s="350"/>
      <c r="J49" s="350"/>
      <c r="K49" s="1763"/>
      <c r="L49" s="2489"/>
      <c r="M49" s="2482"/>
      <c r="N49" s="2482"/>
      <c r="O49" s="2482"/>
      <c r="P49" s="3434" t="str">
        <f>A49</f>
        <v>估价对象XX用房的比较价值（楼面单价，元/平方米）</v>
      </c>
      <c r="Q49" s="3435"/>
      <c r="R49" s="3436">
        <f>IF(F1="售价",ROUND(IF(D48="简单平均",AVERAGE(R48:V48),R48*F48+T48*H48+V48*J48),0),ROUND(IF(D48="简单平均",AVERAGE(R48:V48),R48*F48+T48*H48+V48*J48),1))</f>
        <v>32918</v>
      </c>
      <c r="S49" s="3436"/>
      <c r="T49" s="3436"/>
      <c r="U49" s="3436"/>
      <c r="V49" s="3436"/>
      <c r="W49" s="3436"/>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1" t="s">
        <v>1709</v>
      </c>
      <c r="D52" s="432"/>
      <c r="E52" s="433">
        <f>IF(E47&lt;E48,E48/E47-1,E47/E48-1)</f>
        <v>2.1719485213922862E-2</v>
      </c>
      <c r="F52" s="434" t="str">
        <f>IF(OR(E52&gt;=0.3,E52&lt;=-0.3),"超过30%","")</f>
        <v/>
      </c>
      <c r="G52" s="433">
        <f>IF(G47&lt;G48,G48/G47-1,G47/G48-1)</f>
        <v>3.8126361655773433E-2</v>
      </c>
      <c r="H52" s="434" t="str">
        <f>IF(OR(G52&gt;=0.3,G52&lt;=-0.3),"超过30%","")</f>
        <v/>
      </c>
      <c r="I52" s="433">
        <f>IF(I47&lt;I48,I48/I47-1,I47/I48-1)</f>
        <v>2.1922479676034445E-2</v>
      </c>
      <c r="J52" s="434" t="str">
        <f>IF(OR(I52&gt;=0.3,I52&lt;=-0.3),"超过30%","")</f>
        <v/>
      </c>
      <c r="K52" s="2494"/>
      <c r="L52" s="2490"/>
      <c r="M52" s="2482"/>
      <c r="N52" s="2482"/>
      <c r="O52" s="2482"/>
    </row>
    <row r="53" spans="1:29" ht="13.5" customHeight="1">
      <c r="A53" s="2482"/>
      <c r="B53" s="2482"/>
      <c r="C53" s="431" t="s">
        <v>1710</v>
      </c>
      <c r="D53" s="435"/>
      <c r="E53" s="433">
        <f>IF(E48&lt;G48,G48/E48-1,E48/G48-1)</f>
        <v>1.1912844886118101E-2</v>
      </c>
      <c r="F53" s="434" t="str">
        <f>IF(OR(E53&gt;=0.2,E53&lt;=-0.2),"超过20%","")</f>
        <v/>
      </c>
      <c r="G53" s="433">
        <f>IF(G48&lt;I48,I48/G48-1,G48/I48-1)</f>
        <v>3.5831121535707666E-2</v>
      </c>
      <c r="H53" s="434" t="str">
        <f>IF(OR(G53&gt;=0.2,G53&lt;=-0.2),"超过20%","")</f>
        <v/>
      </c>
      <c r="I53" s="433">
        <f>IF(I48&lt;E48,E48/I48-1,I48/E48-1)</f>
        <v>2.3636696352324016E-2</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2.8162245290273002E-2</v>
      </c>
      <c r="F54" s="434" t="str">
        <f>IF(OR(E54&gt;=0.3,E54&lt;=-0.3),"超过30%","")</f>
        <v/>
      </c>
      <c r="G54" s="433">
        <f>IF(G47&lt;I47,I47/G47-1,G47/I47-1)</f>
        <v>5.2255542739971794E-2</v>
      </c>
      <c r="H54" s="434" t="str">
        <f>IF(OR(G54&gt;=0.3,G54&lt;=-0.3),"超过30%","")</f>
        <v/>
      </c>
      <c r="I54" s="433">
        <f>IF(I47&lt;E47,E47/I47-1,I47/E47-1)</f>
        <v>2.3433361378579765E-2</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1713</v>
      </c>
      <c r="B58" s="440"/>
      <c r="C58" s="1103" t="str">
        <f>YEAR(C7)&amp;"-"&amp;MONTH(C7)</f>
        <v>2024-10</v>
      </c>
      <c r="D58" s="1102">
        <f>EDATE(C58,-1)</f>
        <v>45536</v>
      </c>
      <c r="E58" s="1102">
        <f>EDATE(D58,-1)</f>
        <v>45505</v>
      </c>
      <c r="F58" s="1102">
        <f t="shared" ref="F58:O58" si="16">EDATE(E58,-1)</f>
        <v>45474</v>
      </c>
      <c r="G58" s="1102">
        <f t="shared" si="16"/>
        <v>45444</v>
      </c>
      <c r="H58" s="1102">
        <f t="shared" si="16"/>
        <v>45413</v>
      </c>
      <c r="I58" s="1102">
        <f t="shared" si="16"/>
        <v>45383</v>
      </c>
      <c r="J58" s="1102">
        <f t="shared" si="16"/>
        <v>45352</v>
      </c>
      <c r="K58" s="1102">
        <f t="shared" si="16"/>
        <v>45323</v>
      </c>
      <c r="L58" s="1102">
        <f t="shared" si="16"/>
        <v>45292</v>
      </c>
      <c r="M58" s="1102">
        <f t="shared" si="16"/>
        <v>45261</v>
      </c>
      <c r="N58" s="1102">
        <f t="shared" si="16"/>
        <v>45231</v>
      </c>
      <c r="O58" s="1102">
        <f t="shared" si="16"/>
        <v>45200</v>
      </c>
      <c r="P58" s="3144">
        <f t="shared" ref="P58:AB58" si="17">EDATE(O58,-1)</f>
        <v>45170</v>
      </c>
      <c r="Q58" s="3144">
        <f t="shared" si="17"/>
        <v>45139</v>
      </c>
      <c r="R58" s="3144">
        <f t="shared" si="17"/>
        <v>45108</v>
      </c>
      <c r="S58" s="3144">
        <f t="shared" si="17"/>
        <v>45078</v>
      </c>
      <c r="T58" s="3144">
        <f t="shared" si="17"/>
        <v>45047</v>
      </c>
      <c r="U58" s="3144">
        <f t="shared" si="17"/>
        <v>45017</v>
      </c>
      <c r="V58" s="3144">
        <f t="shared" si="17"/>
        <v>44986</v>
      </c>
      <c r="W58" s="3144">
        <f t="shared" si="17"/>
        <v>44958</v>
      </c>
      <c r="X58" s="3144">
        <f t="shared" si="17"/>
        <v>44927</v>
      </c>
      <c r="Y58" s="3144">
        <f t="shared" si="17"/>
        <v>44896</v>
      </c>
      <c r="Z58" s="3144">
        <f t="shared" si="17"/>
        <v>44866</v>
      </c>
      <c r="AA58" s="3144">
        <f t="shared" si="17"/>
        <v>44835</v>
      </c>
      <c r="AB58" s="3144">
        <f t="shared" si="17"/>
        <v>44805</v>
      </c>
    </row>
    <row r="59" spans="1:29" s="101" customFormat="1" ht="15">
      <c r="A59" s="442"/>
      <c r="B59" s="1767"/>
      <c r="C59" s="1100">
        <v>100</v>
      </c>
      <c r="D59" s="445">
        <f>C59+$C$60</f>
        <v>101</v>
      </c>
      <c r="E59" s="445">
        <f>D59</f>
        <v>101</v>
      </c>
      <c r="F59" s="445">
        <f>E59</f>
        <v>101</v>
      </c>
      <c r="G59" s="445">
        <f>F59+$C$60</f>
        <v>102</v>
      </c>
      <c r="H59" s="445">
        <f>G59</f>
        <v>102</v>
      </c>
      <c r="I59" s="445">
        <f>G59</f>
        <v>102</v>
      </c>
      <c r="J59" s="445">
        <f>I59+$C$60</f>
        <v>103</v>
      </c>
      <c r="K59" s="446">
        <f>J59</f>
        <v>103</v>
      </c>
      <c r="L59" s="446">
        <f>K59</f>
        <v>103</v>
      </c>
      <c r="M59" s="446">
        <f>L59</f>
        <v>103</v>
      </c>
      <c r="N59" s="445"/>
      <c r="O59" s="446"/>
      <c r="P59" s="446">
        <f>O59-C60</f>
        <v>-1</v>
      </c>
      <c r="Q59" s="446">
        <f>P59</f>
        <v>-1</v>
      </c>
      <c r="R59" s="101">
        <f>P59</f>
        <v>-1</v>
      </c>
      <c r="S59" s="101">
        <f>R59-C60</f>
        <v>-2</v>
      </c>
      <c r="T59" s="101">
        <f>S59</f>
        <v>-2</v>
      </c>
      <c r="U59" s="101">
        <f>T59</f>
        <v>-2</v>
      </c>
      <c r="V59" s="101">
        <f>U59-C60</f>
        <v>-3</v>
      </c>
      <c r="W59" s="101">
        <f>V59</f>
        <v>-3</v>
      </c>
      <c r="X59" s="101">
        <f>V59</f>
        <v>-3</v>
      </c>
      <c r="Y59" s="101">
        <f>X59-C60</f>
        <v>-4</v>
      </c>
      <c r="Z59" s="101">
        <f>Y59</f>
        <v>-4</v>
      </c>
      <c r="AA59" s="101">
        <f>Y59</f>
        <v>-4</v>
      </c>
      <c r="AB59" s="101">
        <f>AA59-C60</f>
        <v>-5</v>
      </c>
    </row>
    <row r="60" spans="1:29" s="101" customFormat="1" ht="15.75" thickBot="1">
      <c r="A60" s="448" t="s">
        <v>1714</v>
      </c>
      <c r="B60" s="449"/>
      <c r="C60" s="450">
        <v>1</v>
      </c>
      <c r="D60" s="451"/>
      <c r="E60" s="451"/>
      <c r="F60" s="451"/>
      <c r="G60" s="451"/>
      <c r="H60" s="451"/>
      <c r="I60" s="451"/>
      <c r="J60" s="451"/>
      <c r="K60" s="451"/>
      <c r="L60" s="451"/>
      <c r="M60" s="452"/>
      <c r="N60" s="451"/>
      <c r="O60" s="452"/>
      <c r="P60" s="1768"/>
      <c r="Q60" s="438"/>
    </row>
    <row r="61" spans="1:29" s="101" customFormat="1" ht="15">
      <c r="A61" s="454" t="s">
        <v>1715</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6" t="s">
        <v>3455</v>
      </c>
      <c r="D65" s="3146" t="s">
        <v>3456</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18">D68&amp;"（含）"&amp;"-"&amp;E68</f>
        <v>1（含）-2</v>
      </c>
      <c r="E67" s="477" t="str">
        <f t="shared" si="18"/>
        <v>2（含）-3</v>
      </c>
      <c r="F67" s="477" t="str">
        <f t="shared" si="18"/>
        <v>3（含）-</v>
      </c>
      <c r="G67" s="477" t="str">
        <f t="shared" si="18"/>
        <v>（含）-</v>
      </c>
      <c r="H67" s="477" t="str">
        <f t="shared" si="18"/>
        <v>（含）-</v>
      </c>
      <c r="I67" s="477" t="str">
        <f t="shared" si="18"/>
        <v>（含）-</v>
      </c>
      <c r="J67" s="477" t="str">
        <f t="shared" si="18"/>
        <v>（含）-</v>
      </c>
      <c r="K67" s="477" t="str">
        <f>K68&amp;"（含）"&amp;"-"&amp;L68</f>
        <v>（含）-</v>
      </c>
      <c r="L67" s="477" t="str">
        <f t="shared" si="18"/>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40"/>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0">$C$87-($C$86-D86)*$K$25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879"/>
      <c r="O87" s="879"/>
      <c r="P87" s="1770"/>
      <c r="Q87" s="438"/>
    </row>
    <row r="88" spans="1:17" s="101" customFormat="1" ht="15.75" thickTop="1">
      <c r="A88" s="369"/>
      <c r="B88" s="468" t="s">
        <v>1733</v>
      </c>
      <c r="C88" s="3159" t="s">
        <v>3425</v>
      </c>
      <c r="D88" s="3146" t="s">
        <v>3426</v>
      </c>
      <c r="E88" s="3146" t="s">
        <v>3427</v>
      </c>
      <c r="F88" s="3146" t="s">
        <v>3428</v>
      </c>
      <c r="G88" s="3146" t="s">
        <v>3429</v>
      </c>
      <c r="H88" s="3146" t="s">
        <v>3430</v>
      </c>
      <c r="I88" s="3160" t="s">
        <v>3431</v>
      </c>
      <c r="J88" s="3160" t="s">
        <v>3432</v>
      </c>
      <c r="K88" s="3146" t="s">
        <v>3433</v>
      </c>
      <c r="L88" s="3146" t="s">
        <v>3434</v>
      </c>
      <c r="M88" s="3146"/>
      <c r="N88" s="877"/>
      <c r="O88" s="877"/>
      <c r="P88" s="1770"/>
      <c r="Q88" s="438"/>
    </row>
    <row r="89" spans="1:17" s="101" customFormat="1" ht="15.75" thickBot="1">
      <c r="A89" s="369"/>
      <c r="B89" s="473"/>
      <c r="C89" s="511">
        <v>100</v>
      </c>
      <c r="D89" s="474">
        <f t="shared" ref="D89:M89" si="21">C89-$K26</f>
        <v>99</v>
      </c>
      <c r="E89" s="474">
        <f t="shared" si="21"/>
        <v>98</v>
      </c>
      <c r="F89" s="474">
        <f t="shared" si="21"/>
        <v>97</v>
      </c>
      <c r="G89" s="474">
        <f t="shared" si="21"/>
        <v>96</v>
      </c>
      <c r="H89" s="474">
        <f t="shared" si="21"/>
        <v>95</v>
      </c>
      <c r="I89" s="474">
        <f t="shared" si="21"/>
        <v>94</v>
      </c>
      <c r="J89" s="474">
        <f t="shared" si="21"/>
        <v>93</v>
      </c>
      <c r="K89" s="474">
        <f t="shared" si="21"/>
        <v>92</v>
      </c>
      <c r="L89" s="474">
        <f t="shared" si="21"/>
        <v>91</v>
      </c>
      <c r="M89" s="474">
        <f t="shared" si="21"/>
        <v>90</v>
      </c>
      <c r="N89" s="879"/>
      <c r="O89" s="879"/>
      <c r="P89" s="1770"/>
      <c r="Q89" s="438"/>
    </row>
    <row r="90" spans="1:17" s="407" customFormat="1" ht="15.75" thickTop="1">
      <c r="A90" s="483"/>
      <c r="B90" s="468" t="str">
        <f>B27</f>
        <v>楼层</v>
      </c>
      <c r="C90" s="3172" t="s">
        <v>3460</v>
      </c>
      <c r="D90" s="3172" t="s">
        <v>3461</v>
      </c>
      <c r="E90" s="3172" t="s">
        <v>3462</v>
      </c>
      <c r="F90" s="3172" t="s">
        <v>3467</v>
      </c>
      <c r="G90" s="3172"/>
      <c r="H90" s="3172"/>
      <c r="I90" s="485"/>
      <c r="J90" s="485"/>
      <c r="K90" s="485"/>
      <c r="L90" s="486"/>
      <c r="M90" s="487"/>
      <c r="N90" s="880"/>
      <c r="O90" s="880"/>
      <c r="P90" s="1771"/>
      <c r="Q90" s="489"/>
    </row>
    <row r="91" spans="1:17" s="407" customFormat="1" ht="15.75" thickBot="1">
      <c r="A91" s="483"/>
      <c r="B91" s="473"/>
      <c r="C91" s="407">
        <v>100</v>
      </c>
      <c r="D91" s="407">
        <f>C91-$J$91</f>
        <v>99</v>
      </c>
      <c r="E91" s="407">
        <f>D91-$J$91</f>
        <v>98</v>
      </c>
      <c r="F91" s="407">
        <f>E91-$J$91</f>
        <v>97</v>
      </c>
      <c r="G91" s="490"/>
      <c r="I91" s="492"/>
      <c r="J91" s="492">
        <v>1</v>
      </c>
      <c r="K91" s="492"/>
      <c r="L91" s="492"/>
      <c r="M91" s="493"/>
      <c r="N91" s="880"/>
      <c r="O91" s="880"/>
      <c r="P91" s="1771"/>
      <c r="Q91" s="489"/>
    </row>
    <row r="92" spans="1:17" ht="15.75" thickTop="1">
      <c r="A92" s="366"/>
      <c r="B92" s="468" t="str">
        <f>B28</f>
        <v>道路级别</v>
      </c>
      <c r="C92" s="3140" t="s">
        <v>3438</v>
      </c>
      <c r="D92" s="3140" t="s">
        <v>3437</v>
      </c>
      <c r="E92" s="3140" t="s">
        <v>3440</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5" t="s">
        <v>3445</v>
      </c>
      <c r="D100" s="3145" t="s">
        <v>3446</v>
      </c>
      <c r="E100" s="3145" t="s">
        <v>3435</v>
      </c>
      <c r="F100" s="461"/>
      <c r="G100" s="461"/>
      <c r="H100" s="461"/>
      <c r="I100" s="461"/>
      <c r="J100" s="461"/>
      <c r="K100" s="462"/>
      <c r="L100" s="463"/>
      <c r="M100" s="464"/>
      <c r="N100" s="878"/>
      <c r="O100" s="878"/>
      <c r="P100" s="1770"/>
      <c r="Q100" s="438"/>
    </row>
    <row r="101" spans="1:17" ht="15.75"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4">
        <f t="shared" si="22"/>
        <v>80</v>
      </c>
      <c r="N101" s="879"/>
      <c r="O101" s="879"/>
      <c r="P101" s="1770"/>
      <c r="Q101" s="438"/>
    </row>
    <row r="102" spans="1:17" ht="15.75" thickTop="1">
      <c r="A102" s="366"/>
      <c r="B102" s="468" t="s">
        <v>1735</v>
      </c>
      <c r="C102" s="508" t="str">
        <f>C103&amp;"(含)"&amp;"-"&amp;D103</f>
        <v>0(含)-60</v>
      </c>
      <c r="D102" s="508" t="str">
        <f t="shared" ref="D102:L102" si="23">D103&amp;"(含)"&amp;"-"&amp;E103</f>
        <v>60(含)-80</v>
      </c>
      <c r="E102" s="508" t="str">
        <f t="shared" si="23"/>
        <v>80(含)-100</v>
      </c>
      <c r="F102" s="508" t="str">
        <f t="shared" si="23"/>
        <v>100(含)-120</v>
      </c>
      <c r="G102" s="508" t="str">
        <f t="shared" si="23"/>
        <v>120(含)-140</v>
      </c>
      <c r="H102" s="508" t="str">
        <f t="shared" si="23"/>
        <v>140(含)-160</v>
      </c>
      <c r="I102" s="508" t="str">
        <f t="shared" si="23"/>
        <v>160(含)-</v>
      </c>
      <c r="J102" s="508" t="str">
        <f t="shared" si="23"/>
        <v>(含)-</v>
      </c>
      <c r="K102" s="508" t="str">
        <f>K103&amp;"(含)"&amp;"-"&amp;L103</f>
        <v>(含)-1</v>
      </c>
      <c r="L102" s="508" t="str">
        <f t="shared" si="23"/>
        <v>1(含)-</v>
      </c>
      <c r="M102" s="508" t="str">
        <f>M103&amp;"(含)"&amp;"-"&amp;P103</f>
        <v>(含)-</v>
      </c>
      <c r="N102" s="877"/>
      <c r="O102" s="877"/>
      <c r="P102" s="1770"/>
      <c r="Q102" s="438"/>
    </row>
    <row r="103" spans="1:17" s="407" customFormat="1">
      <c r="A103" s="405"/>
      <c r="B103" s="522"/>
      <c r="C103" s="6">
        <v>0</v>
      </c>
      <c r="D103" s="6">
        <v>60</v>
      </c>
      <c r="E103" s="6">
        <v>80</v>
      </c>
      <c r="F103" s="6">
        <v>100</v>
      </c>
      <c r="G103" s="6">
        <v>120</v>
      </c>
      <c r="H103" s="6">
        <v>140</v>
      </c>
      <c r="I103" s="6">
        <v>160</v>
      </c>
      <c r="J103" s="523"/>
      <c r="K103" s="523"/>
      <c r="L103" s="523">
        <v>1</v>
      </c>
      <c r="M103" s="525"/>
      <c r="N103" s="880"/>
      <c r="O103" s="880"/>
      <c r="P103" s="1771"/>
      <c r="Q103" s="489"/>
    </row>
    <row r="104" spans="1:17" s="407" customFormat="1" ht="15.75" thickBot="1">
      <c r="A104" s="483"/>
      <c r="B104" s="473"/>
      <c r="C104" s="466">
        <f t="shared" ref="C104:E104" si="24">D104+$L$103</f>
        <v>105</v>
      </c>
      <c r="D104" s="466">
        <f t="shared" si="24"/>
        <v>104</v>
      </c>
      <c r="E104" s="466">
        <f t="shared" si="24"/>
        <v>103</v>
      </c>
      <c r="F104" s="466">
        <f>G104+$L$103</f>
        <v>102</v>
      </c>
      <c r="G104" s="466">
        <f>H104+$L$103</f>
        <v>101</v>
      </c>
      <c r="H104" s="466">
        <v>100</v>
      </c>
      <c r="I104" s="466">
        <f>H104-$L$103</f>
        <v>99</v>
      </c>
      <c r="J104" s="466"/>
      <c r="K104" s="466"/>
      <c r="L104" s="466"/>
      <c r="M104" s="466"/>
      <c r="N104" s="879"/>
      <c r="O104" s="879"/>
      <c r="P104" s="1771"/>
      <c r="Q104" s="489"/>
    </row>
    <row r="105" spans="1:17" ht="15" thickTop="1">
      <c r="A105" s="408"/>
      <c r="B105" s="468" t="s">
        <v>1736</v>
      </c>
      <c r="C105" s="3140" t="s">
        <v>3412</v>
      </c>
      <c r="D105" s="3140" t="s">
        <v>3442</v>
      </c>
      <c r="E105" s="3146" t="s">
        <v>3457</v>
      </c>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25">C106-$K34</f>
        <v>99.5</v>
      </c>
      <c r="E106" s="474">
        <f t="shared" si="25"/>
        <v>99</v>
      </c>
      <c r="F106" s="474">
        <f t="shared" si="25"/>
        <v>98.5</v>
      </c>
      <c r="G106" s="474">
        <f t="shared" si="25"/>
        <v>98</v>
      </c>
      <c r="H106" s="474">
        <f t="shared" si="25"/>
        <v>97.5</v>
      </c>
      <c r="I106" s="474">
        <f t="shared" si="25"/>
        <v>97</v>
      </c>
      <c r="J106" s="474">
        <f t="shared" si="25"/>
        <v>96.5</v>
      </c>
      <c r="K106" s="474">
        <f t="shared" si="25"/>
        <v>96</v>
      </c>
      <c r="L106" s="474">
        <f t="shared" si="25"/>
        <v>95.5</v>
      </c>
      <c r="M106" s="474">
        <f t="shared" si="25"/>
        <v>95</v>
      </c>
      <c r="N106" s="879"/>
      <c r="O106" s="879"/>
      <c r="P106" s="1770"/>
      <c r="Q106" s="438"/>
    </row>
    <row r="107" spans="1:17" ht="15" thickTop="1">
      <c r="A107" s="408"/>
      <c r="B107" s="3167" t="s">
        <v>3447</v>
      </c>
      <c r="C107" s="3161" t="s">
        <v>1719</v>
      </c>
      <c r="D107" s="3161" t="s">
        <v>1720</v>
      </c>
      <c r="E107" s="3161" t="s">
        <v>1721</v>
      </c>
      <c r="F107" s="3161" t="s">
        <v>1722</v>
      </c>
      <c r="G107" s="3161" t="s">
        <v>1723</v>
      </c>
      <c r="H107" s="512"/>
      <c r="I107" s="512"/>
      <c r="J107" s="512"/>
      <c r="K107" s="513"/>
      <c r="L107" s="514"/>
      <c r="M107" s="515"/>
      <c r="N107" s="878"/>
      <c r="O107" s="878"/>
      <c r="P107" s="1770"/>
      <c r="Q107" s="438"/>
    </row>
    <row r="108" spans="1:17" ht="15.75" thickBot="1">
      <c r="A108" s="366"/>
      <c r="B108" s="473"/>
      <c r="C108" s="474">
        <v>100</v>
      </c>
      <c r="D108" s="474">
        <f t="shared" ref="D108:M108" si="26">C108-$K35</f>
        <v>97</v>
      </c>
      <c r="E108" s="474">
        <f t="shared" si="26"/>
        <v>94</v>
      </c>
      <c r="F108" s="474">
        <f t="shared" si="26"/>
        <v>91</v>
      </c>
      <c r="G108" s="474">
        <f t="shared" si="26"/>
        <v>88</v>
      </c>
      <c r="H108" s="474">
        <f t="shared" si="26"/>
        <v>85</v>
      </c>
      <c r="I108" s="474">
        <f t="shared" si="26"/>
        <v>82</v>
      </c>
      <c r="J108" s="474">
        <f t="shared" si="26"/>
        <v>79</v>
      </c>
      <c r="K108" s="474">
        <f t="shared" si="26"/>
        <v>76</v>
      </c>
      <c r="L108" s="474">
        <f t="shared" si="26"/>
        <v>73</v>
      </c>
      <c r="M108" s="474">
        <f t="shared" si="26"/>
        <v>70</v>
      </c>
      <c r="N108" s="879"/>
      <c r="O108" s="879"/>
      <c r="P108" s="1770"/>
      <c r="Q108" s="438"/>
    </row>
    <row r="109" spans="1:17" ht="15" thickTop="1">
      <c r="A109" s="408"/>
      <c r="B109" s="468" t="s">
        <v>1737</v>
      </c>
      <c r="C109" s="3140" t="s">
        <v>3419</v>
      </c>
      <c r="D109" s="3140" t="s">
        <v>3413</v>
      </c>
      <c r="E109" s="3140" t="s">
        <v>3452</v>
      </c>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27">C110-$K36</f>
        <v>100</v>
      </c>
      <c r="E110" s="474">
        <f t="shared" si="27"/>
        <v>100</v>
      </c>
      <c r="F110" s="474">
        <f t="shared" si="27"/>
        <v>100</v>
      </c>
      <c r="G110" s="474">
        <f t="shared" si="27"/>
        <v>100</v>
      </c>
      <c r="H110" s="474">
        <f t="shared" si="27"/>
        <v>100</v>
      </c>
      <c r="I110" s="474">
        <f t="shared" si="27"/>
        <v>100</v>
      </c>
      <c r="J110" s="474">
        <f t="shared" si="27"/>
        <v>100</v>
      </c>
      <c r="K110" s="474">
        <f t="shared" si="27"/>
        <v>100</v>
      </c>
      <c r="L110" s="474">
        <f t="shared" si="27"/>
        <v>100</v>
      </c>
      <c r="M110" s="474">
        <f t="shared" si="27"/>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1"/>
      <c r="Q112" s="489"/>
    </row>
    <row r="113" spans="1:17" s="407" customFormat="1" ht="15.75" thickBot="1">
      <c r="A113" s="483"/>
      <c r="B113" s="473"/>
      <c r="C113" s="511">
        <v>100</v>
      </c>
      <c r="D113" s="474">
        <f>C113+$K37</f>
        <v>100.5</v>
      </c>
      <c r="E113" s="474">
        <f>D113+$K37</f>
        <v>101</v>
      </c>
      <c r="F113" s="474">
        <f>E113+$K37</f>
        <v>101.5</v>
      </c>
      <c r="G113" s="474">
        <f>F113+$K37</f>
        <v>102</v>
      </c>
      <c r="H113" s="474">
        <f>G113+$K37</f>
        <v>102.5</v>
      </c>
      <c r="I113" s="511"/>
      <c r="J113" s="533"/>
      <c r="K113" s="533"/>
      <c r="L113" s="533"/>
      <c r="M113" s="534"/>
      <c r="N113" s="880"/>
      <c r="O113" s="880"/>
      <c r="P113" s="1771"/>
      <c r="Q113" s="489"/>
    </row>
    <row r="114" spans="1:17" ht="15" thickTop="1">
      <c r="A114" s="408"/>
      <c r="B114" s="468" t="s">
        <v>1738</v>
      </c>
      <c r="C114" s="3140" t="s">
        <v>3414</v>
      </c>
      <c r="D114" s="3140" t="s">
        <v>3441</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28">C115-$K38</f>
        <v>99</v>
      </c>
      <c r="E115" s="474">
        <f t="shared" si="28"/>
        <v>98</v>
      </c>
      <c r="F115" s="474">
        <f t="shared" si="28"/>
        <v>97</v>
      </c>
      <c r="G115" s="474">
        <f t="shared" si="28"/>
        <v>96</v>
      </c>
      <c r="H115" s="474">
        <f t="shared" si="28"/>
        <v>95</v>
      </c>
      <c r="I115" s="474">
        <f t="shared" si="28"/>
        <v>94</v>
      </c>
      <c r="J115" s="474">
        <f t="shared" si="28"/>
        <v>93</v>
      </c>
      <c r="K115" s="474">
        <f t="shared" si="28"/>
        <v>92</v>
      </c>
      <c r="L115" s="474">
        <f t="shared" si="28"/>
        <v>91</v>
      </c>
      <c r="M115" s="474">
        <f t="shared" si="28"/>
        <v>90</v>
      </c>
      <c r="N115" s="879"/>
      <c r="O115" s="879"/>
      <c r="P115" s="1770"/>
      <c r="Q115" s="438"/>
    </row>
    <row r="116" spans="1:17" ht="15" thickTop="1">
      <c r="A116" s="408"/>
      <c r="B116" s="468" t="s">
        <v>1739</v>
      </c>
      <c r="C116" s="3140" t="s">
        <v>3415</v>
      </c>
      <c r="D116" s="3140" t="s">
        <v>3416</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6" t="s">
        <v>3418</v>
      </c>
      <c r="D118" s="512"/>
      <c r="E118" s="512"/>
      <c r="F118" s="512"/>
      <c r="G118" s="512"/>
      <c r="H118" s="512"/>
      <c r="I118" s="512"/>
      <c r="J118" s="512"/>
      <c r="K118" s="513"/>
      <c r="L118" s="514"/>
      <c r="M118" s="515"/>
      <c r="N118" s="878"/>
      <c r="O118" s="878"/>
      <c r="P118" s="1770"/>
      <c r="Q118" s="438"/>
    </row>
    <row r="119" spans="1:17" ht="15.75" thickBot="1">
      <c r="A119" s="366"/>
      <c r="B119" s="473"/>
      <c r="C119" s="474">
        <v>100</v>
      </c>
      <c r="D119" s="474">
        <f t="shared" ref="D119:M119" si="29">C119-$K40</f>
        <v>100</v>
      </c>
      <c r="E119" s="474">
        <f t="shared" si="29"/>
        <v>100</v>
      </c>
      <c r="F119" s="474">
        <f t="shared" si="29"/>
        <v>100</v>
      </c>
      <c r="G119" s="474">
        <f t="shared" si="29"/>
        <v>100</v>
      </c>
      <c r="H119" s="474">
        <f t="shared" si="29"/>
        <v>100</v>
      </c>
      <c r="I119" s="474">
        <f t="shared" si="29"/>
        <v>100</v>
      </c>
      <c r="J119" s="474">
        <f t="shared" si="29"/>
        <v>100</v>
      </c>
      <c r="K119" s="474">
        <f t="shared" si="29"/>
        <v>100</v>
      </c>
      <c r="L119" s="474">
        <f t="shared" si="29"/>
        <v>100</v>
      </c>
      <c r="M119" s="474">
        <f t="shared" si="29"/>
        <v>100</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40" t="s">
        <v>3419</v>
      </c>
      <c r="D122" s="3140" t="s">
        <v>3413</v>
      </c>
      <c r="E122" s="3140" t="s">
        <v>3452</v>
      </c>
      <c r="F122" s="512"/>
      <c r="G122" s="512"/>
      <c r="H122" s="512"/>
      <c r="I122" s="512"/>
      <c r="J122" s="512"/>
      <c r="K122" s="513"/>
      <c r="L122" s="514"/>
      <c r="M122" s="515"/>
      <c r="N122" s="878"/>
      <c r="O122" s="878"/>
      <c r="P122" s="1770"/>
      <c r="Q122" s="438"/>
    </row>
    <row r="123" spans="1:17" ht="15.75" thickBot="1">
      <c r="A123" s="366"/>
      <c r="B123" s="473"/>
      <c r="C123" s="474">
        <v>100</v>
      </c>
      <c r="D123" s="474">
        <f t="shared" ref="D123:M123" si="30">C123-$K42</f>
        <v>99.5</v>
      </c>
      <c r="E123" s="474">
        <f t="shared" si="30"/>
        <v>99</v>
      </c>
      <c r="F123" s="474">
        <f t="shared" si="30"/>
        <v>98.5</v>
      </c>
      <c r="G123" s="474">
        <f t="shared" si="30"/>
        <v>98</v>
      </c>
      <c r="H123" s="474">
        <f t="shared" si="30"/>
        <v>97.5</v>
      </c>
      <c r="I123" s="474">
        <f t="shared" si="30"/>
        <v>97</v>
      </c>
      <c r="J123" s="474">
        <f t="shared" si="30"/>
        <v>96.5</v>
      </c>
      <c r="K123" s="474">
        <f t="shared" si="30"/>
        <v>96</v>
      </c>
      <c r="L123" s="474">
        <f t="shared" si="30"/>
        <v>95.5</v>
      </c>
      <c r="M123" s="474">
        <f t="shared" si="30"/>
        <v>95</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t="str">
        <f>B44</f>
        <v>户型结构</v>
      </c>
      <c r="C126" s="3188" t="s">
        <v>3470</v>
      </c>
      <c r="D126" s="3188" t="s">
        <v>3471</v>
      </c>
      <c r="E126" s="3188" t="s">
        <v>3472</v>
      </c>
      <c r="F126" s="508"/>
      <c r="G126" s="508"/>
      <c r="H126" s="485"/>
      <c r="I126" s="485">
        <v>1</v>
      </c>
      <c r="J126" s="485"/>
      <c r="K126" s="485"/>
      <c r="L126" s="486"/>
      <c r="M126" s="487"/>
      <c r="N126" s="880"/>
      <c r="O126" s="880"/>
      <c r="P126" s="1771"/>
      <c r="Q126" s="489"/>
    </row>
    <row r="127" spans="1:17" s="407" customFormat="1" ht="15.75" thickBot="1">
      <c r="A127" s="483"/>
      <c r="B127" s="473"/>
      <c r="C127" s="466">
        <v>100</v>
      </c>
      <c r="D127" s="466">
        <f>C127-$I$126</f>
        <v>99</v>
      </c>
      <c r="E127" s="466">
        <f>D127-$I$126</f>
        <v>98</v>
      </c>
      <c r="F127" s="466">
        <f>E127-$I$126</f>
        <v>97</v>
      </c>
      <c r="G127" s="490">
        <v>101</v>
      </c>
      <c r="H127" s="492"/>
      <c r="I127" s="492"/>
      <c r="J127" s="492"/>
      <c r="K127" s="492"/>
      <c r="L127" s="492"/>
      <c r="M127" s="493"/>
      <c r="N127" s="880"/>
      <c r="O127" s="880"/>
      <c r="P127" s="1771"/>
      <c r="Q127" s="489"/>
    </row>
    <row r="128" spans="1:17" ht="15" thickTop="1">
      <c r="A128" s="408"/>
      <c r="B128" s="468" t="str">
        <f>B45</f>
        <v>户型结构</v>
      </c>
      <c r="C128" s="484">
        <v>2005</v>
      </c>
      <c r="D128" s="484">
        <v>2004</v>
      </c>
      <c r="E128" s="484">
        <v>2003</v>
      </c>
      <c r="F128" s="484">
        <v>2002</v>
      </c>
      <c r="G128" s="512">
        <v>2001</v>
      </c>
      <c r="H128" s="512"/>
      <c r="I128" s="3186">
        <v>0.5</v>
      </c>
      <c r="J128" s="512"/>
      <c r="K128" s="513"/>
      <c r="L128" s="514"/>
      <c r="M128" s="515"/>
      <c r="N128" s="878"/>
      <c r="O128" s="878"/>
      <c r="P128" s="1770"/>
      <c r="Q128" s="438"/>
    </row>
    <row r="129" spans="1:17" ht="15.75" thickBot="1">
      <c r="A129" s="366"/>
      <c r="B129" s="473"/>
      <c r="C129" s="490">
        <v>100</v>
      </c>
      <c r="D129" s="490">
        <f>C129-$I$128</f>
        <v>99.5</v>
      </c>
      <c r="E129" s="490">
        <f t="shared" ref="E129:G129" si="31">D129-$I$128</f>
        <v>99</v>
      </c>
      <c r="F129" s="490">
        <f t="shared" si="31"/>
        <v>98.5</v>
      </c>
      <c r="G129" s="490">
        <f t="shared" si="31"/>
        <v>98</v>
      </c>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8" priority="16" stopIfTrue="1">
      <formula>$F$52="超过30%"</formula>
    </cfRule>
  </conditionalFormatting>
  <conditionalFormatting sqref="E53">
    <cfRule type="expression" dxfId="97" priority="13" stopIfTrue="1">
      <formula>$F$53="超过20%"</formula>
    </cfRule>
  </conditionalFormatting>
  <conditionalFormatting sqref="E54">
    <cfRule type="expression" dxfId="96" priority="12" stopIfTrue="1">
      <formula>$F$54="超过30%"</formula>
    </cfRule>
  </conditionalFormatting>
  <conditionalFormatting sqref="F7:F46 H7:H46">
    <cfRule type="cellIs" dxfId="95" priority="2" operator="notEqual">
      <formula>100</formula>
    </cfRule>
  </conditionalFormatting>
  <conditionalFormatting sqref="F52:F54 H52:H54 J52:J54">
    <cfRule type="containsText" dxfId="94" priority="17" stopIfTrue="1" operator="containsText" text="超过">
      <formula>NOT(ISERROR(SEARCH("超过",F52)))</formula>
    </cfRule>
  </conditionalFormatting>
  <conditionalFormatting sqref="G52">
    <cfRule type="expression" dxfId="93" priority="11" stopIfTrue="1">
      <formula>$H$52="超过30%"</formula>
    </cfRule>
  </conditionalFormatting>
  <conditionalFormatting sqref="G53">
    <cfRule type="expression" dxfId="92" priority="10" stopIfTrue="1">
      <formula>$H$53="超过20%"</formula>
    </cfRule>
  </conditionalFormatting>
  <conditionalFormatting sqref="G54">
    <cfRule type="expression" dxfId="91" priority="14" stopIfTrue="1">
      <formula>$H$54="超过30%"</formula>
    </cfRule>
  </conditionalFormatting>
  <conditionalFormatting sqref="I52">
    <cfRule type="expression" dxfId="90" priority="9" stopIfTrue="1">
      <formula>$J$52="超过30%"</formula>
    </cfRule>
  </conditionalFormatting>
  <conditionalFormatting sqref="I53">
    <cfRule type="expression" dxfId="89" priority="8" stopIfTrue="1">
      <formula>$J$53="超过20%"</formula>
    </cfRule>
  </conditionalFormatting>
  <conditionalFormatting sqref="I54">
    <cfRule type="expression" dxfId="88" priority="7" stopIfTrue="1">
      <formula>$J$54="超过30%"</formula>
    </cfRule>
  </conditionalFormatting>
  <conditionalFormatting sqref="J7:J46">
    <cfRule type="cellIs" dxfId="87" priority="1" operator="notEqual">
      <formula>100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C16 G16 E16 I16" xr:uid="{00000000-0002-0000-1800-000001000000}">
      <formula1>居住社区成熟度</formula1>
    </dataValidation>
    <dataValidation type="list" allowBlank="1" showInputMessage="1" showErrorMessage="1" sqref="C18 G18 E18 I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I26 G26" xr:uid="{00000000-0002-0000-1800-000005000000}">
      <formula1>住宅朝向</formula1>
    </dataValidation>
    <dataValidation type="list" allowBlank="1" showInputMessage="1" showErrorMessage="1" sqref="C32 E32 G32 I32" xr:uid="{00000000-0002-0000-1800-000006000000}">
      <formula1>住宅建筑类型</formula1>
    </dataValidation>
    <dataValidation type="list" allowBlank="1" showInputMessage="1" showErrorMessage="1" sqref="C34 G34 E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8 G38 I38 C38" xr:uid="{00000000-0002-0000-1800-000009000000}">
      <formula1>住宅物业管理</formula1>
    </dataValidation>
    <dataValidation type="list" allowBlank="1" showInputMessage="1" showErrorMessage="1" sqref="E39 G39 I39 C39" xr:uid="{00000000-0002-0000-1800-00000A000000}">
      <formula1>住宅基础设施水平</formula1>
    </dataValidation>
    <dataValidation type="list" allowBlank="1" showInputMessage="1" showErrorMessage="1" sqref="E40 G40 I40 C40" xr:uid="{00000000-0002-0000-1800-00000B000000}">
      <formula1>住宅房型</formula1>
    </dataValidation>
    <dataValidation type="list" allowBlank="1" showInputMessage="1" showErrorMessage="1" sqref="C42 G36 E42 G42 C36 I42 E36 I36" xr:uid="{00000000-0002-0000-1800-00000C000000}">
      <formula1>住宅内部装修</formula1>
    </dataValidation>
    <dataValidation type="list" allowBlank="1" showInputMessage="1" showErrorMessage="1" sqref="C43:C44 E43:E44 I43:I44 G43:G44" xr:uid="{00000000-0002-0000-1800-00000D000000}">
      <formula1>内部装修维护情况</formula1>
    </dataValidation>
    <dataValidation type="list" allowBlank="1" showInputMessage="1" showErrorMessage="1" sqref="E8 G8 I8 C8" xr:uid="{00000000-0002-0000-1800-00000E000000}">
      <formula1>住宅交易情况</formula1>
    </dataValidation>
    <dataValidation type="list" allowBlank="1" showInputMessage="1" showErrorMessage="1" sqref="D1" xr:uid="{00000000-0002-0000-1800-00000F000000}">
      <formula1>项目类型</formula1>
    </dataValidation>
    <dataValidation type="list" allowBlank="1" showInputMessage="1" showErrorMessage="1" sqref="E9 G9 I9" xr:uid="{00000000-0002-0000-1800-000010000000}">
      <formula1>住宅用途</formula1>
    </dataValidation>
    <dataValidation type="list" allowBlank="1" showInputMessage="1" showErrorMessage="1" sqref="C22 E22 G22 I22" xr:uid="{00000000-0002-0000-1800-000011000000}">
      <formula1>基础设施水平</formula1>
    </dataValidation>
    <dataValidation type="list" allowBlank="1" showInputMessage="1" showErrorMessage="1" sqref="F1" xr:uid="{00000000-0002-0000-1800-000012000000}">
      <formula1>"售价,租金"</formula1>
    </dataValidation>
    <dataValidation type="list" allowBlank="1" showInputMessage="1" showErrorMessage="1" sqref="C2" xr:uid="{00000000-0002-0000-1800-000013000000}">
      <formula1>"需扣减承租人权益,——"</formula1>
    </dataValidation>
    <dataValidation type="list" allowBlank="1" showInputMessage="1" showErrorMessage="1" sqref="F2" xr:uid="{00000000-0002-0000-1800-000014000000}">
      <formula1>估价方法</formula1>
    </dataValidation>
    <dataValidation type="list" allowBlank="1" showInputMessage="1" showErrorMessage="1" sqref="D48" xr:uid="{00000000-0002-0000-1800-000015000000}">
      <formula1>"简单平均,加权平均"</formula1>
    </dataValidation>
    <dataValidation type="list" allowBlank="1" showInputMessage="1" showErrorMessage="1" sqref="E1" xr:uid="{00000000-0002-0000-1800-000016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1763</v>
      </c>
      <c r="C1" s="1153" t="s">
        <v>1662</v>
      </c>
      <c r="D1" s="1140"/>
      <c r="E1" s="3118"/>
      <c r="F1" s="1733"/>
      <c r="G1" s="1150" t="s">
        <v>1764</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799"/>
      <c r="Q2" s="858"/>
      <c r="R2" s="858"/>
      <c r="S2" s="858"/>
      <c r="T2" s="858"/>
      <c r="U2" s="858"/>
      <c r="V2" s="858"/>
      <c r="W2" s="858"/>
      <c r="X2" s="858"/>
      <c r="Y2" s="858"/>
      <c r="Z2" s="858"/>
      <c r="AA2" s="858"/>
      <c r="AB2" s="858"/>
      <c r="AC2" s="1800"/>
    </row>
    <row r="3" spans="1:29" s="341" customFormat="1" ht="28.5" customHeight="1" thickBot="1">
      <c r="A3" s="194" t="s">
        <v>1464</v>
      </c>
      <c r="B3" s="535">
        <f>IF(C2="——",C49,ROUND(B2*10000/D3,0))</f>
        <v>0</v>
      </c>
      <c r="C3" s="343" t="s">
        <v>1765</v>
      </c>
      <c r="D3" s="342">
        <f>IF(D1="",'数据-汇总表'!E3,SUMIF('数据-汇总表'!$C19:$C33,D1,'数据-汇总表'!$E19:$E33))</f>
        <v>141.37</v>
      </c>
      <c r="E3" s="1800"/>
      <c r="F3" s="855"/>
      <c r="G3" s="854"/>
      <c r="H3" s="854"/>
      <c r="I3" s="854"/>
      <c r="J3" s="854"/>
      <c r="K3" s="856"/>
      <c r="L3" s="2498"/>
      <c r="M3" s="2499"/>
      <c r="N3" s="2499"/>
      <c r="O3" s="2499"/>
      <c r="P3" s="1799"/>
      <c r="Q3" s="858"/>
      <c r="R3" s="858"/>
      <c r="S3" s="858"/>
      <c r="T3" s="858"/>
      <c r="U3" s="858"/>
      <c r="V3" s="858"/>
      <c r="W3" s="858"/>
      <c r="X3" s="858"/>
      <c r="Y3" s="858"/>
      <c r="Z3" s="858"/>
      <c r="AA3" s="858"/>
      <c r="AB3" s="858"/>
      <c r="AC3" s="1800"/>
    </row>
    <row r="4" spans="1:29" ht="15">
      <c r="A4" s="344" t="s">
        <v>1766</v>
      </c>
      <c r="B4" s="345"/>
      <c r="C4" s="3420" t="s">
        <v>1767</v>
      </c>
      <c r="D4" s="3421"/>
      <c r="E4" s="3422" t="s">
        <v>1768</v>
      </c>
      <c r="F4" s="3423"/>
      <c r="G4" s="3420" t="s">
        <v>1769</v>
      </c>
      <c r="H4" s="3421"/>
      <c r="I4" s="3420" t="s">
        <v>1770</v>
      </c>
      <c r="J4" s="3421"/>
      <c r="K4" s="536" t="s">
        <v>1771</v>
      </c>
      <c r="L4" s="2481"/>
      <c r="M4" s="2482"/>
      <c r="N4" s="2482"/>
      <c r="O4" s="2482"/>
      <c r="P4" s="3424" t="s">
        <v>1772</v>
      </c>
      <c r="Q4" s="3425"/>
      <c r="R4" s="3406" t="s">
        <v>1768</v>
      </c>
      <c r="S4" s="3407"/>
      <c r="T4" s="3406" t="s">
        <v>1769</v>
      </c>
      <c r="U4" s="3407"/>
      <c r="V4" s="3432" t="s">
        <v>1770</v>
      </c>
      <c r="W4" s="3432"/>
      <c r="X4" s="1263"/>
      <c r="Y4" s="3406" t="s">
        <v>1772</v>
      </c>
      <c r="Z4" s="3407"/>
      <c r="AA4" s="3401" t="s">
        <v>1768</v>
      </c>
      <c r="AB4" s="3432" t="s">
        <v>1769</v>
      </c>
      <c r="AC4" s="3401" t="s">
        <v>1770</v>
      </c>
    </row>
    <row r="5" spans="1:29" ht="15">
      <c r="A5" s="347"/>
      <c r="B5" s="348"/>
      <c r="C5" s="3416" t="s">
        <v>1673</v>
      </c>
      <c r="D5" s="3413"/>
      <c r="E5" s="3447" t="s">
        <v>1674</v>
      </c>
      <c r="F5" s="3411"/>
      <c r="G5" s="3416" t="s">
        <v>1675</v>
      </c>
      <c r="H5" s="3413"/>
      <c r="I5" s="3416" t="s">
        <v>1676</v>
      </c>
      <c r="J5" s="3413"/>
      <c r="K5" s="536"/>
      <c r="L5" s="2481"/>
      <c r="M5" s="2482"/>
      <c r="N5" s="2482"/>
      <c r="O5" s="2482"/>
      <c r="P5" s="3426"/>
      <c r="Q5" s="3427"/>
      <c r="R5" s="3408"/>
      <c r="S5" s="3409"/>
      <c r="T5" s="3408"/>
      <c r="U5" s="3409"/>
      <c r="V5" s="3432"/>
      <c r="W5" s="3432"/>
      <c r="X5" s="1263"/>
      <c r="Y5" s="3408"/>
      <c r="Z5" s="3409"/>
      <c r="AA5" s="3402"/>
      <c r="AB5" s="3432"/>
      <c r="AC5" s="3402"/>
    </row>
    <row r="6" spans="1:29" ht="15.75" thickBot="1">
      <c r="A6" s="349"/>
      <c r="B6" s="350"/>
      <c r="C6" s="3414" t="s">
        <v>1677</v>
      </c>
      <c r="D6" s="3415"/>
      <c r="E6" s="3417" t="s">
        <v>1677</v>
      </c>
      <c r="F6" s="3418"/>
      <c r="G6" s="3414" t="s">
        <v>1677</v>
      </c>
      <c r="H6" s="3415"/>
      <c r="I6" s="3414" t="s">
        <v>1677</v>
      </c>
      <c r="J6" s="3415"/>
      <c r="K6" s="536" t="s">
        <v>1678</v>
      </c>
      <c r="L6" s="2481"/>
      <c r="M6" s="2482"/>
      <c r="N6" s="2482"/>
      <c r="O6" s="2482"/>
      <c r="P6" s="3428"/>
      <c r="Q6" s="3429"/>
      <c r="R6" s="3408"/>
      <c r="S6" s="3409"/>
      <c r="T6" s="3430"/>
      <c r="U6" s="3431"/>
      <c r="V6" s="3432"/>
      <c r="W6" s="3432"/>
      <c r="X6" s="1263"/>
      <c r="Y6" s="3430"/>
      <c r="Z6" s="3431"/>
      <c r="AA6" s="3403"/>
      <c r="AB6" s="3432"/>
      <c r="AC6" s="3403"/>
    </row>
    <row r="7" spans="1:29" s="101" customFormat="1" ht="15.75" thickBot="1">
      <c r="A7" s="351" t="s">
        <v>1679</v>
      </c>
      <c r="B7" s="352"/>
      <c r="C7" s="353">
        <f>'数据-取费表'!B2</f>
        <v>45583</v>
      </c>
      <c r="D7" s="354">
        <v>100</v>
      </c>
      <c r="E7" s="355"/>
      <c r="F7" s="356">
        <f>SUMIF(58:58,YEAR(E7)&amp;"-"&amp;MONTH(E7),59:59)</f>
        <v>0</v>
      </c>
      <c r="G7" s="355"/>
      <c r="H7" s="354">
        <f>SUMIF(58:58,YEAR(G7)&amp;"-"&amp;MONTH(G7),59:59)</f>
        <v>0</v>
      </c>
      <c r="I7" s="355"/>
      <c r="J7" s="354">
        <f>SUMIF(58:58,YEAR(I7)&amp;"-"&amp;MONTH(I7),59:59)</f>
        <v>0</v>
      </c>
      <c r="K7" s="38"/>
      <c r="L7" s="2483"/>
      <c r="M7" s="2434"/>
      <c r="N7" s="2434"/>
      <c r="O7" s="2434"/>
      <c r="P7" s="3404" t="s">
        <v>1680</v>
      </c>
      <c r="Q7" s="3433"/>
      <c r="R7" s="663" t="s">
        <v>14</v>
      </c>
      <c r="S7" s="664">
        <f t="shared" ref="S7:S15" si="0">F7</f>
        <v>0</v>
      </c>
      <c r="T7" s="663" t="s">
        <v>14</v>
      </c>
      <c r="U7" s="664">
        <f t="shared" ref="U7:U15" si="1">H7</f>
        <v>0</v>
      </c>
      <c r="V7" s="663" t="s">
        <v>14</v>
      </c>
      <c r="W7" s="664">
        <f t="shared" ref="W7:W15" si="2">J7</f>
        <v>0</v>
      </c>
      <c r="X7" s="665"/>
      <c r="Y7" s="3404" t="s">
        <v>1680</v>
      </c>
      <c r="Z7" s="3405"/>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4"/>
      <c r="N8" s="2434"/>
      <c r="O8" s="2434"/>
      <c r="P8" s="3404" t="s">
        <v>1683</v>
      </c>
      <c r="Q8" s="3405"/>
      <c r="R8" s="663" t="s">
        <v>14</v>
      </c>
      <c r="S8" s="664">
        <f t="shared" si="0"/>
        <v>100</v>
      </c>
      <c r="T8" s="663" t="s">
        <v>14</v>
      </c>
      <c r="U8" s="664">
        <f t="shared" si="1"/>
        <v>100</v>
      </c>
      <c r="V8" s="663" t="s">
        <v>14</v>
      </c>
      <c r="W8" s="664">
        <f t="shared" si="2"/>
        <v>100</v>
      </c>
      <c r="X8" s="665"/>
      <c r="Y8" s="3404" t="s">
        <v>1683</v>
      </c>
      <c r="Z8" s="3405"/>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3"/>
      <c r="M9" s="2434"/>
      <c r="N9" s="2434"/>
      <c r="O9" s="2434"/>
      <c r="P9" s="3419" t="s">
        <v>1686</v>
      </c>
      <c r="Q9" s="529" t="str">
        <f t="shared" ref="Q9:Q15" si="6">B9</f>
        <v>用途</v>
      </c>
      <c r="R9" s="663" t="s">
        <v>14</v>
      </c>
      <c r="S9" s="664">
        <f t="shared" si="0"/>
        <v>100</v>
      </c>
      <c r="T9" s="663" t="s">
        <v>14</v>
      </c>
      <c r="U9" s="664">
        <f t="shared" si="1"/>
        <v>100</v>
      </c>
      <c r="V9" s="663" t="s">
        <v>14</v>
      </c>
      <c r="W9" s="664">
        <f t="shared" si="2"/>
        <v>100</v>
      </c>
      <c r="X9" s="665"/>
      <c r="Y9" s="3348"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4"/>
      <c r="M10" s="2485"/>
      <c r="N10" s="2485"/>
      <c r="O10" s="2485"/>
      <c r="P10" s="3419"/>
      <c r="Q10" s="529" t="str">
        <f t="shared" si="6"/>
        <v>土地使用年限（年）</v>
      </c>
      <c r="R10" s="663" t="s">
        <v>14</v>
      </c>
      <c r="S10" s="664">
        <f t="shared" si="0"/>
        <v>100</v>
      </c>
      <c r="T10" s="663" t="s">
        <v>14</v>
      </c>
      <c r="U10" s="664">
        <f t="shared" si="1"/>
        <v>100</v>
      </c>
      <c r="V10" s="663" t="s">
        <v>14</v>
      </c>
      <c r="W10" s="664">
        <f t="shared" si="2"/>
        <v>100</v>
      </c>
      <c r="X10" s="665"/>
      <c r="Y10" s="3348"/>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19"/>
      <c r="Q11" s="529" t="str">
        <f t="shared" si="6"/>
        <v>容积率</v>
      </c>
      <c r="R11" s="663" t="s">
        <v>14</v>
      </c>
      <c r="S11" s="664" t="e">
        <f t="shared" si="0"/>
        <v>#N/A</v>
      </c>
      <c r="T11" s="663" t="s">
        <v>14</v>
      </c>
      <c r="U11" s="664" t="e">
        <f t="shared" si="1"/>
        <v>#N/A</v>
      </c>
      <c r="V11" s="663" t="s">
        <v>14</v>
      </c>
      <c r="W11" s="664" t="e">
        <f t="shared" si="2"/>
        <v>#N/A</v>
      </c>
      <c r="X11" s="665"/>
      <c r="Y11" s="3348"/>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419"/>
      <c r="Q12" s="529">
        <f t="shared" si="6"/>
        <v>111</v>
      </c>
      <c r="R12" s="663" t="s">
        <v>14</v>
      </c>
      <c r="S12" s="664">
        <f t="shared" si="0"/>
        <v>100</v>
      </c>
      <c r="T12" s="663" t="s">
        <v>14</v>
      </c>
      <c r="U12" s="664">
        <f t="shared" si="1"/>
        <v>100</v>
      </c>
      <c r="V12" s="663" t="s">
        <v>14</v>
      </c>
      <c r="W12" s="664">
        <f t="shared" si="2"/>
        <v>100</v>
      </c>
      <c r="X12" s="665"/>
      <c r="Y12" s="334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19"/>
      <c r="Q13" s="529">
        <f t="shared" si="6"/>
        <v>111</v>
      </c>
      <c r="R13" s="663" t="s">
        <v>14</v>
      </c>
      <c r="S13" s="664">
        <f t="shared" si="0"/>
        <v>100</v>
      </c>
      <c r="T13" s="663" t="s">
        <v>14</v>
      </c>
      <c r="U13" s="664">
        <f t="shared" si="1"/>
        <v>100</v>
      </c>
      <c r="V13" s="663" t="s">
        <v>14</v>
      </c>
      <c r="W13" s="664">
        <f t="shared" si="2"/>
        <v>100</v>
      </c>
      <c r="X13" s="665"/>
      <c r="Y13" s="3348"/>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19"/>
      <c r="Q14" s="529">
        <f t="shared" si="6"/>
        <v>111</v>
      </c>
      <c r="R14" s="663" t="s">
        <v>14</v>
      </c>
      <c r="S14" s="664">
        <f t="shared" si="0"/>
        <v>100</v>
      </c>
      <c r="T14" s="663" t="s">
        <v>14</v>
      </c>
      <c r="U14" s="664">
        <f t="shared" si="1"/>
        <v>100</v>
      </c>
      <c r="V14" s="663" t="s">
        <v>14</v>
      </c>
      <c r="W14" s="664">
        <f t="shared" si="2"/>
        <v>100</v>
      </c>
      <c r="X14" s="665"/>
      <c r="Y14" s="3348"/>
      <c r="Z14" s="50">
        <f t="shared" si="7"/>
        <v>111</v>
      </c>
      <c r="AA14" s="50">
        <f t="shared" si="3"/>
        <v>1</v>
      </c>
      <c r="AB14" s="50">
        <f t="shared" si="4"/>
        <v>1</v>
      </c>
      <c r="AC14" s="50">
        <f t="shared" si="5"/>
        <v>1</v>
      </c>
    </row>
    <row r="15" spans="1:29" ht="71.25">
      <c r="A15" s="378" t="s">
        <v>1690</v>
      </c>
      <c r="B15" s="58" t="s">
        <v>1774</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45" t="s">
        <v>1691</v>
      </c>
      <c r="Q15" s="1261" t="str">
        <f t="shared" si="6"/>
        <v>商业繁华度</v>
      </c>
      <c r="R15" s="666" t="s">
        <v>14</v>
      </c>
      <c r="S15" s="667">
        <f t="shared" si="0"/>
        <v>100</v>
      </c>
      <c r="T15" s="666" t="s">
        <v>14</v>
      </c>
      <c r="U15" s="667">
        <f t="shared" si="1"/>
        <v>100</v>
      </c>
      <c r="V15" s="666" t="s">
        <v>14</v>
      </c>
      <c r="W15" s="667">
        <f t="shared" si="2"/>
        <v>100</v>
      </c>
      <c r="X15" s="1263"/>
      <c r="Y15" s="3438"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46"/>
      <c r="Q16" s="1261"/>
      <c r="R16" s="666"/>
      <c r="S16" s="667"/>
      <c r="T16" s="666"/>
      <c r="U16" s="667"/>
      <c r="V16" s="666"/>
      <c r="W16" s="667"/>
      <c r="X16" s="1263"/>
      <c r="Y16" s="3439"/>
      <c r="Z16" s="1262"/>
      <c r="AA16" s="1262">
        <v>1</v>
      </c>
      <c r="AB16" s="1262">
        <v>1</v>
      </c>
      <c r="AC16" s="1262">
        <v>1</v>
      </c>
    </row>
    <row r="17" spans="1:29" ht="99.75">
      <c r="A17" s="366"/>
      <c r="B17" s="389" t="s">
        <v>1259</v>
      </c>
      <c r="C17" s="1751" t="str">
        <f>估价对象房地状况!C6</f>
        <v>周边有301路、432路、530路、620路等多条公交线路及地铁17号线天通苑东站，综合评价交通便捷度较好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46"/>
      <c r="Q17" s="1261" t="str">
        <f>B17</f>
        <v>交通便捷度</v>
      </c>
      <c r="R17" s="666" t="s">
        <v>14</v>
      </c>
      <c r="S17" s="667">
        <f>F17</f>
        <v>100</v>
      </c>
      <c r="T17" s="666" t="s">
        <v>14</v>
      </c>
      <c r="U17" s="667">
        <f>H17</f>
        <v>100</v>
      </c>
      <c r="V17" s="666" t="s">
        <v>14</v>
      </c>
      <c r="W17" s="667">
        <f>J17</f>
        <v>100</v>
      </c>
      <c r="X17" s="1263"/>
      <c r="Y17" s="3439"/>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7"/>
      <c r="M18" s="2482"/>
      <c r="N18" s="2482"/>
      <c r="O18" s="2482"/>
      <c r="P18" s="3446"/>
      <c r="Q18" s="1261"/>
      <c r="R18" s="666"/>
      <c r="S18" s="667"/>
      <c r="T18" s="666"/>
      <c r="U18" s="667"/>
      <c r="V18" s="666"/>
      <c r="W18" s="667"/>
      <c r="X18" s="1263"/>
      <c r="Y18" s="3439"/>
      <c r="Z18" s="1262"/>
      <c r="AA18" s="1262">
        <v>1</v>
      </c>
      <c r="AB18" s="1262">
        <v>1</v>
      </c>
      <c r="AC18" s="1262">
        <v>1</v>
      </c>
    </row>
    <row r="19" spans="1:29" ht="327.75">
      <c r="A19" s="366"/>
      <c r="B19" s="389" t="s">
        <v>1775</v>
      </c>
      <c r="C19" s="1751" t="str">
        <f>估价对象房地状况!C7</f>
        <v>银行：中国农业银行、中国建设银行、中国邮政储蓄银行等金融机构；
医院：天通苑中医医院、天通苑东二区社区卫生服务站等医疗机构；
学校：北京市朝阳外国语学校(高中部)、天通苑小学、昌平区育树家幼儿园等教育机构；
商业：国泰百货(天通苑店)、龙德广场等商业设施；
综合评价公共服务设施齐备度较好。</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46"/>
      <c r="Q19" s="1261" t="str">
        <f>B19</f>
        <v>公共配套设施</v>
      </c>
      <c r="R19" s="666" t="s">
        <v>14</v>
      </c>
      <c r="S19" s="667">
        <f>F19</f>
        <v>100</v>
      </c>
      <c r="T19" s="666" t="s">
        <v>14</v>
      </c>
      <c r="U19" s="667">
        <f>H19</f>
        <v>100</v>
      </c>
      <c r="V19" s="666" t="s">
        <v>14</v>
      </c>
      <c r="W19" s="667">
        <f>J19</f>
        <v>100</v>
      </c>
      <c r="X19" s="1263"/>
      <c r="Y19" s="3439"/>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7"/>
      <c r="M20" s="2482"/>
      <c r="N20" s="2482"/>
      <c r="O20" s="2482"/>
      <c r="P20" s="3446"/>
      <c r="Q20" s="1261"/>
      <c r="R20" s="666"/>
      <c r="S20" s="667"/>
      <c r="T20" s="666"/>
      <c r="U20" s="667"/>
      <c r="V20" s="666"/>
      <c r="W20" s="667"/>
      <c r="X20" s="1263"/>
      <c r="Y20" s="3439"/>
      <c r="Z20" s="1262"/>
      <c r="AA20" s="1262">
        <v>1</v>
      </c>
      <c r="AB20" s="1262">
        <v>1</v>
      </c>
      <c r="AC20" s="1262">
        <v>1</v>
      </c>
    </row>
    <row r="21" spans="1:29" ht="28.5">
      <c r="A21" s="366"/>
      <c r="B21" s="585" t="s">
        <v>1776</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46"/>
      <c r="Q21" s="1261" t="str">
        <f>B21</f>
        <v>基础设施水平</v>
      </c>
      <c r="R21" s="666" t="s">
        <v>14</v>
      </c>
      <c r="S21" s="667">
        <f>F21</f>
        <v>100</v>
      </c>
      <c r="T21" s="666" t="s">
        <v>14</v>
      </c>
      <c r="U21" s="667">
        <f>H21</f>
        <v>100</v>
      </c>
      <c r="V21" s="666" t="s">
        <v>14</v>
      </c>
      <c r="W21" s="667">
        <f>J21</f>
        <v>100</v>
      </c>
      <c r="X21" s="1263"/>
      <c r="Y21" s="3439"/>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7"/>
      <c r="M22" s="2482"/>
      <c r="N22" s="2482"/>
      <c r="O22" s="2482"/>
      <c r="P22" s="3446"/>
      <c r="Q22" s="1261"/>
      <c r="R22" s="666"/>
      <c r="S22" s="667"/>
      <c r="T22" s="666"/>
      <c r="U22" s="667"/>
      <c r="V22" s="666"/>
      <c r="W22" s="667"/>
      <c r="X22" s="1263"/>
      <c r="Y22" s="3439"/>
      <c r="Z22" s="1262"/>
      <c r="AA22" s="1262">
        <v>1</v>
      </c>
      <c r="AB22" s="1262">
        <v>1</v>
      </c>
      <c r="AC22" s="1262">
        <v>1</v>
      </c>
    </row>
    <row r="23" spans="1:29" ht="142.5">
      <c r="A23" s="366"/>
      <c r="B23" s="389" t="s">
        <v>1261</v>
      </c>
      <c r="C23" s="1801" t="str">
        <f>估价对象房地状况!C9</f>
        <v>自然环境：清河营郊野公园、清河水系等自然景观；
人文环境：天通苑体育馆、天通苑文化艺术中心等人文场所；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46"/>
      <c r="Q23" s="1261" t="str">
        <f>B23</f>
        <v>自然及人文环境</v>
      </c>
      <c r="R23" s="666" t="s">
        <v>14</v>
      </c>
      <c r="S23" s="667">
        <f>F23</f>
        <v>100</v>
      </c>
      <c r="T23" s="666" t="s">
        <v>14</v>
      </c>
      <c r="U23" s="667">
        <f>H23</f>
        <v>100</v>
      </c>
      <c r="V23" s="666" t="s">
        <v>14</v>
      </c>
      <c r="W23" s="667">
        <f>J23</f>
        <v>100</v>
      </c>
      <c r="X23" s="1263"/>
      <c r="Y23" s="3439"/>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7"/>
      <c r="M24" s="2482"/>
      <c r="N24" s="2482"/>
      <c r="O24" s="2482"/>
      <c r="P24" s="3446"/>
      <c r="Q24" s="1261"/>
      <c r="R24" s="666"/>
      <c r="S24" s="667"/>
      <c r="T24" s="666"/>
      <c r="U24" s="667"/>
      <c r="V24" s="666"/>
      <c r="W24" s="667"/>
      <c r="X24" s="1263"/>
      <c r="Y24" s="3439"/>
      <c r="Z24" s="1262"/>
      <c r="AA24" s="1262">
        <v>1</v>
      </c>
      <c r="AB24" s="1262">
        <v>1</v>
      </c>
      <c r="AC24" s="1262">
        <v>1</v>
      </c>
    </row>
    <row r="25" spans="1:29" ht="15">
      <c r="A25" s="366"/>
      <c r="B25" s="363" t="s">
        <v>1777</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46"/>
      <c r="Q25" s="1261" t="str">
        <f t="shared" ref="Q25:Q46" si="8">B25</f>
        <v>临街状况</v>
      </c>
      <c r="R25" s="666" t="s">
        <v>14</v>
      </c>
      <c r="S25" s="667">
        <f>F25</f>
        <v>100</v>
      </c>
      <c r="T25" s="666" t="s">
        <v>14</v>
      </c>
      <c r="U25" s="667">
        <f>H25</f>
        <v>100</v>
      </c>
      <c r="V25" s="666" t="s">
        <v>14</v>
      </c>
      <c r="W25" s="667">
        <f>J25</f>
        <v>100</v>
      </c>
      <c r="X25" s="1263"/>
      <c r="Y25" s="3439"/>
      <c r="Z25" s="1262" t="str">
        <f>Q25</f>
        <v>临街状况</v>
      </c>
      <c r="AA25" s="1262">
        <f t="shared" si="3"/>
        <v>1</v>
      </c>
      <c r="AB25" s="1262">
        <f t="shared" si="4"/>
        <v>1</v>
      </c>
      <c r="AC25" s="1262">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46"/>
      <c r="Q26" s="1261" t="str">
        <f t="shared" si="8"/>
        <v>平面位置/可视性</v>
      </c>
      <c r="R26" s="666" t="s">
        <v>14</v>
      </c>
      <c r="S26" s="667">
        <f>F26</f>
        <v>100</v>
      </c>
      <c r="T26" s="666" t="s">
        <v>14</v>
      </c>
      <c r="U26" s="667">
        <f>H26</f>
        <v>100</v>
      </c>
      <c r="V26" s="666" t="s">
        <v>14</v>
      </c>
      <c r="W26" s="667">
        <f>J26</f>
        <v>100</v>
      </c>
      <c r="X26" s="1263"/>
      <c r="Y26" s="3439"/>
      <c r="Z26" s="1262" t="str">
        <f>Q26</f>
        <v>平面位置/可视性</v>
      </c>
      <c r="AA26" s="1262">
        <f t="shared" si="3"/>
        <v>1</v>
      </c>
      <c r="AB26" s="1262">
        <f t="shared" si="4"/>
        <v>1</v>
      </c>
      <c r="AC26" s="1262">
        <f t="shared" si="5"/>
        <v>1</v>
      </c>
    </row>
    <row r="27" spans="1:29" s="101" customFormat="1" ht="15">
      <c r="A27" s="369"/>
      <c r="B27" s="389" t="s">
        <v>1779</v>
      </c>
      <c r="C27" s="1802"/>
      <c r="D27" s="400">
        <v>100</v>
      </c>
      <c r="E27" s="1802"/>
      <c r="F27" s="394">
        <f>SUMIF(90:90,E27,91:91)-SUMIF(90:90,C27,91:91)+100</f>
        <v>100</v>
      </c>
      <c r="G27" s="1802"/>
      <c r="H27" s="400">
        <f>SUMIF(90:90,G27,91:91)-SUMIF(90:90,C27,91:91)+100</f>
        <v>100</v>
      </c>
      <c r="I27" s="1802"/>
      <c r="J27" s="400">
        <f>SUMIF(90:90,I27,91:91)-SUMIF(90:90,C27,91:91)+100</f>
        <v>100</v>
      </c>
      <c r="K27" s="537"/>
      <c r="L27" s="2483"/>
      <c r="M27" s="2434"/>
      <c r="N27" s="2434"/>
      <c r="O27" s="2434"/>
      <c r="P27" s="3446"/>
      <c r="Q27" s="529" t="str">
        <f t="shared" si="8"/>
        <v>人流量</v>
      </c>
      <c r="R27" s="663" t="s">
        <v>14</v>
      </c>
      <c r="S27" s="664">
        <f>F27</f>
        <v>100</v>
      </c>
      <c r="T27" s="663" t="s">
        <v>14</v>
      </c>
      <c r="U27" s="664">
        <f>H27</f>
        <v>100</v>
      </c>
      <c r="V27" s="663" t="s">
        <v>14</v>
      </c>
      <c r="W27" s="664">
        <f>J27</f>
        <v>100</v>
      </c>
      <c r="X27" s="665"/>
      <c r="Y27" s="3439"/>
      <c r="Z27" s="50" t="str">
        <f>Q27</f>
        <v>人流量</v>
      </c>
      <c r="AA27" s="1262">
        <f>D27/F27</f>
        <v>1</v>
      </c>
      <c r="AB27" s="1262">
        <f>D27/H27</f>
        <v>1</v>
      </c>
      <c r="AC27" s="1262">
        <f>D27/J27</f>
        <v>1</v>
      </c>
    </row>
    <row r="28" spans="1:29" ht="15">
      <c r="A28" s="366"/>
      <c r="B28" s="363" t="s">
        <v>1780</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46"/>
      <c r="Q28" s="1261" t="str">
        <f t="shared" si="8"/>
        <v>楼层</v>
      </c>
      <c r="R28" s="666" t="s">
        <v>14</v>
      </c>
      <c r="S28" s="667">
        <f t="shared" ref="S28:S46" si="9">F28</f>
        <v>100</v>
      </c>
      <c r="T28" s="666" t="s">
        <v>14</v>
      </c>
      <c r="U28" s="667">
        <f t="shared" ref="U28:U46" si="10">H28</f>
        <v>100</v>
      </c>
      <c r="V28" s="666" t="s">
        <v>14</v>
      </c>
      <c r="W28" s="667">
        <f t="shared" ref="W28:W46" si="11">J28</f>
        <v>100</v>
      </c>
      <c r="X28" s="1263"/>
      <c r="Y28" s="3439"/>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46"/>
      <c r="Q29" s="1261">
        <f t="shared" si="8"/>
        <v>111</v>
      </c>
      <c r="R29" s="666" t="s">
        <v>14</v>
      </c>
      <c r="S29" s="667">
        <f t="shared" si="9"/>
        <v>100</v>
      </c>
      <c r="T29" s="666" t="s">
        <v>14</v>
      </c>
      <c r="U29" s="667">
        <f t="shared" si="10"/>
        <v>100</v>
      </c>
      <c r="V29" s="666" t="s">
        <v>14</v>
      </c>
      <c r="W29" s="667">
        <f t="shared" si="11"/>
        <v>100</v>
      </c>
      <c r="X29" s="1263"/>
      <c r="Y29" s="3439"/>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46"/>
      <c r="Q30" s="1261">
        <f t="shared" si="8"/>
        <v>111</v>
      </c>
      <c r="R30" s="666" t="s">
        <v>14</v>
      </c>
      <c r="S30" s="667">
        <f t="shared" si="9"/>
        <v>100</v>
      </c>
      <c r="T30" s="666" t="s">
        <v>14</v>
      </c>
      <c r="U30" s="667">
        <f t="shared" si="10"/>
        <v>100</v>
      </c>
      <c r="V30" s="666" t="s">
        <v>14</v>
      </c>
      <c r="W30" s="667">
        <f t="shared" si="11"/>
        <v>100</v>
      </c>
      <c r="X30" s="1263"/>
      <c r="Y30" s="3439"/>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46"/>
      <c r="Q31" s="1261">
        <f t="shared" si="8"/>
        <v>111</v>
      </c>
      <c r="R31" s="666" t="s">
        <v>14</v>
      </c>
      <c r="S31" s="667">
        <f t="shared" si="9"/>
        <v>100</v>
      </c>
      <c r="T31" s="666" t="s">
        <v>14</v>
      </c>
      <c r="U31" s="667">
        <f t="shared" si="10"/>
        <v>100</v>
      </c>
      <c r="V31" s="666" t="s">
        <v>14</v>
      </c>
      <c r="W31" s="667">
        <f t="shared" si="11"/>
        <v>100</v>
      </c>
      <c r="X31" s="1263"/>
      <c r="Y31" s="3439"/>
      <c r="Z31" s="1262">
        <f t="shared" si="12"/>
        <v>111</v>
      </c>
      <c r="AA31" s="1262">
        <f t="shared" si="3"/>
        <v>1</v>
      </c>
      <c r="AB31" s="1262">
        <f t="shared" si="4"/>
        <v>1</v>
      </c>
      <c r="AC31" s="1262">
        <f t="shared" si="5"/>
        <v>1</v>
      </c>
    </row>
    <row r="32" spans="1:29" ht="15">
      <c r="A32" s="378" t="s">
        <v>1694</v>
      </c>
      <c r="B32" s="60" t="s">
        <v>1781</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7"/>
      <c r="M32" s="2482"/>
      <c r="N32" s="2482"/>
      <c r="O32" s="2482"/>
      <c r="P32" s="3440" t="s">
        <v>1696</v>
      </c>
      <c r="Q32" s="1261" t="str">
        <f t="shared" si="8"/>
        <v>商业类型</v>
      </c>
      <c r="R32" s="666" t="s">
        <v>14</v>
      </c>
      <c r="S32" s="667">
        <f t="shared" si="9"/>
        <v>100</v>
      </c>
      <c r="T32" s="666" t="s">
        <v>14</v>
      </c>
      <c r="U32" s="667">
        <f t="shared" si="10"/>
        <v>100</v>
      </c>
      <c r="V32" s="666" t="s">
        <v>14</v>
      </c>
      <c r="W32" s="667">
        <f t="shared" si="11"/>
        <v>100</v>
      </c>
      <c r="X32" s="1263"/>
      <c r="Y32" s="3443" t="s">
        <v>1696</v>
      </c>
      <c r="Z32" s="1262" t="str">
        <f t="shared" si="12"/>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41"/>
      <c r="Q33" s="530" t="str">
        <f t="shared" si="8"/>
        <v>项目建筑规模</v>
      </c>
      <c r="R33" s="668" t="s">
        <v>14</v>
      </c>
      <c r="S33" s="669" t="e">
        <f t="shared" si="9"/>
        <v>#N/A</v>
      </c>
      <c r="T33" s="668" t="s">
        <v>14</v>
      </c>
      <c r="U33" s="669" t="e">
        <f t="shared" si="10"/>
        <v>#N/A</v>
      </c>
      <c r="V33" s="668" t="s">
        <v>14</v>
      </c>
      <c r="W33" s="669" t="e">
        <f t="shared" si="11"/>
        <v>#N/A</v>
      </c>
      <c r="X33" s="670"/>
      <c r="Y33" s="3443"/>
      <c r="Z33" s="671" t="str">
        <f t="shared" si="12"/>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41"/>
      <c r="Q34" s="1261" t="str">
        <f t="shared" si="8"/>
        <v>建筑结构</v>
      </c>
      <c r="R34" s="666" t="s">
        <v>14</v>
      </c>
      <c r="S34" s="667">
        <f t="shared" si="9"/>
        <v>100</v>
      </c>
      <c r="T34" s="666" t="s">
        <v>14</v>
      </c>
      <c r="U34" s="667">
        <f t="shared" si="10"/>
        <v>100</v>
      </c>
      <c r="V34" s="666" t="s">
        <v>14</v>
      </c>
      <c r="W34" s="667">
        <f t="shared" si="11"/>
        <v>100</v>
      </c>
      <c r="X34" s="1263"/>
      <c r="Y34" s="3443"/>
      <c r="Z34" s="1262" t="str">
        <f t="shared" si="12"/>
        <v>建筑结构</v>
      </c>
      <c r="AA34" s="1262">
        <f t="shared" si="3"/>
        <v>1</v>
      </c>
      <c r="AB34" s="1262">
        <f t="shared" si="4"/>
        <v>1</v>
      </c>
      <c r="AC34" s="1262">
        <f t="shared" si="5"/>
        <v>1</v>
      </c>
    </row>
    <row r="35" spans="1:29" ht="15">
      <c r="A35" s="408"/>
      <c r="B35" s="363" t="s">
        <v>1782</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7"/>
      <c r="M35" s="2482"/>
      <c r="N35" s="2482"/>
      <c r="O35" s="2482"/>
      <c r="P35" s="3441"/>
      <c r="Q35" s="1261" t="str">
        <f t="shared" si="8"/>
        <v>公共部分装修</v>
      </c>
      <c r="R35" s="666" t="s">
        <v>14</v>
      </c>
      <c r="S35" s="667">
        <f t="shared" si="9"/>
        <v>100</v>
      </c>
      <c r="T35" s="666" t="s">
        <v>14</v>
      </c>
      <c r="U35" s="667">
        <f t="shared" si="10"/>
        <v>100</v>
      </c>
      <c r="V35" s="666" t="s">
        <v>14</v>
      </c>
      <c r="W35" s="667">
        <f t="shared" si="11"/>
        <v>100</v>
      </c>
      <c r="X35" s="1263"/>
      <c r="Y35" s="3443"/>
      <c r="Z35" s="1262" t="str">
        <f t="shared" si="12"/>
        <v>公共部分装修</v>
      </c>
      <c r="AA35" s="1262">
        <f t="shared" si="3"/>
        <v>1</v>
      </c>
      <c r="AB35" s="1262">
        <f t="shared" si="4"/>
        <v>1</v>
      </c>
      <c r="AC35" s="1262">
        <f t="shared" si="5"/>
        <v>1</v>
      </c>
    </row>
    <row r="36" spans="1:29" ht="15">
      <c r="A36" s="408"/>
      <c r="B36" s="363" t="s">
        <v>1783</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41"/>
      <c r="Q36" s="1261" t="str">
        <f t="shared" si="8"/>
        <v>成新度</v>
      </c>
      <c r="R36" s="666" t="s">
        <v>14</v>
      </c>
      <c r="S36" s="667" t="e">
        <f t="shared" si="9"/>
        <v>#N/A</v>
      </c>
      <c r="T36" s="666" t="s">
        <v>14</v>
      </c>
      <c r="U36" s="667" t="e">
        <f t="shared" si="10"/>
        <v>#N/A</v>
      </c>
      <c r="V36" s="666" t="s">
        <v>14</v>
      </c>
      <c r="W36" s="667" t="e">
        <f t="shared" si="11"/>
        <v>#N/A</v>
      </c>
      <c r="X36" s="1263"/>
      <c r="Y36" s="3443"/>
      <c r="Z36" s="1262" t="str">
        <f t="shared" si="12"/>
        <v>成新度</v>
      </c>
      <c r="AA36" s="1262" t="e">
        <f t="shared" si="3"/>
        <v>#N/A</v>
      </c>
      <c r="AB36" s="1262" t="e">
        <f t="shared" si="4"/>
        <v>#N/A</v>
      </c>
      <c r="AC36" s="1262" t="e">
        <f t="shared" si="5"/>
        <v>#N/A</v>
      </c>
    </row>
    <row r="37" spans="1:29" s="101" customFormat="1" ht="15">
      <c r="A37" s="409"/>
      <c r="B37" s="363" t="s">
        <v>1784</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3"/>
      <c r="M37" s="2434"/>
      <c r="N37" s="2434"/>
      <c r="O37" s="2434"/>
      <c r="P37" s="3441"/>
      <c r="Q37" s="529" t="str">
        <f t="shared" si="8"/>
        <v>市政基础设施</v>
      </c>
      <c r="R37" s="663" t="s">
        <v>14</v>
      </c>
      <c r="S37" s="664">
        <f t="shared" si="9"/>
        <v>100</v>
      </c>
      <c r="T37" s="663" t="s">
        <v>14</v>
      </c>
      <c r="U37" s="664">
        <f t="shared" si="10"/>
        <v>100</v>
      </c>
      <c r="V37" s="663" t="s">
        <v>14</v>
      </c>
      <c r="W37" s="664">
        <f t="shared" si="11"/>
        <v>100</v>
      </c>
      <c r="X37" s="665"/>
      <c r="Y37" s="3443"/>
      <c r="Z37" s="50" t="str">
        <f t="shared" si="12"/>
        <v>市政基础设施</v>
      </c>
      <c r="AA37" s="50">
        <f t="shared" si="3"/>
        <v>1</v>
      </c>
      <c r="AB37" s="50">
        <f t="shared" si="4"/>
        <v>1</v>
      </c>
      <c r="AC37" s="50">
        <f t="shared" si="5"/>
        <v>1</v>
      </c>
    </row>
    <row r="38" spans="1:29" ht="15">
      <c r="A38" s="408"/>
      <c r="B38" s="363" t="s">
        <v>1785</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7"/>
      <c r="M38" s="2482"/>
      <c r="N38" s="2482"/>
      <c r="O38" s="2482"/>
      <c r="P38" s="3441" t="s">
        <v>1696</v>
      </c>
      <c r="Q38" s="1261" t="str">
        <f t="shared" si="8"/>
        <v>业态</v>
      </c>
      <c r="R38" s="666" t="s">
        <v>14</v>
      </c>
      <c r="S38" s="667">
        <f t="shared" si="9"/>
        <v>100</v>
      </c>
      <c r="T38" s="666" t="s">
        <v>14</v>
      </c>
      <c r="U38" s="667">
        <f t="shared" si="10"/>
        <v>100</v>
      </c>
      <c r="V38" s="666" t="s">
        <v>14</v>
      </c>
      <c r="W38" s="667">
        <f t="shared" si="11"/>
        <v>100</v>
      </c>
      <c r="X38" s="1263"/>
      <c r="Y38" s="3443" t="s">
        <v>1696</v>
      </c>
      <c r="Z38" s="1262" t="str">
        <f t="shared" si="12"/>
        <v>业态</v>
      </c>
      <c r="AA38" s="1262">
        <f t="shared" si="3"/>
        <v>1</v>
      </c>
      <c r="AB38" s="1262">
        <f t="shared" si="4"/>
        <v>1</v>
      </c>
      <c r="AC38" s="1262">
        <f t="shared" si="5"/>
        <v>1</v>
      </c>
    </row>
    <row r="39" spans="1:29" ht="15">
      <c r="A39" s="408"/>
      <c r="B39" s="363" t="s">
        <v>1786</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7"/>
      <c r="M39" s="2482"/>
      <c r="N39" s="2482"/>
      <c r="O39" s="2482"/>
      <c r="P39" s="3441"/>
      <c r="Q39" s="1261" t="str">
        <f t="shared" si="8"/>
        <v>层高</v>
      </c>
      <c r="R39" s="666" t="s">
        <v>14</v>
      </c>
      <c r="S39" s="667">
        <f t="shared" si="9"/>
        <v>100</v>
      </c>
      <c r="T39" s="666" t="s">
        <v>14</v>
      </c>
      <c r="U39" s="667">
        <f t="shared" si="10"/>
        <v>100</v>
      </c>
      <c r="V39" s="666" t="s">
        <v>14</v>
      </c>
      <c r="W39" s="667">
        <f t="shared" si="11"/>
        <v>100</v>
      </c>
      <c r="X39" s="1263"/>
      <c r="Y39" s="3443"/>
      <c r="Z39" s="1262" t="str">
        <f t="shared" si="12"/>
        <v>层高</v>
      </c>
      <c r="AA39" s="1262">
        <f t="shared" si="3"/>
        <v>1</v>
      </c>
      <c r="AB39" s="1262">
        <f t="shared" si="4"/>
        <v>1</v>
      </c>
      <c r="AC39" s="1262">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41"/>
      <c r="Q40" s="1261" t="str">
        <f t="shared" si="8"/>
        <v>单套建筑面积</v>
      </c>
      <c r="R40" s="666" t="s">
        <v>14</v>
      </c>
      <c r="S40" s="667">
        <f t="shared" si="9"/>
        <v>100</v>
      </c>
      <c r="T40" s="666" t="s">
        <v>14</v>
      </c>
      <c r="U40" s="667">
        <f t="shared" si="10"/>
        <v>100</v>
      </c>
      <c r="V40" s="666" t="s">
        <v>14</v>
      </c>
      <c r="W40" s="667">
        <f t="shared" si="11"/>
        <v>100</v>
      </c>
      <c r="X40" s="1263"/>
      <c r="Y40" s="3443"/>
      <c r="Z40" s="1262" t="str">
        <f t="shared" si="12"/>
        <v>单套建筑面积</v>
      </c>
      <c r="AA40" s="1262">
        <f t="shared" si="3"/>
        <v>1</v>
      </c>
      <c r="AB40" s="1262">
        <f t="shared" si="4"/>
        <v>1</v>
      </c>
      <c r="AC40" s="1262">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41"/>
      <c r="Q41" s="530" t="str">
        <f t="shared" si="8"/>
        <v>进深比</v>
      </c>
      <c r="R41" s="668" t="s">
        <v>14</v>
      </c>
      <c r="S41" s="669">
        <f t="shared" si="9"/>
        <v>100</v>
      </c>
      <c r="T41" s="668" t="s">
        <v>14</v>
      </c>
      <c r="U41" s="669">
        <f t="shared" si="10"/>
        <v>100</v>
      </c>
      <c r="V41" s="668" t="s">
        <v>14</v>
      </c>
      <c r="W41" s="669">
        <f t="shared" si="11"/>
        <v>100</v>
      </c>
      <c r="X41" s="670"/>
      <c r="Y41" s="3443"/>
      <c r="Z41" s="671" t="str">
        <f t="shared" si="12"/>
        <v>进深比</v>
      </c>
      <c r="AA41" s="1262">
        <f t="shared" si="3"/>
        <v>1</v>
      </c>
      <c r="AB41" s="1262">
        <f t="shared" si="4"/>
        <v>1</v>
      </c>
      <c r="AC41" s="1262">
        <f t="shared" si="5"/>
        <v>1</v>
      </c>
    </row>
    <row r="42" spans="1:29" ht="15">
      <c r="A42" s="408"/>
      <c r="B42" s="363" t="s">
        <v>1789</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7"/>
      <c r="M42" s="2482"/>
      <c r="N42" s="2482"/>
      <c r="O42" s="2482"/>
      <c r="P42" s="3441"/>
      <c r="Q42" s="1261" t="str">
        <f t="shared" si="8"/>
        <v>内部装修</v>
      </c>
      <c r="R42" s="666" t="s">
        <v>14</v>
      </c>
      <c r="S42" s="667">
        <f t="shared" si="9"/>
        <v>100</v>
      </c>
      <c r="T42" s="666" t="s">
        <v>14</v>
      </c>
      <c r="U42" s="667">
        <f t="shared" si="10"/>
        <v>100</v>
      </c>
      <c r="V42" s="666" t="s">
        <v>14</v>
      </c>
      <c r="W42" s="667">
        <f t="shared" si="11"/>
        <v>100</v>
      </c>
      <c r="X42" s="1263"/>
      <c r="Y42" s="3443"/>
      <c r="Z42" s="1262" t="str">
        <f t="shared" si="12"/>
        <v>内部装修</v>
      </c>
      <c r="AA42" s="1262">
        <f t="shared" si="3"/>
        <v>1</v>
      </c>
      <c r="AB42" s="1262">
        <f t="shared" si="4"/>
        <v>1</v>
      </c>
      <c r="AC42" s="1262">
        <f t="shared" si="5"/>
        <v>1</v>
      </c>
    </row>
    <row r="43" spans="1:29" ht="15">
      <c r="A43" s="408"/>
      <c r="B43" s="363" t="s">
        <v>1705</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7"/>
      <c r="M43" s="2482"/>
      <c r="N43" s="2482"/>
      <c r="O43" s="2482"/>
      <c r="P43" s="3441"/>
      <c r="Q43" s="1261" t="str">
        <f t="shared" si="8"/>
        <v>内部装修维护情况</v>
      </c>
      <c r="R43" s="666" t="s">
        <v>14</v>
      </c>
      <c r="S43" s="667">
        <f t="shared" si="9"/>
        <v>100</v>
      </c>
      <c r="T43" s="666" t="s">
        <v>14</v>
      </c>
      <c r="U43" s="667">
        <f t="shared" si="10"/>
        <v>100</v>
      </c>
      <c r="V43" s="666" t="s">
        <v>14</v>
      </c>
      <c r="W43" s="667">
        <f t="shared" si="11"/>
        <v>100</v>
      </c>
      <c r="X43" s="1263"/>
      <c r="Y43" s="3443"/>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441"/>
      <c r="Q44" s="529">
        <f t="shared" si="8"/>
        <v>111</v>
      </c>
      <c r="R44" s="663" t="s">
        <v>14</v>
      </c>
      <c r="S44" s="664">
        <f t="shared" si="9"/>
        <v>100</v>
      </c>
      <c r="T44" s="663" t="s">
        <v>14</v>
      </c>
      <c r="U44" s="664">
        <f t="shared" si="10"/>
        <v>100</v>
      </c>
      <c r="V44" s="663" t="s">
        <v>14</v>
      </c>
      <c r="W44" s="664">
        <f t="shared" si="11"/>
        <v>100</v>
      </c>
      <c r="X44" s="665"/>
      <c r="Y44" s="3443"/>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41"/>
      <c r="Q45" s="1261">
        <f t="shared" si="8"/>
        <v>111</v>
      </c>
      <c r="R45" s="666" t="s">
        <v>14</v>
      </c>
      <c r="S45" s="667">
        <f t="shared" si="9"/>
        <v>100</v>
      </c>
      <c r="T45" s="666" t="s">
        <v>14</v>
      </c>
      <c r="U45" s="667">
        <f t="shared" si="10"/>
        <v>100</v>
      </c>
      <c r="V45" s="666" t="s">
        <v>14</v>
      </c>
      <c r="W45" s="667">
        <f t="shared" si="11"/>
        <v>100</v>
      </c>
      <c r="X45" s="1263"/>
      <c r="Y45" s="3443"/>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42"/>
      <c r="Q46" s="1261">
        <f t="shared" si="8"/>
        <v>111</v>
      </c>
      <c r="R46" s="666" t="s">
        <v>14</v>
      </c>
      <c r="S46" s="667">
        <f t="shared" si="9"/>
        <v>100</v>
      </c>
      <c r="T46" s="666" t="s">
        <v>14</v>
      </c>
      <c r="U46" s="667">
        <f t="shared" si="10"/>
        <v>100</v>
      </c>
      <c r="V46" s="666" t="s">
        <v>14</v>
      </c>
      <c r="W46" s="667">
        <f t="shared" si="11"/>
        <v>100</v>
      </c>
      <c r="X46" s="1263"/>
      <c r="Y46" s="3444"/>
      <c r="Z46" s="1262">
        <f t="shared" si="12"/>
        <v>111</v>
      </c>
      <c r="AA46" s="1262">
        <f t="shared" si="3"/>
        <v>1</v>
      </c>
      <c r="AB46" s="1262">
        <f t="shared" si="4"/>
        <v>1</v>
      </c>
      <c r="AC46" s="1262">
        <f t="shared" si="5"/>
        <v>1</v>
      </c>
    </row>
    <row r="47" spans="1:29" ht="15">
      <c r="A47" s="415" t="s">
        <v>1706</v>
      </c>
      <c r="B47" s="416"/>
      <c r="C47" s="1080" t="s">
        <v>0</v>
      </c>
      <c r="D47" s="417"/>
      <c r="E47" s="418"/>
      <c r="F47" s="419"/>
      <c r="G47" s="420"/>
      <c r="H47" s="421"/>
      <c r="I47" s="418"/>
      <c r="J47" s="421"/>
      <c r="K47" s="673"/>
      <c r="L47" s="2489"/>
      <c r="M47" s="2482"/>
      <c r="N47" s="2482"/>
      <c r="O47" s="2482"/>
      <c r="P47" s="3437" t="str">
        <f>A47</f>
        <v>成交单价（元/平方米）</v>
      </c>
      <c r="Q47" s="3437"/>
      <c r="R47" s="3432">
        <f>E47</f>
        <v>0</v>
      </c>
      <c r="S47" s="3432"/>
      <c r="T47" s="3432">
        <f>G47</f>
        <v>0</v>
      </c>
      <c r="U47" s="3432"/>
      <c r="V47" s="3432">
        <f>I47</f>
        <v>0</v>
      </c>
      <c r="W47" s="3432"/>
      <c r="X47" s="384"/>
      <c r="Y47" s="672"/>
      <c r="Z47" s="384"/>
      <c r="AA47" s="384"/>
      <c r="AB47" s="384"/>
      <c r="AC47" s="384"/>
    </row>
    <row r="48" spans="1:29" ht="15.75" thickBot="1">
      <c r="A48" s="422" t="s">
        <v>1790</v>
      </c>
      <c r="B48" s="423"/>
      <c r="C48" s="1081" t="e">
        <f>R49</f>
        <v>#DIV/0!</v>
      </c>
      <c r="D48" s="2136" t="s">
        <v>2135</v>
      </c>
      <c r="E48" s="1082" t="e">
        <f>R48</f>
        <v>#DIV/0!</v>
      </c>
      <c r="F48" s="2137"/>
      <c r="G48" s="1081" t="e">
        <f>T48</f>
        <v>#DIV/0!</v>
      </c>
      <c r="H48" s="2137"/>
      <c r="I48" s="1082" t="e">
        <f>V48</f>
        <v>#DIV/0!</v>
      </c>
      <c r="J48" s="2137"/>
      <c r="K48" s="2139">
        <f>F48+H48+J48</f>
        <v>0</v>
      </c>
      <c r="L48" s="2489"/>
      <c r="M48" s="2482"/>
      <c r="N48" s="2482"/>
      <c r="O48" s="2482"/>
      <c r="P48" s="3437" t="str">
        <f>A48</f>
        <v>比较价值（元/平方米）</v>
      </c>
      <c r="Q48" s="3437"/>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384"/>
      <c r="Y48" s="384"/>
      <c r="Z48" s="384"/>
      <c r="AA48" s="384"/>
      <c r="AB48" s="384"/>
      <c r="AC48" s="384"/>
    </row>
    <row r="49" spans="1:29" ht="15.75" thickBot="1">
      <c r="A49" s="426" t="s">
        <v>1791</v>
      </c>
      <c r="B49" s="427"/>
      <c r="C49" s="350" t="e">
        <f>R49</f>
        <v>#DIV/0!</v>
      </c>
      <c r="D49" s="350"/>
      <c r="E49" s="350"/>
      <c r="F49" s="350"/>
      <c r="G49" s="350"/>
      <c r="H49" s="350"/>
      <c r="I49" s="350"/>
      <c r="J49" s="350"/>
      <c r="K49" s="674"/>
      <c r="L49" s="2489"/>
      <c r="M49" s="2482"/>
      <c r="N49" s="2482"/>
      <c r="O49" s="2482"/>
      <c r="P49" s="3434" t="str">
        <f>A49</f>
        <v>估价对象XX用房的比较价值（楼面单价，元/平方米）</v>
      </c>
      <c r="Q49" s="3435"/>
      <c r="R49" s="3436" t="e">
        <f>IF(F1="售价",ROUND(IF(D48="简单平均",AVERAGE(R48:V48),R48*F48+T48*H48+V48*J48),0),ROUND(IF(D48="简单平均",AVERAGE(R48:V48),R48*F48+T48*H48+V48*J48),1))</f>
        <v>#DIV/0!</v>
      </c>
      <c r="S49" s="3436"/>
      <c r="T49" s="3436"/>
      <c r="U49" s="3436"/>
      <c r="V49" s="3436"/>
      <c r="W49" s="3436"/>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1792</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1793</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1794</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1795</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2024-10</v>
      </c>
      <c r="D58" s="1102">
        <f>EDATE(C58,-1)</f>
        <v>45536</v>
      </c>
      <c r="E58" s="1102">
        <f t="shared" ref="E58:N58" si="13">EDATE(D58,-1)</f>
        <v>45505</v>
      </c>
      <c r="F58" s="1102">
        <f t="shared" si="13"/>
        <v>45474</v>
      </c>
      <c r="G58" s="1102">
        <f t="shared" si="13"/>
        <v>45444</v>
      </c>
      <c r="H58" s="1102">
        <f t="shared" si="13"/>
        <v>45413</v>
      </c>
      <c r="I58" s="1102">
        <f t="shared" si="13"/>
        <v>45383</v>
      </c>
      <c r="J58" s="1102">
        <f t="shared" si="13"/>
        <v>45352</v>
      </c>
      <c r="K58" s="1102">
        <f t="shared" si="13"/>
        <v>45323</v>
      </c>
      <c r="L58" s="1102">
        <f t="shared" si="13"/>
        <v>45292</v>
      </c>
      <c r="M58" s="1102">
        <f t="shared" si="13"/>
        <v>45261</v>
      </c>
      <c r="N58" s="1102">
        <f t="shared" si="13"/>
        <v>45231</v>
      </c>
      <c r="O58" s="1102">
        <f>EDATE(N58,-1)</f>
        <v>45200</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1714</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1773</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1717</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1718</v>
      </c>
      <c r="C76" s="503" t="s">
        <v>1719</v>
      </c>
      <c r="D76" s="503" t="s">
        <v>1720</v>
      </c>
      <c r="E76" s="503" t="s">
        <v>1721</v>
      </c>
      <c r="F76" s="503" t="s">
        <v>1722</v>
      </c>
      <c r="G76" s="503" t="s">
        <v>1723</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1724</v>
      </c>
      <c r="C78" s="508" t="s">
        <v>1719</v>
      </c>
      <c r="D78" s="508" t="s">
        <v>1720</v>
      </c>
      <c r="E78" s="508" t="s">
        <v>1721</v>
      </c>
      <c r="F78" s="508" t="s">
        <v>1722</v>
      </c>
      <c r="G78" s="508" t="s">
        <v>1723</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1725</v>
      </c>
      <c r="C80" s="508" t="s">
        <v>1719</v>
      </c>
      <c r="D80" s="508" t="s">
        <v>1720</v>
      </c>
      <c r="E80" s="508" t="s">
        <v>1721</v>
      </c>
      <c r="F80" s="508" t="s">
        <v>1722</v>
      </c>
      <c r="G80" s="508" t="s">
        <v>1723</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1776</v>
      </c>
      <c r="C82" s="580" t="s">
        <v>1796</v>
      </c>
      <c r="D82" s="580" t="s">
        <v>1797</v>
      </c>
      <c r="E82" s="580" t="s">
        <v>1798</v>
      </c>
      <c r="F82" s="580" t="s">
        <v>1799</v>
      </c>
      <c r="G82" s="580" t="s">
        <v>1800</v>
      </c>
      <c r="H82" s="469"/>
      <c r="I82" s="469"/>
      <c r="J82" s="469"/>
      <c r="K82" s="469"/>
      <c r="L82" s="469"/>
      <c r="M82" s="1062"/>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1731</v>
      </c>
      <c r="C84" s="508" t="s">
        <v>1719</v>
      </c>
      <c r="D84" s="508" t="s">
        <v>1720</v>
      </c>
      <c r="E84" s="508" t="s">
        <v>1721</v>
      </c>
      <c r="F84" s="508" t="s">
        <v>1722</v>
      </c>
      <c r="G84" s="508" t="s">
        <v>1723</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1801</v>
      </c>
      <c r="C86" s="484"/>
      <c r="D86" s="484"/>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484"/>
      <c r="D88" s="484"/>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c r="D89" s="466"/>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1802</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1735</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1736</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1737</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1739</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1803</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1804</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1805</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1806</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1741</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1742</v>
      </c>
      <c r="C124" s="508" t="s">
        <v>1719</v>
      </c>
      <c r="D124" s="508" t="s">
        <v>1720</v>
      </c>
      <c r="E124" s="508" t="s">
        <v>1721</v>
      </c>
      <c r="F124" s="508" t="s">
        <v>1722</v>
      </c>
      <c r="G124" s="508" t="s">
        <v>1723</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1807</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1765</v>
      </c>
      <c r="D3" s="342">
        <f>IF(D1="",'数据-汇总表'!E3,SUMIF('数据-汇总表'!$C19:$C33,D1,'数据-汇总表'!$E19:$E33))</f>
        <v>141.37</v>
      </c>
      <c r="E3" s="1800"/>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1766</v>
      </c>
      <c r="B4" s="345"/>
      <c r="C4" s="3420" t="s">
        <v>1767</v>
      </c>
      <c r="D4" s="3421"/>
      <c r="E4" s="3422" t="s">
        <v>1768</v>
      </c>
      <c r="F4" s="3423"/>
      <c r="G4" s="3420" t="s">
        <v>1769</v>
      </c>
      <c r="H4" s="3421"/>
      <c r="I4" s="3420" t="s">
        <v>1770</v>
      </c>
      <c r="J4" s="3421"/>
      <c r="K4" s="536" t="s">
        <v>1771</v>
      </c>
      <c r="L4" s="2481"/>
      <c r="M4" s="2482"/>
      <c r="N4" s="2482"/>
      <c r="O4" s="2482"/>
      <c r="P4" s="3454" t="s">
        <v>1772</v>
      </c>
      <c r="Q4" s="3455"/>
      <c r="R4" s="3449" t="s">
        <v>1768</v>
      </c>
      <c r="S4" s="3450"/>
      <c r="T4" s="3449" t="s">
        <v>1769</v>
      </c>
      <c r="U4" s="3450"/>
      <c r="V4" s="3458" t="s">
        <v>1770</v>
      </c>
      <c r="W4" s="3458"/>
      <c r="X4" s="1804"/>
      <c r="Y4" s="3449" t="s">
        <v>1772</v>
      </c>
      <c r="Z4" s="3450"/>
      <c r="AA4" s="3448" t="s">
        <v>1768</v>
      </c>
      <c r="AB4" s="3448" t="s">
        <v>1769</v>
      </c>
      <c r="AC4" s="3451" t="s">
        <v>1770</v>
      </c>
    </row>
    <row r="5" spans="1:29" ht="15">
      <c r="A5" s="347"/>
      <c r="B5" s="348"/>
      <c r="C5" s="3416" t="s">
        <v>1673</v>
      </c>
      <c r="D5" s="3413"/>
      <c r="E5" s="3447" t="s">
        <v>1674</v>
      </c>
      <c r="F5" s="3411"/>
      <c r="G5" s="3416" t="s">
        <v>1675</v>
      </c>
      <c r="H5" s="3413"/>
      <c r="I5" s="3416" t="s">
        <v>1676</v>
      </c>
      <c r="J5" s="3413"/>
      <c r="K5" s="536"/>
      <c r="L5" s="2481"/>
      <c r="M5" s="2482"/>
      <c r="N5" s="2482"/>
      <c r="O5" s="2482"/>
      <c r="P5" s="3456"/>
      <c r="Q5" s="3427"/>
      <c r="R5" s="3408"/>
      <c r="S5" s="3409"/>
      <c r="T5" s="3408"/>
      <c r="U5" s="3409"/>
      <c r="V5" s="3432"/>
      <c r="W5" s="3432"/>
      <c r="X5" s="1263"/>
      <c r="Y5" s="3408"/>
      <c r="Z5" s="3409"/>
      <c r="AA5" s="3402"/>
      <c r="AB5" s="3402"/>
      <c r="AC5" s="3452"/>
    </row>
    <row r="6" spans="1:29" ht="15.75" thickBot="1">
      <c r="A6" s="349"/>
      <c r="B6" s="350"/>
      <c r="C6" s="3414" t="s">
        <v>1677</v>
      </c>
      <c r="D6" s="3415"/>
      <c r="E6" s="3417" t="s">
        <v>1677</v>
      </c>
      <c r="F6" s="3418"/>
      <c r="G6" s="3414" t="s">
        <v>1677</v>
      </c>
      <c r="H6" s="3415"/>
      <c r="I6" s="3414" t="s">
        <v>1677</v>
      </c>
      <c r="J6" s="3415"/>
      <c r="K6" s="536" t="s">
        <v>1678</v>
      </c>
      <c r="L6" s="2481"/>
      <c r="M6" s="2482"/>
      <c r="N6" s="2482"/>
      <c r="O6" s="2482"/>
      <c r="P6" s="3457"/>
      <c r="Q6" s="3429"/>
      <c r="R6" s="3408"/>
      <c r="S6" s="3409"/>
      <c r="T6" s="3430"/>
      <c r="U6" s="3431"/>
      <c r="V6" s="3432"/>
      <c r="W6" s="3432"/>
      <c r="X6" s="1263"/>
      <c r="Y6" s="3430"/>
      <c r="Z6" s="3431"/>
      <c r="AA6" s="3403"/>
      <c r="AB6" s="3403"/>
      <c r="AC6" s="3453"/>
    </row>
    <row r="7" spans="1:29" s="101" customFormat="1" ht="15.75" thickBot="1">
      <c r="A7" s="351" t="s">
        <v>1679</v>
      </c>
      <c r="B7" s="352"/>
      <c r="C7" s="353">
        <f>'数据-取费表'!B2</f>
        <v>45583</v>
      </c>
      <c r="D7" s="354">
        <v>100</v>
      </c>
      <c r="E7" s="355"/>
      <c r="F7" s="356">
        <f>SUMIF(59:59,YEAR(E7)&amp;"-"&amp;MONTH(E7),60:60)</f>
        <v>0</v>
      </c>
      <c r="G7" s="355"/>
      <c r="H7" s="354">
        <f>SUMIF(59:59,YEAR(G7)&amp;"-"&amp;MONTH(G7),60:60)</f>
        <v>0</v>
      </c>
      <c r="I7" s="355"/>
      <c r="J7" s="354">
        <f>SUMIF(59:59,YEAR(I7)&amp;"-"&amp;MONTH(I7),60:60)</f>
        <v>0</v>
      </c>
      <c r="K7" s="38"/>
      <c r="L7" s="2483"/>
      <c r="M7" s="2434"/>
      <c r="N7" s="2434"/>
      <c r="O7" s="2434"/>
      <c r="P7" s="3459" t="s">
        <v>1680</v>
      </c>
      <c r="Q7" s="3433"/>
      <c r="R7" s="663" t="s">
        <v>14</v>
      </c>
      <c r="S7" s="664">
        <f t="shared" ref="S7:S15" si="0">F7</f>
        <v>0</v>
      </c>
      <c r="T7" s="663" t="s">
        <v>14</v>
      </c>
      <c r="U7" s="664">
        <f t="shared" ref="U7:U15" si="1">H7</f>
        <v>0</v>
      </c>
      <c r="V7" s="663" t="s">
        <v>14</v>
      </c>
      <c r="W7" s="664">
        <f t="shared" ref="W7:W15" si="2">J7</f>
        <v>0</v>
      </c>
      <c r="X7" s="665"/>
      <c r="Y7" s="3404" t="s">
        <v>1680</v>
      </c>
      <c r="Z7" s="3405"/>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459" t="s">
        <v>1683</v>
      </c>
      <c r="Q8" s="3405"/>
      <c r="R8" s="663" t="s">
        <v>14</v>
      </c>
      <c r="S8" s="664">
        <f t="shared" si="0"/>
        <v>100</v>
      </c>
      <c r="T8" s="663" t="s">
        <v>14</v>
      </c>
      <c r="U8" s="664">
        <f t="shared" si="1"/>
        <v>100</v>
      </c>
      <c r="V8" s="663" t="s">
        <v>14</v>
      </c>
      <c r="W8" s="664">
        <f t="shared" si="2"/>
        <v>100</v>
      </c>
      <c r="X8" s="665"/>
      <c r="Y8" s="3404" t="s">
        <v>1683</v>
      </c>
      <c r="Z8" s="3405"/>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3"/>
      <c r="M9" s="2434"/>
      <c r="N9" s="2434"/>
      <c r="O9" s="2434"/>
      <c r="P9" s="3419" t="s">
        <v>1686</v>
      </c>
      <c r="Q9" s="529" t="str">
        <f t="shared" ref="Q9:Q15" si="6">B9</f>
        <v>用途</v>
      </c>
      <c r="R9" s="663" t="s">
        <v>14</v>
      </c>
      <c r="S9" s="664">
        <f t="shared" si="0"/>
        <v>100</v>
      </c>
      <c r="T9" s="663" t="s">
        <v>14</v>
      </c>
      <c r="U9" s="664">
        <f t="shared" si="1"/>
        <v>100</v>
      </c>
      <c r="V9" s="663" t="s">
        <v>14</v>
      </c>
      <c r="W9" s="664">
        <f t="shared" si="2"/>
        <v>100</v>
      </c>
      <c r="X9" s="665"/>
      <c r="Y9" s="3348" t="s">
        <v>1687</v>
      </c>
      <c r="Z9" s="50" t="str">
        <f t="shared" ref="Z9:Z15" si="7">Q9</f>
        <v>用途</v>
      </c>
      <c r="AA9" s="50">
        <f t="shared" si="3"/>
        <v>1</v>
      </c>
      <c r="AB9" s="50">
        <f t="shared" si="4"/>
        <v>1</v>
      </c>
      <c r="AC9" s="801">
        <f t="shared" si="5"/>
        <v>1</v>
      </c>
    </row>
    <row r="10" spans="1:29" s="365" customFormat="1" ht="27">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4"/>
      <c r="M10" s="2485"/>
      <c r="N10" s="2485"/>
      <c r="O10" s="2485"/>
      <c r="P10" s="3419"/>
      <c r="Q10" s="529" t="str">
        <f t="shared" si="6"/>
        <v>土地使用年限（年）</v>
      </c>
      <c r="R10" s="663" t="s">
        <v>14</v>
      </c>
      <c r="S10" s="664">
        <f t="shared" si="0"/>
        <v>100</v>
      </c>
      <c r="T10" s="663" t="s">
        <v>14</v>
      </c>
      <c r="U10" s="664">
        <f t="shared" si="1"/>
        <v>100</v>
      </c>
      <c r="V10" s="663" t="s">
        <v>14</v>
      </c>
      <c r="W10" s="664">
        <f t="shared" si="2"/>
        <v>100</v>
      </c>
      <c r="X10" s="665"/>
      <c r="Y10" s="3348"/>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19"/>
      <c r="Q11" s="529" t="str">
        <f t="shared" si="6"/>
        <v>容积率</v>
      </c>
      <c r="R11" s="663" t="s">
        <v>14</v>
      </c>
      <c r="S11" s="664">
        <f t="shared" si="0"/>
        <v>100</v>
      </c>
      <c r="T11" s="663" t="s">
        <v>14</v>
      </c>
      <c r="U11" s="664">
        <f t="shared" si="1"/>
        <v>100</v>
      </c>
      <c r="V11" s="663" t="s">
        <v>14</v>
      </c>
      <c r="W11" s="664">
        <f t="shared" si="2"/>
        <v>100</v>
      </c>
      <c r="X11" s="665"/>
      <c r="Y11" s="3348"/>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419"/>
      <c r="Q12" s="529">
        <f t="shared" si="6"/>
        <v>111</v>
      </c>
      <c r="R12" s="663" t="s">
        <v>14</v>
      </c>
      <c r="S12" s="664">
        <f t="shared" si="0"/>
        <v>100</v>
      </c>
      <c r="T12" s="663" t="s">
        <v>14</v>
      </c>
      <c r="U12" s="664">
        <f t="shared" si="1"/>
        <v>100</v>
      </c>
      <c r="V12" s="663" t="s">
        <v>14</v>
      </c>
      <c r="W12" s="664">
        <f t="shared" si="2"/>
        <v>100</v>
      </c>
      <c r="X12" s="665"/>
      <c r="Y12" s="3348"/>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419"/>
      <c r="Q13" s="529">
        <f t="shared" si="6"/>
        <v>111</v>
      </c>
      <c r="R13" s="663" t="s">
        <v>14</v>
      </c>
      <c r="S13" s="664">
        <f t="shared" si="0"/>
        <v>100</v>
      </c>
      <c r="T13" s="663" t="s">
        <v>14</v>
      </c>
      <c r="U13" s="664">
        <f t="shared" si="1"/>
        <v>100</v>
      </c>
      <c r="V13" s="663" t="s">
        <v>14</v>
      </c>
      <c r="W13" s="664">
        <f t="shared" si="2"/>
        <v>100</v>
      </c>
      <c r="X13" s="665"/>
      <c r="Y13" s="3348"/>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7"/>
      <c r="M14" s="2482"/>
      <c r="N14" s="2482"/>
      <c r="O14" s="2482"/>
      <c r="P14" s="3419"/>
      <c r="Q14" s="529">
        <f t="shared" si="6"/>
        <v>111</v>
      </c>
      <c r="R14" s="663" t="s">
        <v>14</v>
      </c>
      <c r="S14" s="664">
        <f t="shared" si="0"/>
        <v>100</v>
      </c>
      <c r="T14" s="663" t="s">
        <v>14</v>
      </c>
      <c r="U14" s="664">
        <f t="shared" si="1"/>
        <v>100</v>
      </c>
      <c r="V14" s="663" t="s">
        <v>14</v>
      </c>
      <c r="W14" s="664">
        <f t="shared" si="2"/>
        <v>100</v>
      </c>
      <c r="X14" s="665"/>
      <c r="Y14" s="3348"/>
      <c r="Z14" s="50">
        <f t="shared" si="7"/>
        <v>111</v>
      </c>
      <c r="AA14" s="50">
        <f t="shared" si="3"/>
        <v>1</v>
      </c>
      <c r="AB14" s="50">
        <f t="shared" si="4"/>
        <v>1</v>
      </c>
      <c r="AC14" s="801">
        <f t="shared" si="5"/>
        <v>1</v>
      </c>
    </row>
    <row r="15" spans="1:29" ht="71.25">
      <c r="A15" s="378" t="s">
        <v>1690</v>
      </c>
      <c r="B15" s="553" t="s">
        <v>1808</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445" t="s">
        <v>1691</v>
      </c>
      <c r="Q15" s="1261" t="str">
        <f t="shared" si="6"/>
        <v>办公集聚程度</v>
      </c>
      <c r="R15" s="666" t="s">
        <v>14</v>
      </c>
      <c r="S15" s="667">
        <f t="shared" si="0"/>
        <v>100</v>
      </c>
      <c r="T15" s="666" t="s">
        <v>14</v>
      </c>
      <c r="U15" s="667">
        <f t="shared" si="1"/>
        <v>100</v>
      </c>
      <c r="V15" s="666" t="s">
        <v>14</v>
      </c>
      <c r="W15" s="667">
        <f t="shared" si="2"/>
        <v>100</v>
      </c>
      <c r="X15" s="1263"/>
      <c r="Y15" s="3438" t="s">
        <v>1691</v>
      </c>
      <c r="Z15" s="1262" t="str">
        <f t="shared" si="7"/>
        <v>办公集聚程度</v>
      </c>
      <c r="AA15" s="1262">
        <f t="shared" si="3"/>
        <v>1</v>
      </c>
      <c r="AB15" s="1262">
        <f t="shared" si="4"/>
        <v>1</v>
      </c>
      <c r="AC15" s="1807">
        <f t="shared" si="5"/>
        <v>1</v>
      </c>
    </row>
    <row r="16" spans="1:29" ht="15">
      <c r="A16" s="366"/>
      <c r="B16" s="554"/>
      <c r="C16" s="1755"/>
      <c r="D16" s="386"/>
      <c r="E16" s="385"/>
      <c r="F16" s="386"/>
      <c r="G16" s="1755"/>
      <c r="H16" s="388"/>
      <c r="I16" s="385"/>
      <c r="J16" s="386"/>
      <c r="K16" s="540"/>
      <c r="L16" s="2487"/>
      <c r="M16" s="2482"/>
      <c r="N16" s="2482"/>
      <c r="O16" s="2482"/>
      <c r="P16" s="3446"/>
      <c r="Q16" s="1261"/>
      <c r="R16" s="666"/>
      <c r="S16" s="667"/>
      <c r="T16" s="666"/>
      <c r="U16" s="667"/>
      <c r="V16" s="666"/>
      <c r="W16" s="667"/>
      <c r="X16" s="1263"/>
      <c r="Y16" s="3439"/>
      <c r="Z16" s="1262"/>
      <c r="AA16" s="1262">
        <v>1</v>
      </c>
      <c r="AB16" s="1262">
        <v>1</v>
      </c>
      <c r="AC16" s="1807">
        <v>1</v>
      </c>
    </row>
    <row r="17" spans="1:29" ht="99.75">
      <c r="A17" s="366"/>
      <c r="B17" s="555" t="s">
        <v>1259</v>
      </c>
      <c r="C17" s="1808" t="str">
        <f>估价对象房地状况!C6</f>
        <v>周边有301路、432路、530路、620路等多条公交线路及地铁17号线天通苑东站，综合评价交通便捷度较好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446"/>
      <c r="Q17" s="1261" t="str">
        <f>B17</f>
        <v>交通便捷度</v>
      </c>
      <c r="R17" s="666" t="s">
        <v>14</v>
      </c>
      <c r="S17" s="667">
        <f>F17</f>
        <v>100</v>
      </c>
      <c r="T17" s="666" t="s">
        <v>14</v>
      </c>
      <c r="U17" s="667">
        <f>H17</f>
        <v>100</v>
      </c>
      <c r="V17" s="666" t="s">
        <v>14</v>
      </c>
      <c r="W17" s="667">
        <f>J17</f>
        <v>100</v>
      </c>
      <c r="X17" s="1263"/>
      <c r="Y17" s="3439"/>
      <c r="Z17" s="1262" t="str">
        <f>Q17</f>
        <v>交通便捷度</v>
      </c>
      <c r="AA17" s="1262">
        <f t="shared" si="3"/>
        <v>1</v>
      </c>
      <c r="AB17" s="1262">
        <f t="shared" si="4"/>
        <v>1</v>
      </c>
      <c r="AC17" s="1807">
        <f t="shared" si="5"/>
        <v>1</v>
      </c>
    </row>
    <row r="18" spans="1:29" ht="15">
      <c r="A18" s="366"/>
      <c r="B18" s="400"/>
      <c r="C18" s="1809"/>
      <c r="D18" s="388"/>
      <c r="E18" s="1753"/>
      <c r="F18" s="388"/>
      <c r="G18" s="1754"/>
      <c r="H18" s="386"/>
      <c r="I18" s="1754"/>
      <c r="J18" s="386"/>
      <c r="K18" s="540"/>
      <c r="L18" s="2487"/>
      <c r="M18" s="2482"/>
      <c r="N18" s="2482"/>
      <c r="O18" s="2482"/>
      <c r="P18" s="3446"/>
      <c r="Q18" s="1261"/>
      <c r="R18" s="666"/>
      <c r="S18" s="667"/>
      <c r="T18" s="666"/>
      <c r="U18" s="667"/>
      <c r="V18" s="666"/>
      <c r="W18" s="667"/>
      <c r="X18" s="1263"/>
      <c r="Y18" s="3439"/>
      <c r="Z18" s="1262"/>
      <c r="AA18" s="1262">
        <v>1</v>
      </c>
      <c r="AB18" s="1262">
        <v>1</v>
      </c>
      <c r="AC18" s="1807">
        <v>1</v>
      </c>
    </row>
    <row r="19" spans="1:29" ht="256.5">
      <c r="A19" s="366"/>
      <c r="B19" s="555" t="s">
        <v>1809</v>
      </c>
      <c r="C19" s="1808" t="str">
        <f>估价对象房地状况!C7</f>
        <v>银行：中国农业银行、中国建设银行、中国邮政储蓄银行等金融机构；
医院：天通苑中医医院、天通苑东二区社区卫生服务站等医疗机构；
学校：北京市朝阳外国语学校(高中部)、天通苑小学、昌平区育树家幼儿园等教育机构；
商业：国泰百货(天通苑店)、龙德广场等商业设施；
综合评价公共服务设施齐备度较好。</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446"/>
      <c r="Q19" s="1261" t="str">
        <f>B19</f>
        <v>公共配套设施</v>
      </c>
      <c r="R19" s="666" t="s">
        <v>14</v>
      </c>
      <c r="S19" s="667">
        <f>F19</f>
        <v>100</v>
      </c>
      <c r="T19" s="666" t="s">
        <v>14</v>
      </c>
      <c r="U19" s="667">
        <f>H19</f>
        <v>100</v>
      </c>
      <c r="V19" s="666" t="s">
        <v>14</v>
      </c>
      <c r="W19" s="667">
        <f>J19</f>
        <v>100</v>
      </c>
      <c r="X19" s="1263"/>
      <c r="Y19" s="3439"/>
      <c r="Z19" s="1262" t="str">
        <f>Q19</f>
        <v>公共配套设施</v>
      </c>
      <c r="AA19" s="1262">
        <f t="shared" si="3"/>
        <v>1</v>
      </c>
      <c r="AB19" s="1262">
        <f t="shared" si="4"/>
        <v>1</v>
      </c>
      <c r="AC19" s="1807">
        <f t="shared" si="5"/>
        <v>1</v>
      </c>
    </row>
    <row r="20" spans="1:29" ht="15">
      <c r="A20" s="366"/>
      <c r="B20" s="400"/>
      <c r="C20" s="1755"/>
      <c r="D20" s="386"/>
      <c r="E20" s="1748"/>
      <c r="F20" s="386"/>
      <c r="G20" s="1749"/>
      <c r="H20" s="386"/>
      <c r="I20" s="1749"/>
      <c r="J20" s="386"/>
      <c r="K20" s="540"/>
      <c r="L20" s="2487"/>
      <c r="M20" s="2482"/>
      <c r="N20" s="2482"/>
      <c r="O20" s="2482"/>
      <c r="P20" s="3446"/>
      <c r="Q20" s="1261"/>
      <c r="R20" s="666"/>
      <c r="S20" s="667"/>
      <c r="T20" s="666"/>
      <c r="U20" s="667"/>
      <c r="V20" s="666"/>
      <c r="W20" s="667"/>
      <c r="X20" s="1263"/>
      <c r="Y20" s="3439"/>
      <c r="Z20" s="1262"/>
      <c r="AA20" s="1262">
        <v>1</v>
      </c>
      <c r="AB20" s="1262">
        <v>1</v>
      </c>
      <c r="AC20" s="1807">
        <v>1</v>
      </c>
    </row>
    <row r="21" spans="1:29" ht="28.5">
      <c r="A21" s="366"/>
      <c r="B21" s="556" t="s">
        <v>1810</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446"/>
      <c r="Q21" s="1261" t="str">
        <f>B21</f>
        <v>基础设施水平</v>
      </c>
      <c r="R21" s="666" t="s">
        <v>14</v>
      </c>
      <c r="S21" s="667">
        <f>F21</f>
        <v>100</v>
      </c>
      <c r="T21" s="666" t="s">
        <v>14</v>
      </c>
      <c r="U21" s="667">
        <f>H21</f>
        <v>100</v>
      </c>
      <c r="V21" s="666" t="s">
        <v>14</v>
      </c>
      <c r="W21" s="667">
        <f>J21</f>
        <v>100</v>
      </c>
      <c r="X21" s="1263"/>
      <c r="Y21" s="3439"/>
      <c r="Z21" s="1262" t="str">
        <f>Q21</f>
        <v>基础设施水平</v>
      </c>
      <c r="AA21" s="1262">
        <f>D21/F21</f>
        <v>1</v>
      </c>
      <c r="AB21" s="1262">
        <f>D21/H21</f>
        <v>1</v>
      </c>
      <c r="AC21" s="1807">
        <f>D21/J21</f>
        <v>1</v>
      </c>
    </row>
    <row r="22" spans="1:29" ht="15">
      <c r="A22" s="366"/>
      <c r="B22" s="556"/>
      <c r="C22" s="1809"/>
      <c r="D22" s="386"/>
      <c r="E22" s="385"/>
      <c r="F22" s="386"/>
      <c r="G22" s="1755"/>
      <c r="H22" s="386"/>
      <c r="I22" s="1755"/>
      <c r="J22" s="386"/>
      <c r="K22" s="1063"/>
      <c r="L22" s="2487"/>
      <c r="M22" s="2482"/>
      <c r="N22" s="2482"/>
      <c r="O22" s="2482"/>
      <c r="P22" s="3446"/>
      <c r="Q22" s="1261"/>
      <c r="R22" s="666"/>
      <c r="S22" s="667"/>
      <c r="T22" s="666"/>
      <c r="U22" s="667"/>
      <c r="V22" s="666"/>
      <c r="W22" s="667"/>
      <c r="X22" s="1263"/>
      <c r="Y22" s="3439"/>
      <c r="Z22" s="1262"/>
      <c r="AA22" s="1262">
        <v>1</v>
      </c>
      <c r="AB22" s="1262">
        <v>1</v>
      </c>
      <c r="AC22" s="1807">
        <v>1</v>
      </c>
    </row>
    <row r="23" spans="1:29" ht="128.25">
      <c r="A23" s="366"/>
      <c r="B23" s="555" t="s">
        <v>1811</v>
      </c>
      <c r="C23" s="1808" t="str">
        <f>估价对象房地状况!C9</f>
        <v>自然环境：清河营郊野公园、清河水系等自然景观；
人文环境：天通苑体育馆、天通苑文化艺术中心等人文场所；
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446"/>
      <c r="Q23" s="1261" t="str">
        <f>B23</f>
        <v>环境质量</v>
      </c>
      <c r="R23" s="666" t="s">
        <v>14</v>
      </c>
      <c r="S23" s="667">
        <f>F23</f>
        <v>100</v>
      </c>
      <c r="T23" s="666" t="s">
        <v>14</v>
      </c>
      <c r="U23" s="667">
        <f>H23</f>
        <v>100</v>
      </c>
      <c r="V23" s="666" t="s">
        <v>14</v>
      </c>
      <c r="W23" s="667">
        <f>J23</f>
        <v>100</v>
      </c>
      <c r="X23" s="1263"/>
      <c r="Y23" s="3439"/>
      <c r="Z23" s="1262" t="str">
        <f>Q23</f>
        <v>环境质量</v>
      </c>
      <c r="AA23" s="1262">
        <f t="shared" si="3"/>
        <v>1</v>
      </c>
      <c r="AB23" s="1262">
        <f t="shared" si="4"/>
        <v>1</v>
      </c>
      <c r="AC23" s="1807">
        <f t="shared" si="5"/>
        <v>1</v>
      </c>
    </row>
    <row r="24" spans="1:29" ht="15">
      <c r="A24" s="366"/>
      <c r="B24" s="556"/>
      <c r="C24" s="1755"/>
      <c r="D24" s="386"/>
      <c r="E24" s="1748"/>
      <c r="F24" s="386"/>
      <c r="G24" s="1749"/>
      <c r="H24" s="386"/>
      <c r="I24" s="1749"/>
      <c r="J24" s="386"/>
      <c r="K24" s="540"/>
      <c r="L24" s="2487"/>
      <c r="M24" s="2482"/>
      <c r="N24" s="2482"/>
      <c r="O24" s="2482"/>
      <c r="P24" s="3446"/>
      <c r="Q24" s="1261"/>
      <c r="R24" s="666"/>
      <c r="S24" s="667"/>
      <c r="T24" s="666"/>
      <c r="U24" s="667"/>
      <c r="V24" s="666"/>
      <c r="W24" s="667"/>
      <c r="X24" s="1263"/>
      <c r="Y24" s="3439"/>
      <c r="Z24" s="1262"/>
      <c r="AA24" s="1262">
        <v>1</v>
      </c>
      <c r="AB24" s="1262">
        <v>1</v>
      </c>
      <c r="AC24" s="1807">
        <v>1</v>
      </c>
    </row>
    <row r="25" spans="1:29" ht="27">
      <c r="A25" s="347"/>
      <c r="B25" s="555" t="s">
        <v>1812</v>
      </c>
      <c r="C25" s="1759"/>
      <c r="D25" s="373">
        <v>100</v>
      </c>
      <c r="E25" s="372"/>
      <c r="F25" s="373">
        <f>SUMIF(87:87,E26,88:88)-SUMIF(87:87,C26,88:88)+100</f>
        <v>100</v>
      </c>
      <c r="G25" s="1759"/>
      <c r="H25" s="373">
        <f>SUMIF(87:87,G26,88:88)-SUMIF(87:87,C26,88:88)+100</f>
        <v>100</v>
      </c>
      <c r="I25" s="372"/>
      <c r="J25" s="373">
        <f>SUMIF(87:87,I26,88:88)-SUMIF(87:87,C26,88:88)+100</f>
        <v>100</v>
      </c>
      <c r="K25" s="539"/>
      <c r="L25" s="2487"/>
      <c r="M25" s="2482"/>
      <c r="N25" s="2482"/>
      <c r="O25" s="2482"/>
      <c r="P25" s="3446"/>
      <c r="Q25" s="1261" t="str">
        <f>B25</f>
        <v>毗邻道路的类型与等级</v>
      </c>
      <c r="R25" s="666" t="s">
        <v>14</v>
      </c>
      <c r="S25" s="667">
        <f>F25</f>
        <v>100</v>
      </c>
      <c r="T25" s="666" t="s">
        <v>14</v>
      </c>
      <c r="U25" s="667">
        <f>H25</f>
        <v>100</v>
      </c>
      <c r="V25" s="666" t="s">
        <v>14</v>
      </c>
      <c r="W25" s="667">
        <f>J25</f>
        <v>100</v>
      </c>
      <c r="X25" s="1263"/>
      <c r="Y25" s="3439"/>
      <c r="Z25" s="1262" t="str">
        <f>Q25</f>
        <v>毗邻道路的类型与等级</v>
      </c>
      <c r="AA25" s="1262">
        <f t="shared" si="3"/>
        <v>1</v>
      </c>
      <c r="AB25" s="1262">
        <f t="shared" si="4"/>
        <v>1</v>
      </c>
      <c r="AC25" s="1807">
        <f t="shared" si="5"/>
        <v>1</v>
      </c>
    </row>
    <row r="26" spans="1:29" ht="15">
      <c r="A26" s="347"/>
      <c r="B26" s="400"/>
      <c r="C26" s="557"/>
      <c r="D26" s="373"/>
      <c r="E26" s="541"/>
      <c r="F26" s="373"/>
      <c r="G26" s="557"/>
      <c r="H26" s="373"/>
      <c r="I26" s="541"/>
      <c r="J26" s="373"/>
      <c r="K26" s="540"/>
      <c r="L26" s="2487"/>
      <c r="M26" s="2482"/>
      <c r="N26" s="2482"/>
      <c r="O26" s="2482"/>
      <c r="P26" s="3446"/>
      <c r="Q26" s="1261"/>
      <c r="R26" s="666"/>
      <c r="S26" s="667"/>
      <c r="T26" s="666"/>
      <c r="U26" s="667"/>
      <c r="V26" s="666"/>
      <c r="W26" s="667"/>
      <c r="X26" s="1263"/>
      <c r="Y26" s="3439"/>
      <c r="Z26" s="1262"/>
      <c r="AA26" s="1262">
        <v>1</v>
      </c>
      <c r="AB26" s="1262">
        <v>1</v>
      </c>
      <c r="AC26" s="1807">
        <v>1</v>
      </c>
    </row>
    <row r="27" spans="1:29" ht="15">
      <c r="A27" s="366"/>
      <c r="B27" s="400" t="s">
        <v>1780</v>
      </c>
      <c r="C27" s="557"/>
      <c r="D27" s="373">
        <v>100</v>
      </c>
      <c r="E27" s="541"/>
      <c r="F27" s="373">
        <f>SUMIF(89:89,E27,90:90)-SUMIF(89:89,C27,90:90)+100</f>
        <v>100</v>
      </c>
      <c r="G27" s="557"/>
      <c r="H27" s="373">
        <f>SUMIF(89:89,G27,90:90)-SUMIF(89:89,C27,90:90)+100</f>
        <v>100</v>
      </c>
      <c r="I27" s="541"/>
      <c r="J27" s="373">
        <f>SUMIF(89:89,I27,90:90)-SUMIF(89:89,C27,90:90)+100</f>
        <v>100</v>
      </c>
      <c r="K27" s="537"/>
      <c r="L27" s="2487"/>
      <c r="M27" s="2482"/>
      <c r="N27" s="2482"/>
      <c r="O27" s="2482"/>
      <c r="P27" s="3446"/>
      <c r="Q27" s="1261" t="str">
        <f t="shared" ref="Q27:Q47" si="8">B27</f>
        <v>楼层</v>
      </c>
      <c r="R27" s="666" t="s">
        <v>14</v>
      </c>
      <c r="S27" s="667">
        <f>F27</f>
        <v>100</v>
      </c>
      <c r="T27" s="666" t="s">
        <v>14</v>
      </c>
      <c r="U27" s="667">
        <f>H27</f>
        <v>100</v>
      </c>
      <c r="V27" s="666" t="s">
        <v>14</v>
      </c>
      <c r="W27" s="667">
        <f>J27</f>
        <v>100</v>
      </c>
      <c r="X27" s="1263"/>
      <c r="Y27" s="3439"/>
      <c r="Z27" s="1262" t="str">
        <f>Q27</f>
        <v>楼层</v>
      </c>
      <c r="AA27" s="1262">
        <f t="shared" si="3"/>
        <v>1</v>
      </c>
      <c r="AB27" s="1262">
        <f t="shared" si="4"/>
        <v>1</v>
      </c>
      <c r="AC27" s="1807">
        <f t="shared" si="5"/>
        <v>1</v>
      </c>
    </row>
    <row r="28" spans="1:29" s="101" customFormat="1" ht="15">
      <c r="A28" s="369"/>
      <c r="B28" s="555" t="s">
        <v>1813</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446"/>
      <c r="Q28" s="529" t="str">
        <f t="shared" si="8"/>
        <v>朝向</v>
      </c>
      <c r="R28" s="663" t="s">
        <v>14</v>
      </c>
      <c r="S28" s="664">
        <f>F28</f>
        <v>100</v>
      </c>
      <c r="T28" s="663" t="s">
        <v>14</v>
      </c>
      <c r="U28" s="664">
        <f>H28</f>
        <v>100</v>
      </c>
      <c r="V28" s="663" t="s">
        <v>14</v>
      </c>
      <c r="W28" s="664">
        <f>J28</f>
        <v>100</v>
      </c>
      <c r="X28" s="665"/>
      <c r="Y28" s="3439"/>
      <c r="Z28" s="50" t="str">
        <f>Q28</f>
        <v>朝向</v>
      </c>
      <c r="AA28" s="1262">
        <f>D28/F28</f>
        <v>1</v>
      </c>
      <c r="AB28" s="1262">
        <f>D28/H28</f>
        <v>1</v>
      </c>
      <c r="AC28" s="1807">
        <f>D28/J28</f>
        <v>1</v>
      </c>
    </row>
    <row r="29" spans="1:29" ht="15">
      <c r="A29" s="366"/>
      <c r="B29" s="1098">
        <v>111</v>
      </c>
      <c r="C29" s="1759"/>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446"/>
      <c r="Q29" s="1261">
        <f t="shared" si="8"/>
        <v>111</v>
      </c>
      <c r="R29" s="666" t="s">
        <v>14</v>
      </c>
      <c r="S29" s="667">
        <f t="shared" ref="S29:S47" si="9">F29</f>
        <v>100</v>
      </c>
      <c r="T29" s="666" t="s">
        <v>14</v>
      </c>
      <c r="U29" s="667">
        <f t="shared" ref="U29:U47" si="10">H29</f>
        <v>100</v>
      </c>
      <c r="V29" s="666" t="s">
        <v>14</v>
      </c>
      <c r="W29" s="667">
        <f t="shared" ref="W29:W47" si="11">J29</f>
        <v>100</v>
      </c>
      <c r="X29" s="1263"/>
      <c r="Y29" s="3439"/>
      <c r="Z29" s="1262">
        <f t="shared" ref="Z29:Z47" si="12">Q29</f>
        <v>111</v>
      </c>
      <c r="AA29" s="1262">
        <f t="shared" si="3"/>
        <v>1</v>
      </c>
      <c r="AB29" s="1262">
        <f t="shared" si="4"/>
        <v>1</v>
      </c>
      <c r="AC29" s="1807">
        <f t="shared" si="5"/>
        <v>1</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446"/>
      <c r="Q30" s="1261">
        <f t="shared" si="8"/>
        <v>111</v>
      </c>
      <c r="R30" s="666" t="s">
        <v>14</v>
      </c>
      <c r="S30" s="667">
        <f t="shared" si="9"/>
        <v>100</v>
      </c>
      <c r="T30" s="666" t="s">
        <v>14</v>
      </c>
      <c r="U30" s="667">
        <f t="shared" si="10"/>
        <v>100</v>
      </c>
      <c r="V30" s="666" t="s">
        <v>14</v>
      </c>
      <c r="W30" s="667">
        <f t="shared" si="11"/>
        <v>100</v>
      </c>
      <c r="X30" s="1263"/>
      <c r="Y30" s="3439"/>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446"/>
      <c r="Q31" s="1261">
        <f t="shared" si="8"/>
        <v>111</v>
      </c>
      <c r="R31" s="666" t="s">
        <v>14</v>
      </c>
      <c r="S31" s="667">
        <f t="shared" si="9"/>
        <v>100</v>
      </c>
      <c r="T31" s="666" t="s">
        <v>14</v>
      </c>
      <c r="U31" s="667">
        <f t="shared" si="10"/>
        <v>100</v>
      </c>
      <c r="V31" s="666" t="s">
        <v>14</v>
      </c>
      <c r="W31" s="667">
        <f t="shared" si="11"/>
        <v>100</v>
      </c>
      <c r="X31" s="1263"/>
      <c r="Y31" s="3439"/>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446"/>
      <c r="Q32" s="1261">
        <f t="shared" si="8"/>
        <v>111</v>
      </c>
      <c r="R32" s="666" t="s">
        <v>14</v>
      </c>
      <c r="S32" s="667">
        <f t="shared" si="9"/>
        <v>100</v>
      </c>
      <c r="T32" s="666" t="s">
        <v>14</v>
      </c>
      <c r="U32" s="667">
        <f t="shared" si="10"/>
        <v>100</v>
      </c>
      <c r="V32" s="666" t="s">
        <v>14</v>
      </c>
      <c r="W32" s="667">
        <f t="shared" si="11"/>
        <v>100</v>
      </c>
      <c r="X32" s="1263"/>
      <c r="Y32" s="3439"/>
      <c r="Z32" s="1262">
        <f t="shared" si="12"/>
        <v>111</v>
      </c>
      <c r="AA32" s="1262">
        <f t="shared" si="3"/>
        <v>1</v>
      </c>
      <c r="AB32" s="1262">
        <f t="shared" si="4"/>
        <v>1</v>
      </c>
      <c r="AC32" s="1807">
        <f t="shared" si="5"/>
        <v>1</v>
      </c>
    </row>
    <row r="33" spans="1:29" ht="15">
      <c r="A33" s="378" t="s">
        <v>1694</v>
      </c>
      <c r="B33" s="60" t="s">
        <v>1814</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7"/>
      <c r="M33" s="2482"/>
      <c r="N33" s="2482"/>
      <c r="O33" s="2482"/>
      <c r="P33" s="3440" t="s">
        <v>1696</v>
      </c>
      <c r="Q33" s="1261" t="str">
        <f t="shared" si="8"/>
        <v>建筑类型</v>
      </c>
      <c r="R33" s="666" t="s">
        <v>14</v>
      </c>
      <c r="S33" s="667">
        <f t="shared" si="9"/>
        <v>100</v>
      </c>
      <c r="T33" s="666" t="s">
        <v>14</v>
      </c>
      <c r="U33" s="667">
        <f t="shared" si="10"/>
        <v>100</v>
      </c>
      <c r="V33" s="666" t="s">
        <v>14</v>
      </c>
      <c r="W33" s="667">
        <f t="shared" si="11"/>
        <v>100</v>
      </c>
      <c r="X33" s="1263"/>
      <c r="Y33" s="3443" t="s">
        <v>1696</v>
      </c>
      <c r="Z33" s="1262" t="str">
        <f t="shared" si="12"/>
        <v>建筑类型</v>
      </c>
      <c r="AA33" s="1262">
        <f t="shared" si="3"/>
        <v>1</v>
      </c>
      <c r="AB33" s="1262">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441"/>
      <c r="Q34" s="530" t="str">
        <f t="shared" si="8"/>
        <v>项目建筑规模</v>
      </c>
      <c r="R34" s="668" t="s">
        <v>14</v>
      </c>
      <c r="S34" s="669" t="e">
        <f t="shared" si="9"/>
        <v>#N/A</v>
      </c>
      <c r="T34" s="668" t="s">
        <v>14</v>
      </c>
      <c r="U34" s="669" t="e">
        <f t="shared" si="10"/>
        <v>#N/A</v>
      </c>
      <c r="V34" s="668" t="s">
        <v>14</v>
      </c>
      <c r="W34" s="669" t="e">
        <f t="shared" si="11"/>
        <v>#N/A</v>
      </c>
      <c r="X34" s="670"/>
      <c r="Y34" s="3443"/>
      <c r="Z34" s="671" t="str">
        <f t="shared" si="12"/>
        <v>项目建筑规模</v>
      </c>
      <c r="AA34" s="1262" t="e">
        <f t="shared" si="3"/>
        <v>#N/A</v>
      </c>
      <c r="AB34" s="1262"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441"/>
      <c r="Q35" s="1261" t="str">
        <f t="shared" si="8"/>
        <v>建筑结构</v>
      </c>
      <c r="R35" s="666" t="s">
        <v>14</v>
      </c>
      <c r="S35" s="667">
        <f t="shared" si="9"/>
        <v>100</v>
      </c>
      <c r="T35" s="666" t="s">
        <v>14</v>
      </c>
      <c r="U35" s="667">
        <f t="shared" si="10"/>
        <v>100</v>
      </c>
      <c r="V35" s="666" t="s">
        <v>14</v>
      </c>
      <c r="W35" s="667">
        <f t="shared" si="11"/>
        <v>100</v>
      </c>
      <c r="X35" s="1263"/>
      <c r="Y35" s="3443"/>
      <c r="Z35" s="1262" t="str">
        <f t="shared" si="12"/>
        <v>建筑结构</v>
      </c>
      <c r="AA35" s="1262">
        <f t="shared" si="3"/>
        <v>1</v>
      </c>
      <c r="AB35" s="1262">
        <f t="shared" si="4"/>
        <v>1</v>
      </c>
      <c r="AC35" s="1807">
        <f t="shared" si="5"/>
        <v>1</v>
      </c>
    </row>
    <row r="36" spans="1:29" ht="15">
      <c r="A36" s="408"/>
      <c r="B36" s="363" t="s">
        <v>1782</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441"/>
      <c r="Q36" s="1261" t="str">
        <f t="shared" si="8"/>
        <v>公共部分装修</v>
      </c>
      <c r="R36" s="666" t="s">
        <v>14</v>
      </c>
      <c r="S36" s="667">
        <f t="shared" si="9"/>
        <v>100</v>
      </c>
      <c r="T36" s="666" t="s">
        <v>14</v>
      </c>
      <c r="U36" s="667">
        <f t="shared" si="10"/>
        <v>100</v>
      </c>
      <c r="V36" s="666" t="s">
        <v>14</v>
      </c>
      <c r="W36" s="667">
        <f t="shared" si="11"/>
        <v>100</v>
      </c>
      <c r="X36" s="1263"/>
      <c r="Y36" s="3443"/>
      <c r="Z36" s="1262" t="str">
        <f t="shared" si="12"/>
        <v>公共部分装修</v>
      </c>
      <c r="AA36" s="1262">
        <f t="shared" si="3"/>
        <v>1</v>
      </c>
      <c r="AB36" s="1262">
        <f t="shared" si="4"/>
        <v>1</v>
      </c>
      <c r="AC36" s="1807">
        <f t="shared" si="5"/>
        <v>1</v>
      </c>
    </row>
    <row r="37" spans="1:29" ht="15">
      <c r="A37" s="408"/>
      <c r="B37" s="363" t="s">
        <v>1783</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441"/>
      <c r="Q37" s="1261" t="str">
        <f t="shared" si="8"/>
        <v>成新度</v>
      </c>
      <c r="R37" s="666" t="s">
        <v>14</v>
      </c>
      <c r="S37" s="667" t="e">
        <f t="shared" si="9"/>
        <v>#N/A</v>
      </c>
      <c r="T37" s="666" t="s">
        <v>14</v>
      </c>
      <c r="U37" s="667" t="e">
        <f t="shared" si="10"/>
        <v>#N/A</v>
      </c>
      <c r="V37" s="666" t="s">
        <v>14</v>
      </c>
      <c r="W37" s="667" t="e">
        <f t="shared" si="11"/>
        <v>#N/A</v>
      </c>
      <c r="X37" s="1263"/>
      <c r="Y37" s="3443"/>
      <c r="Z37" s="1262" t="str">
        <f t="shared" si="12"/>
        <v>成新度</v>
      </c>
      <c r="AA37" s="1262" t="e">
        <f t="shared" si="3"/>
        <v>#N/A</v>
      </c>
      <c r="AB37" s="1262" t="e">
        <f t="shared" si="4"/>
        <v>#N/A</v>
      </c>
      <c r="AC37" s="1807" t="e">
        <f t="shared" si="5"/>
        <v>#N/A</v>
      </c>
    </row>
    <row r="38" spans="1:29" s="101"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441"/>
      <c r="Q38" s="529" t="str">
        <f t="shared" si="8"/>
        <v>写字楼等级</v>
      </c>
      <c r="R38" s="663" t="s">
        <v>14</v>
      </c>
      <c r="S38" s="664">
        <f t="shared" si="9"/>
        <v>100</v>
      </c>
      <c r="T38" s="663" t="s">
        <v>14</v>
      </c>
      <c r="U38" s="664">
        <f t="shared" si="10"/>
        <v>100</v>
      </c>
      <c r="V38" s="663" t="s">
        <v>14</v>
      </c>
      <c r="W38" s="664">
        <f t="shared" si="11"/>
        <v>100</v>
      </c>
      <c r="X38" s="665"/>
      <c r="Y38" s="3443"/>
      <c r="Z38" s="50" t="str">
        <f t="shared" si="12"/>
        <v>写字楼等级</v>
      </c>
      <c r="AA38" s="50">
        <f t="shared" si="3"/>
        <v>1</v>
      </c>
      <c r="AB38" s="50">
        <f t="shared" si="4"/>
        <v>1</v>
      </c>
      <c r="AC38" s="801">
        <f t="shared" si="5"/>
        <v>1</v>
      </c>
    </row>
    <row r="39" spans="1:29" ht="15">
      <c r="A39" s="408"/>
      <c r="B39" s="363" t="s">
        <v>1816</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441" t="s">
        <v>1696</v>
      </c>
      <c r="Q39" s="1261" t="str">
        <f t="shared" si="8"/>
        <v>物业管理</v>
      </c>
      <c r="R39" s="666" t="s">
        <v>14</v>
      </c>
      <c r="S39" s="667">
        <f t="shared" si="9"/>
        <v>100</v>
      </c>
      <c r="T39" s="666" t="s">
        <v>14</v>
      </c>
      <c r="U39" s="667">
        <f t="shared" si="10"/>
        <v>100</v>
      </c>
      <c r="V39" s="666" t="s">
        <v>14</v>
      </c>
      <c r="W39" s="667">
        <f t="shared" si="11"/>
        <v>100</v>
      </c>
      <c r="X39" s="1263"/>
      <c r="Y39" s="3443" t="s">
        <v>1696</v>
      </c>
      <c r="Z39" s="1262" t="str">
        <f t="shared" si="12"/>
        <v>物业管理</v>
      </c>
      <c r="AA39" s="1262">
        <f t="shared" si="3"/>
        <v>1</v>
      </c>
      <c r="AB39" s="1262">
        <f t="shared" si="4"/>
        <v>1</v>
      </c>
      <c r="AC39" s="1807">
        <f t="shared" si="5"/>
        <v>1</v>
      </c>
    </row>
    <row r="40" spans="1:29" ht="15">
      <c r="A40" s="408"/>
      <c r="B40" s="363" t="s">
        <v>1784</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441"/>
      <c r="Q40" s="1261" t="str">
        <f t="shared" si="8"/>
        <v>市政基础设施</v>
      </c>
      <c r="R40" s="666" t="s">
        <v>14</v>
      </c>
      <c r="S40" s="667">
        <f t="shared" si="9"/>
        <v>100</v>
      </c>
      <c r="T40" s="666" t="s">
        <v>14</v>
      </c>
      <c r="U40" s="667">
        <f t="shared" si="10"/>
        <v>100</v>
      </c>
      <c r="V40" s="666" t="s">
        <v>14</v>
      </c>
      <c r="W40" s="667">
        <f t="shared" si="11"/>
        <v>100</v>
      </c>
      <c r="X40" s="1263"/>
      <c r="Y40" s="3443"/>
      <c r="Z40" s="1262" t="str">
        <f t="shared" si="12"/>
        <v>市政基础设施</v>
      </c>
      <c r="AA40" s="1262">
        <f t="shared" si="3"/>
        <v>1</v>
      </c>
      <c r="AB40" s="1262">
        <f t="shared" si="4"/>
        <v>1</v>
      </c>
      <c r="AC40" s="1807">
        <f t="shared" si="5"/>
        <v>1</v>
      </c>
    </row>
    <row r="41" spans="1:29" ht="15">
      <c r="A41" s="408"/>
      <c r="B41" s="363" t="s">
        <v>1786</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441"/>
      <c r="Q41" s="1261" t="str">
        <f t="shared" si="8"/>
        <v>层高</v>
      </c>
      <c r="R41" s="666" t="s">
        <v>14</v>
      </c>
      <c r="S41" s="667">
        <f t="shared" si="9"/>
        <v>100</v>
      </c>
      <c r="T41" s="666" t="s">
        <v>14</v>
      </c>
      <c r="U41" s="667">
        <f t="shared" si="10"/>
        <v>100</v>
      </c>
      <c r="V41" s="666" t="s">
        <v>14</v>
      </c>
      <c r="W41" s="667">
        <f t="shared" si="11"/>
        <v>100</v>
      </c>
      <c r="X41" s="1263"/>
      <c r="Y41" s="3443"/>
      <c r="Z41" s="1262" t="str">
        <f t="shared" si="12"/>
        <v>层高</v>
      </c>
      <c r="AA41" s="1262">
        <f t="shared" si="3"/>
        <v>1</v>
      </c>
      <c r="AB41" s="1262">
        <f t="shared" si="4"/>
        <v>1</v>
      </c>
      <c r="AC41" s="1807">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41"/>
      <c r="Q42" s="530" t="str">
        <f t="shared" si="8"/>
        <v>单套建筑面积</v>
      </c>
      <c r="R42" s="668" t="s">
        <v>14</v>
      </c>
      <c r="S42" s="669">
        <f t="shared" si="9"/>
        <v>100</v>
      </c>
      <c r="T42" s="668" t="s">
        <v>14</v>
      </c>
      <c r="U42" s="669">
        <f t="shared" si="10"/>
        <v>100</v>
      </c>
      <c r="V42" s="668" t="s">
        <v>14</v>
      </c>
      <c r="W42" s="669">
        <f t="shared" si="11"/>
        <v>100</v>
      </c>
      <c r="X42" s="670"/>
      <c r="Y42" s="3443"/>
      <c r="Z42" s="671" t="str">
        <f t="shared" si="12"/>
        <v>单套建筑面积</v>
      </c>
      <c r="AA42" s="1262">
        <f t="shared" si="3"/>
        <v>1</v>
      </c>
      <c r="AB42" s="1262">
        <f t="shared" si="4"/>
        <v>1</v>
      </c>
      <c r="AC42" s="1807">
        <f t="shared" si="5"/>
        <v>1</v>
      </c>
    </row>
    <row r="43" spans="1:29" ht="15">
      <c r="A43" s="408"/>
      <c r="B43" s="363" t="s">
        <v>1789</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441"/>
      <c r="Q43" s="1261" t="str">
        <f t="shared" si="8"/>
        <v>内部装修</v>
      </c>
      <c r="R43" s="666" t="s">
        <v>14</v>
      </c>
      <c r="S43" s="667">
        <f t="shared" si="9"/>
        <v>100</v>
      </c>
      <c r="T43" s="666" t="s">
        <v>14</v>
      </c>
      <c r="U43" s="667">
        <f t="shared" si="10"/>
        <v>100</v>
      </c>
      <c r="V43" s="666" t="s">
        <v>14</v>
      </c>
      <c r="W43" s="667">
        <f t="shared" si="11"/>
        <v>100</v>
      </c>
      <c r="X43" s="1263"/>
      <c r="Y43" s="3443"/>
      <c r="Z43" s="1262" t="str">
        <f t="shared" si="12"/>
        <v>内部装修</v>
      </c>
      <c r="AA43" s="1262">
        <f t="shared" si="3"/>
        <v>1</v>
      </c>
      <c r="AB43" s="1262">
        <f t="shared" si="4"/>
        <v>1</v>
      </c>
      <c r="AC43" s="1807">
        <f t="shared" si="5"/>
        <v>1</v>
      </c>
    </row>
    <row r="44" spans="1:29" ht="15">
      <c r="A44" s="408"/>
      <c r="B44" s="363" t="s">
        <v>1705</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7"/>
      <c r="M44" s="2482"/>
      <c r="N44" s="2482"/>
      <c r="O44" s="2482"/>
      <c r="P44" s="3441"/>
      <c r="Q44" s="1261" t="str">
        <f t="shared" si="8"/>
        <v>内部装修维护情况</v>
      </c>
      <c r="R44" s="666" t="s">
        <v>14</v>
      </c>
      <c r="S44" s="667">
        <f t="shared" si="9"/>
        <v>100</v>
      </c>
      <c r="T44" s="666" t="s">
        <v>14</v>
      </c>
      <c r="U44" s="667">
        <f t="shared" si="10"/>
        <v>100</v>
      </c>
      <c r="V44" s="666" t="s">
        <v>14</v>
      </c>
      <c r="W44" s="667">
        <f t="shared" si="11"/>
        <v>100</v>
      </c>
      <c r="X44" s="1263"/>
      <c r="Y44" s="3443"/>
      <c r="Z44" s="1262" t="str">
        <f t="shared" si="12"/>
        <v>内部装修维护情况</v>
      </c>
      <c r="AA44" s="1262">
        <f t="shared" si="3"/>
        <v>1</v>
      </c>
      <c r="AB44" s="1262">
        <f t="shared" si="4"/>
        <v>1</v>
      </c>
      <c r="AC44" s="1807">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441"/>
      <c r="Q45" s="529">
        <f t="shared" si="8"/>
        <v>111</v>
      </c>
      <c r="R45" s="663" t="s">
        <v>14</v>
      </c>
      <c r="S45" s="664">
        <f t="shared" si="9"/>
        <v>100</v>
      </c>
      <c r="T45" s="663" t="s">
        <v>14</v>
      </c>
      <c r="U45" s="664">
        <f t="shared" si="10"/>
        <v>100</v>
      </c>
      <c r="V45" s="663" t="s">
        <v>14</v>
      </c>
      <c r="W45" s="664">
        <f t="shared" si="11"/>
        <v>100</v>
      </c>
      <c r="X45" s="665"/>
      <c r="Y45" s="3443"/>
      <c r="Z45" s="50">
        <f t="shared" si="12"/>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41"/>
      <c r="Q46" s="1261">
        <f t="shared" si="8"/>
        <v>111</v>
      </c>
      <c r="R46" s="666" t="s">
        <v>14</v>
      </c>
      <c r="S46" s="667">
        <f t="shared" si="9"/>
        <v>100</v>
      </c>
      <c r="T46" s="666" t="s">
        <v>14</v>
      </c>
      <c r="U46" s="667">
        <f t="shared" si="10"/>
        <v>100</v>
      </c>
      <c r="V46" s="666" t="s">
        <v>14</v>
      </c>
      <c r="W46" s="667">
        <f t="shared" si="11"/>
        <v>100</v>
      </c>
      <c r="X46" s="1263"/>
      <c r="Y46" s="3443"/>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42"/>
      <c r="Q47" s="1261">
        <f t="shared" si="8"/>
        <v>111</v>
      </c>
      <c r="R47" s="666" t="s">
        <v>14</v>
      </c>
      <c r="S47" s="667">
        <f t="shared" si="9"/>
        <v>100</v>
      </c>
      <c r="T47" s="666" t="s">
        <v>14</v>
      </c>
      <c r="U47" s="667">
        <f t="shared" si="10"/>
        <v>100</v>
      </c>
      <c r="V47" s="666" t="s">
        <v>14</v>
      </c>
      <c r="W47" s="667">
        <f t="shared" si="11"/>
        <v>100</v>
      </c>
      <c r="X47" s="1263"/>
      <c r="Y47" s="3444"/>
      <c r="Z47" s="1262">
        <f t="shared" si="12"/>
        <v>111</v>
      </c>
      <c r="AA47" s="1262">
        <f t="shared" si="3"/>
        <v>1</v>
      </c>
      <c r="AB47" s="1262">
        <f t="shared" si="4"/>
        <v>1</v>
      </c>
      <c r="AC47" s="1807">
        <f t="shared" si="5"/>
        <v>1</v>
      </c>
    </row>
    <row r="48" spans="1:29" ht="15">
      <c r="A48" s="415" t="s">
        <v>1706</v>
      </c>
      <c r="B48" s="416"/>
      <c r="C48" s="1080" t="s">
        <v>0</v>
      </c>
      <c r="D48" s="417"/>
      <c r="E48" s="418"/>
      <c r="F48" s="419"/>
      <c r="G48" s="420"/>
      <c r="H48" s="421"/>
      <c r="I48" s="418"/>
      <c r="J48" s="421"/>
      <c r="K48" s="673"/>
      <c r="L48" s="2489"/>
      <c r="M48" s="2482"/>
      <c r="N48" s="2482"/>
      <c r="O48" s="2482"/>
      <c r="P48" s="3419" t="str">
        <f>A48</f>
        <v>成交单价（元/平方米）</v>
      </c>
      <c r="Q48" s="3437"/>
      <c r="R48" s="3432">
        <f>E48</f>
        <v>0</v>
      </c>
      <c r="S48" s="3432"/>
      <c r="T48" s="3432">
        <f>G48</f>
        <v>0</v>
      </c>
      <c r="U48" s="3432"/>
      <c r="V48" s="3432">
        <f>I48</f>
        <v>0</v>
      </c>
      <c r="W48" s="3432"/>
      <c r="X48" s="384"/>
      <c r="Y48" s="672"/>
      <c r="Z48" s="384"/>
      <c r="AA48" s="384"/>
      <c r="AB48" s="384"/>
      <c r="AC48" s="554"/>
    </row>
    <row r="49" spans="1:29" ht="15.75" thickBot="1">
      <c r="A49" s="422" t="s">
        <v>1790</v>
      </c>
      <c r="B49" s="423"/>
      <c r="C49" s="1081" t="e">
        <f>R50</f>
        <v>#DIV/0!</v>
      </c>
      <c r="D49" s="2136" t="s">
        <v>2135</v>
      </c>
      <c r="E49" s="1082" t="e">
        <f>R49</f>
        <v>#DIV/0!</v>
      </c>
      <c r="F49" s="2137"/>
      <c r="G49" s="1081" t="e">
        <f>T49</f>
        <v>#DIV/0!</v>
      </c>
      <c r="H49" s="2137"/>
      <c r="I49" s="1082" t="e">
        <f>V49</f>
        <v>#DIV/0!</v>
      </c>
      <c r="J49" s="2137"/>
      <c r="K49" s="2139">
        <f>F49+H49+J49</f>
        <v>0</v>
      </c>
      <c r="L49" s="2489"/>
      <c r="M49" s="2482"/>
      <c r="N49" s="2482"/>
      <c r="O49" s="2482"/>
      <c r="P49" s="3419" t="str">
        <f>A49</f>
        <v>比较价值（元/平方米）</v>
      </c>
      <c r="Q49" s="3437"/>
      <c r="R49" s="3432" t="e">
        <f>IF(F1="售价",ROUND(PRODUCT(R48,AA7:AA47),0),ROUND(PRODUCT(R48,AA7:AA47),1))</f>
        <v>#DIV/0!</v>
      </c>
      <c r="S49" s="3432"/>
      <c r="T49" s="3432" t="e">
        <f>IF(F1="售价",ROUND(PRODUCT(T48,AB7:AB47),0),ROUND(PRODUCT(T48,AB7:AB47),1))</f>
        <v>#DIV/0!</v>
      </c>
      <c r="U49" s="3432"/>
      <c r="V49" s="3432" t="e">
        <f>IF(F1="售价",ROUND(PRODUCT(V48,AC7:AC47),0),ROUND(PRODUCT(V48,AC7:AC47),1))</f>
        <v>#DIV/0!</v>
      </c>
      <c r="W49" s="3432"/>
      <c r="X49" s="384"/>
      <c r="Y49" s="384"/>
      <c r="Z49" s="384"/>
      <c r="AA49" s="384"/>
      <c r="AB49" s="384"/>
      <c r="AC49" s="554"/>
    </row>
    <row r="50" spans="1:29" ht="15.75" thickBot="1">
      <c r="A50" s="426" t="s">
        <v>1791</v>
      </c>
      <c r="B50" s="427"/>
      <c r="C50" s="350" t="e">
        <f>R50</f>
        <v>#DIV/0!</v>
      </c>
      <c r="D50" s="350"/>
      <c r="E50" s="350"/>
      <c r="F50" s="350"/>
      <c r="G50" s="350"/>
      <c r="H50" s="350"/>
      <c r="I50" s="350"/>
      <c r="J50" s="428"/>
      <c r="K50" s="674"/>
      <c r="L50" s="2489"/>
      <c r="M50" s="2482"/>
      <c r="N50" s="2482"/>
      <c r="O50" s="2482"/>
      <c r="P50" s="3460" t="str">
        <f>A50</f>
        <v>估价对象XX用房的比较价值（楼面单价，元/平方米）</v>
      </c>
      <c r="Q50" s="3461"/>
      <c r="R50" s="3462" t="e">
        <f>IF(F1="售价",ROUND(IF(D49="简单平均",AVERAGE(R49:V49),R49*F49+T49*H49+V49*J49),0),ROUND(IF(D49="简单平均",AVERAGE(R49:V49),R49*F49+T49*H49+V49*J49),1))</f>
        <v>#DIV/0!</v>
      </c>
      <c r="S50" s="3462"/>
      <c r="T50" s="3462"/>
      <c r="U50" s="3462"/>
      <c r="V50" s="3462"/>
      <c r="W50" s="3462"/>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1792</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1793</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1794</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1795</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2024-10</v>
      </c>
      <c r="D59" s="1102">
        <f>EDATE(C59,-1)</f>
        <v>45536</v>
      </c>
      <c r="E59" s="1102">
        <f>EDATE(D59,-1)</f>
        <v>45505</v>
      </c>
      <c r="F59" s="1102">
        <f t="shared" ref="F59:O59" si="13">EDATE(E59,-1)</f>
        <v>45474</v>
      </c>
      <c r="G59" s="1102">
        <f t="shared" si="13"/>
        <v>45444</v>
      </c>
      <c r="H59" s="1102">
        <f t="shared" si="13"/>
        <v>45413</v>
      </c>
      <c r="I59" s="1102">
        <f t="shared" si="13"/>
        <v>45383</v>
      </c>
      <c r="J59" s="1102">
        <f t="shared" si="13"/>
        <v>45352</v>
      </c>
      <c r="K59" s="1102">
        <f t="shared" si="13"/>
        <v>45323</v>
      </c>
      <c r="L59" s="1102">
        <f t="shared" si="13"/>
        <v>45292</v>
      </c>
      <c r="M59" s="1102">
        <f t="shared" si="13"/>
        <v>45261</v>
      </c>
      <c r="N59" s="1102">
        <f t="shared" si="13"/>
        <v>45231</v>
      </c>
      <c r="O59" s="1102">
        <f t="shared" si="13"/>
        <v>45200</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1714</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1773</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1717</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1818</v>
      </c>
      <c r="C77" s="503" t="s">
        <v>1719</v>
      </c>
      <c r="D77" s="503" t="s">
        <v>1720</v>
      </c>
      <c r="E77" s="503" t="s">
        <v>1721</v>
      </c>
      <c r="F77" s="503" t="s">
        <v>1722</v>
      </c>
      <c r="G77" s="503" t="s">
        <v>1723</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1724</v>
      </c>
      <c r="C79" s="508" t="s">
        <v>1719</v>
      </c>
      <c r="D79" s="508" t="s">
        <v>1720</v>
      </c>
      <c r="E79" s="508" t="s">
        <v>1721</v>
      </c>
      <c r="F79" s="508" t="s">
        <v>1722</v>
      </c>
      <c r="G79" s="508" t="s">
        <v>1723</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1725</v>
      </c>
      <c r="C81" s="508" t="s">
        <v>1719</v>
      </c>
      <c r="D81" s="508" t="s">
        <v>1720</v>
      </c>
      <c r="E81" s="508" t="s">
        <v>1721</v>
      </c>
      <c r="F81" s="508" t="s">
        <v>1722</v>
      </c>
      <c r="G81" s="508" t="s">
        <v>1723</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1810</v>
      </c>
      <c r="C83" s="580" t="s">
        <v>1796</v>
      </c>
      <c r="D83" s="580" t="s">
        <v>1797</v>
      </c>
      <c r="E83" s="580" t="s">
        <v>1798</v>
      </c>
      <c r="F83" s="580" t="s">
        <v>1799</v>
      </c>
      <c r="G83" s="580" t="s">
        <v>1800</v>
      </c>
      <c r="H83" s="469"/>
      <c r="I83" s="469"/>
      <c r="J83" s="469"/>
      <c r="K83" s="469"/>
      <c r="L83" s="469"/>
      <c r="M83" s="1062"/>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1819</v>
      </c>
      <c r="C85" s="508" t="s">
        <v>1719</v>
      </c>
      <c r="D85" s="508" t="s">
        <v>1720</v>
      </c>
      <c r="E85" s="508" t="s">
        <v>1721</v>
      </c>
      <c r="F85" s="508" t="s">
        <v>1722</v>
      </c>
      <c r="G85" s="508" t="s">
        <v>1723</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1820</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1734</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1735</v>
      </c>
      <c r="C103" s="508" t="str">
        <f>C104&amp;"(含)"&amp;"-"&amp;D104</f>
        <v>(含)-</v>
      </c>
      <c r="D103" s="508" t="str">
        <f t="shared" ref="D103:L103" si="20">D104&amp;"(含)"&amp;"-"&amp;E104</f>
        <v>(含)-</v>
      </c>
      <c r="E103" s="508" t="str">
        <f t="shared" si="20"/>
        <v>(含)-</v>
      </c>
      <c r="F103" s="508" t="str">
        <f t="shared" si="20"/>
        <v>(含)-</v>
      </c>
      <c r="G103" s="508" t="str">
        <f t="shared" si="20"/>
        <v>(含)-</v>
      </c>
      <c r="H103" s="508" t="str">
        <f t="shared" si="20"/>
        <v>(含)-</v>
      </c>
      <c r="I103" s="508" t="str">
        <f t="shared" si="20"/>
        <v>(含)-</v>
      </c>
      <c r="J103" s="508" t="str">
        <f t="shared" si="20"/>
        <v>(含)-</v>
      </c>
      <c r="K103" s="508" t="str">
        <f t="shared" si="20"/>
        <v>(含)-</v>
      </c>
      <c r="L103" s="508" t="str">
        <f t="shared" si="20"/>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1736</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1737</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1821</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1738</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1739</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1822</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1805</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1741</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1742</v>
      </c>
      <c r="C125" s="508" t="s">
        <v>1719</v>
      </c>
      <c r="D125" s="508" t="s">
        <v>1720</v>
      </c>
      <c r="E125" s="508" t="s">
        <v>1721</v>
      </c>
      <c r="F125" s="508" t="s">
        <v>1722</v>
      </c>
      <c r="G125" s="508" t="s">
        <v>1723</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1823</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1765</v>
      </c>
      <c r="D3" s="342">
        <f>IF(D1="",'数据-汇总表'!E3,SUMIF('数据-汇总表'!$C19:$C33,D1,'数据-汇总表'!$E19:$E33))</f>
        <v>141.37</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420" t="s">
        <v>1767</v>
      </c>
      <c r="D4" s="3421"/>
      <c r="E4" s="3422" t="s">
        <v>1768</v>
      </c>
      <c r="F4" s="3423"/>
      <c r="G4" s="3420" t="s">
        <v>1769</v>
      </c>
      <c r="H4" s="3421"/>
      <c r="I4" s="3420" t="s">
        <v>1770</v>
      </c>
      <c r="J4" s="3421"/>
      <c r="K4" s="536" t="s">
        <v>1771</v>
      </c>
      <c r="L4" s="859"/>
      <c r="M4" s="860"/>
      <c r="N4" s="860"/>
      <c r="O4" s="860"/>
      <c r="P4" s="3424" t="s">
        <v>1772</v>
      </c>
      <c r="Q4" s="3425"/>
      <c r="R4" s="3406" t="s">
        <v>1768</v>
      </c>
      <c r="S4" s="3407"/>
      <c r="T4" s="3406" t="s">
        <v>1769</v>
      </c>
      <c r="U4" s="3407"/>
      <c r="V4" s="3432" t="s">
        <v>1770</v>
      </c>
      <c r="W4" s="3432"/>
      <c r="X4" s="1263"/>
      <c r="Y4" s="3406" t="s">
        <v>1772</v>
      </c>
      <c r="Z4" s="3407"/>
      <c r="AA4" s="3401" t="s">
        <v>1768</v>
      </c>
      <c r="AB4" s="3402" t="s">
        <v>1769</v>
      </c>
      <c r="AC4" s="3401" t="s">
        <v>1770</v>
      </c>
    </row>
    <row r="5" spans="1:29" ht="15">
      <c r="A5" s="347"/>
      <c r="B5" s="348"/>
      <c r="C5" s="3416" t="s">
        <v>1673</v>
      </c>
      <c r="D5" s="3413"/>
      <c r="E5" s="3447" t="s">
        <v>1674</v>
      </c>
      <c r="F5" s="3411"/>
      <c r="G5" s="3416" t="s">
        <v>1675</v>
      </c>
      <c r="H5" s="3413"/>
      <c r="I5" s="3416" t="s">
        <v>1676</v>
      </c>
      <c r="J5" s="3413"/>
      <c r="K5" s="536"/>
      <c r="L5" s="859"/>
      <c r="M5" s="860"/>
      <c r="N5" s="860"/>
      <c r="O5" s="860"/>
      <c r="P5" s="3426"/>
      <c r="Q5" s="3427"/>
      <c r="R5" s="3408"/>
      <c r="S5" s="3409"/>
      <c r="T5" s="3408"/>
      <c r="U5" s="3409"/>
      <c r="V5" s="3432"/>
      <c r="W5" s="3432"/>
      <c r="X5" s="1263"/>
      <c r="Y5" s="3408"/>
      <c r="Z5" s="3409"/>
      <c r="AA5" s="3402"/>
      <c r="AB5" s="3402"/>
      <c r="AC5" s="3402"/>
    </row>
    <row r="6" spans="1:29" ht="15.75" thickBot="1">
      <c r="A6" s="349"/>
      <c r="B6" s="350"/>
      <c r="C6" s="3414" t="s">
        <v>1677</v>
      </c>
      <c r="D6" s="3415"/>
      <c r="E6" s="3417" t="s">
        <v>1677</v>
      </c>
      <c r="F6" s="3418"/>
      <c r="G6" s="3414" t="s">
        <v>1677</v>
      </c>
      <c r="H6" s="3415"/>
      <c r="I6" s="3414" t="s">
        <v>1677</v>
      </c>
      <c r="J6" s="3415"/>
      <c r="K6" s="536" t="s">
        <v>1678</v>
      </c>
      <c r="L6" s="859"/>
      <c r="M6" s="860"/>
      <c r="N6" s="860"/>
      <c r="O6" s="860"/>
      <c r="P6" s="3428"/>
      <c r="Q6" s="3429"/>
      <c r="R6" s="3408"/>
      <c r="S6" s="3409"/>
      <c r="T6" s="3430"/>
      <c r="U6" s="3431"/>
      <c r="V6" s="3432"/>
      <c r="W6" s="3432"/>
      <c r="X6" s="1263"/>
      <c r="Y6" s="3430"/>
      <c r="Z6" s="3431"/>
      <c r="AA6" s="3403"/>
      <c r="AB6" s="3403"/>
      <c r="AC6" s="3403"/>
    </row>
    <row r="7" spans="1:29" s="101" customFormat="1" ht="15.75" thickBot="1">
      <c r="A7" s="351" t="s">
        <v>1679</v>
      </c>
      <c r="B7" s="352"/>
      <c r="C7" s="353">
        <f>'数据-取费表'!B2</f>
        <v>45583</v>
      </c>
      <c r="D7" s="354">
        <v>100</v>
      </c>
      <c r="E7" s="355"/>
      <c r="F7" s="356">
        <f>SUMIF(52:52,YEAR(E7)&amp;"-"&amp;MONTH(E7),53:53)</f>
        <v>0</v>
      </c>
      <c r="G7" s="355"/>
      <c r="H7" s="354">
        <f>SUMIF(52:52,YEAR(G7)&amp;"-"&amp;MONTH(G7),53:53)</f>
        <v>0</v>
      </c>
      <c r="I7" s="355"/>
      <c r="J7" s="354">
        <f>SUMIF(52:52,YEAR(I7)&amp;"-"&amp;MONTH(I7),53:53)</f>
        <v>0</v>
      </c>
      <c r="K7" s="38"/>
      <c r="L7" s="861"/>
      <c r="M7" s="862"/>
      <c r="N7" s="862"/>
      <c r="O7" s="862"/>
      <c r="P7" s="3404" t="s">
        <v>1680</v>
      </c>
      <c r="Q7" s="3433"/>
      <c r="R7" s="663" t="s">
        <v>14</v>
      </c>
      <c r="S7" s="664">
        <f t="shared" ref="S7:S15" si="0">F7</f>
        <v>0</v>
      </c>
      <c r="T7" s="663" t="s">
        <v>14</v>
      </c>
      <c r="U7" s="664">
        <f t="shared" ref="U7:U15" si="1">H7</f>
        <v>0</v>
      </c>
      <c r="V7" s="663" t="s">
        <v>14</v>
      </c>
      <c r="W7" s="664">
        <f t="shared" ref="W7:W15" si="2">J7</f>
        <v>0</v>
      </c>
      <c r="X7" s="665"/>
      <c r="Y7" s="3404" t="s">
        <v>1680</v>
      </c>
      <c r="Z7" s="3405"/>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04" t="s">
        <v>1683</v>
      </c>
      <c r="Q8" s="3405"/>
      <c r="R8" s="663" t="s">
        <v>14</v>
      </c>
      <c r="S8" s="664">
        <f t="shared" si="0"/>
        <v>100</v>
      </c>
      <c r="T8" s="663" t="s">
        <v>14</v>
      </c>
      <c r="U8" s="664">
        <f t="shared" si="1"/>
        <v>100</v>
      </c>
      <c r="V8" s="663" t="s">
        <v>14</v>
      </c>
      <c r="W8" s="664">
        <f t="shared" si="2"/>
        <v>100</v>
      </c>
      <c r="X8" s="665"/>
      <c r="Y8" s="3404" t="s">
        <v>1683</v>
      </c>
      <c r="Z8" s="3405"/>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37" t="s">
        <v>1686</v>
      </c>
      <c r="Q9" s="529" t="str">
        <f t="shared" ref="Q9:Q15" si="6">B9</f>
        <v>用途</v>
      </c>
      <c r="R9" s="663" t="s">
        <v>14</v>
      </c>
      <c r="S9" s="664">
        <f t="shared" si="0"/>
        <v>100</v>
      </c>
      <c r="T9" s="663" t="s">
        <v>14</v>
      </c>
      <c r="U9" s="664">
        <f t="shared" si="1"/>
        <v>100</v>
      </c>
      <c r="V9" s="663" t="s">
        <v>14</v>
      </c>
      <c r="W9" s="664">
        <f t="shared" si="2"/>
        <v>100</v>
      </c>
      <c r="X9" s="665"/>
      <c r="Y9" s="3348"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4"/>
      <c r="M10" s="865"/>
      <c r="N10" s="865"/>
      <c r="O10" s="866"/>
      <c r="P10" s="3437"/>
      <c r="Q10" s="529" t="str">
        <f t="shared" si="6"/>
        <v>土地使用年限（年）</v>
      </c>
      <c r="R10" s="663" t="s">
        <v>14</v>
      </c>
      <c r="S10" s="664">
        <f t="shared" si="0"/>
        <v>100</v>
      </c>
      <c r="T10" s="663" t="s">
        <v>14</v>
      </c>
      <c r="U10" s="664">
        <f t="shared" si="1"/>
        <v>100</v>
      </c>
      <c r="V10" s="663" t="s">
        <v>14</v>
      </c>
      <c r="W10" s="664">
        <f t="shared" si="2"/>
        <v>100</v>
      </c>
      <c r="X10" s="665"/>
      <c r="Y10" s="3348"/>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37"/>
      <c r="Q11" s="529" t="str">
        <f t="shared" si="6"/>
        <v>容积率</v>
      </c>
      <c r="R11" s="663" t="s">
        <v>14</v>
      </c>
      <c r="S11" s="664">
        <f t="shared" si="0"/>
        <v>100</v>
      </c>
      <c r="T11" s="663" t="s">
        <v>14</v>
      </c>
      <c r="U11" s="664">
        <f t="shared" si="1"/>
        <v>100</v>
      </c>
      <c r="V11" s="663" t="s">
        <v>14</v>
      </c>
      <c r="W11" s="664">
        <f t="shared" si="2"/>
        <v>100</v>
      </c>
      <c r="X11" s="665"/>
      <c r="Y11" s="3348"/>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37"/>
      <c r="Q12" s="529">
        <f t="shared" si="6"/>
        <v>111</v>
      </c>
      <c r="R12" s="663" t="s">
        <v>14</v>
      </c>
      <c r="S12" s="664">
        <f t="shared" si="0"/>
        <v>100</v>
      </c>
      <c r="T12" s="663" t="s">
        <v>14</v>
      </c>
      <c r="U12" s="664">
        <f t="shared" si="1"/>
        <v>100</v>
      </c>
      <c r="V12" s="663" t="s">
        <v>14</v>
      </c>
      <c r="W12" s="664">
        <f t="shared" si="2"/>
        <v>100</v>
      </c>
      <c r="X12" s="665"/>
      <c r="Y12" s="3348"/>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37"/>
      <c r="Q13" s="529">
        <f t="shared" si="6"/>
        <v>111</v>
      </c>
      <c r="R13" s="663" t="s">
        <v>14</v>
      </c>
      <c r="S13" s="664">
        <f t="shared" si="0"/>
        <v>100</v>
      </c>
      <c r="T13" s="663" t="s">
        <v>14</v>
      </c>
      <c r="U13" s="664">
        <f t="shared" si="1"/>
        <v>100</v>
      </c>
      <c r="V13" s="663" t="s">
        <v>14</v>
      </c>
      <c r="W13" s="664">
        <f t="shared" si="2"/>
        <v>100</v>
      </c>
      <c r="X13" s="665"/>
      <c r="Y13" s="3348"/>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37"/>
      <c r="Q14" s="529">
        <f t="shared" si="6"/>
        <v>111</v>
      </c>
      <c r="R14" s="663" t="s">
        <v>14</v>
      </c>
      <c r="S14" s="664">
        <f t="shared" si="0"/>
        <v>100</v>
      </c>
      <c r="T14" s="663" t="s">
        <v>14</v>
      </c>
      <c r="U14" s="664">
        <f t="shared" si="1"/>
        <v>100</v>
      </c>
      <c r="V14" s="663" t="s">
        <v>14</v>
      </c>
      <c r="W14" s="664">
        <f t="shared" si="2"/>
        <v>100</v>
      </c>
      <c r="X14" s="665"/>
      <c r="Y14" s="3348"/>
      <c r="Z14" s="50">
        <f t="shared" si="7"/>
        <v>111</v>
      </c>
      <c r="AA14" s="50">
        <f t="shared" si="3"/>
        <v>1</v>
      </c>
      <c r="AB14" s="50">
        <f t="shared" si="4"/>
        <v>1</v>
      </c>
      <c r="AC14" s="50">
        <f t="shared" si="5"/>
        <v>1</v>
      </c>
    </row>
    <row r="15" spans="1:29" ht="57">
      <c r="A15" s="378" t="s">
        <v>1690</v>
      </c>
      <c r="B15" s="58" t="s">
        <v>1824</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38" t="s">
        <v>1691</v>
      </c>
      <c r="Q15" s="1261" t="str">
        <f t="shared" si="6"/>
        <v>产业集聚程度</v>
      </c>
      <c r="R15" s="666" t="s">
        <v>14</v>
      </c>
      <c r="S15" s="667">
        <f t="shared" si="0"/>
        <v>100</v>
      </c>
      <c r="T15" s="666" t="s">
        <v>14</v>
      </c>
      <c r="U15" s="667">
        <f t="shared" si="1"/>
        <v>100</v>
      </c>
      <c r="V15" s="666" t="s">
        <v>14</v>
      </c>
      <c r="W15" s="667">
        <f t="shared" si="2"/>
        <v>100</v>
      </c>
      <c r="X15" s="1263"/>
      <c r="Y15" s="3438"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39"/>
      <c r="Q16" s="1261"/>
      <c r="R16" s="666"/>
      <c r="S16" s="667"/>
      <c r="T16" s="666"/>
      <c r="U16" s="667"/>
      <c r="V16" s="666"/>
      <c r="W16" s="667"/>
      <c r="X16" s="1263"/>
      <c r="Y16" s="3439"/>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39"/>
      <c r="Q17" s="1261" t="str">
        <f>B17</f>
        <v>交通便捷度</v>
      </c>
      <c r="R17" s="666" t="s">
        <v>14</v>
      </c>
      <c r="S17" s="667">
        <f>F17</f>
        <v>100</v>
      </c>
      <c r="T17" s="666" t="s">
        <v>14</v>
      </c>
      <c r="U17" s="667">
        <f>H17</f>
        <v>100</v>
      </c>
      <c r="V17" s="666" t="s">
        <v>14</v>
      </c>
      <c r="W17" s="667">
        <f>J17</f>
        <v>100</v>
      </c>
      <c r="X17" s="1263"/>
      <c r="Y17" s="3439"/>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39"/>
      <c r="Q18" s="1261"/>
      <c r="R18" s="666"/>
      <c r="S18" s="667"/>
      <c r="T18" s="666"/>
      <c r="U18" s="667"/>
      <c r="V18" s="666"/>
      <c r="W18" s="667"/>
      <c r="X18" s="1263"/>
      <c r="Y18" s="3439"/>
      <c r="Z18" s="1262"/>
      <c r="AA18" s="1262">
        <v>1</v>
      </c>
      <c r="AB18" s="1262">
        <v>1</v>
      </c>
      <c r="AC18" s="1262">
        <v>1</v>
      </c>
    </row>
    <row r="19" spans="1:29" ht="42.75">
      <c r="A19" s="366"/>
      <c r="B19" s="389" t="s">
        <v>1809</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39"/>
      <c r="Q19" s="1261" t="str">
        <f>B19</f>
        <v>公共配套设施</v>
      </c>
      <c r="R19" s="666" t="s">
        <v>14</v>
      </c>
      <c r="S19" s="667">
        <f>F19</f>
        <v>100</v>
      </c>
      <c r="T19" s="666" t="s">
        <v>14</v>
      </c>
      <c r="U19" s="667">
        <f>H19</f>
        <v>100</v>
      </c>
      <c r="V19" s="666" t="s">
        <v>14</v>
      </c>
      <c r="W19" s="667">
        <f>J19</f>
        <v>100</v>
      </c>
      <c r="X19" s="1263"/>
      <c r="Y19" s="3439"/>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39"/>
      <c r="Q20" s="1261"/>
      <c r="R20" s="666"/>
      <c r="S20" s="667"/>
      <c r="T20" s="666"/>
      <c r="U20" s="667"/>
      <c r="V20" s="666"/>
      <c r="W20" s="667"/>
      <c r="X20" s="1263"/>
      <c r="Y20" s="3439"/>
      <c r="Z20" s="1262"/>
      <c r="AA20" s="1262">
        <v>1</v>
      </c>
      <c r="AB20" s="1262">
        <v>1</v>
      </c>
      <c r="AC20" s="1262">
        <v>1</v>
      </c>
    </row>
    <row r="21" spans="1:29" ht="28.5">
      <c r="A21" s="366"/>
      <c r="B21" s="585" t="s">
        <v>1810</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39"/>
      <c r="Q21" s="1261" t="str">
        <f>B21</f>
        <v>基础设施水平</v>
      </c>
      <c r="R21" s="666" t="s">
        <v>14</v>
      </c>
      <c r="S21" s="667">
        <f>F21</f>
        <v>100</v>
      </c>
      <c r="T21" s="666" t="s">
        <v>14</v>
      </c>
      <c r="U21" s="667">
        <f>H21</f>
        <v>100</v>
      </c>
      <c r="V21" s="666" t="s">
        <v>14</v>
      </c>
      <c r="W21" s="667">
        <f>J21</f>
        <v>100</v>
      </c>
      <c r="X21" s="1263"/>
      <c r="Y21" s="3439"/>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39"/>
      <c r="Q22" s="1261"/>
      <c r="R22" s="666"/>
      <c r="S22" s="667"/>
      <c r="T22" s="666"/>
      <c r="U22" s="667"/>
      <c r="V22" s="666"/>
      <c r="W22" s="667"/>
      <c r="X22" s="1263"/>
      <c r="Y22" s="3439"/>
      <c r="Z22" s="1262"/>
      <c r="AA22" s="1262">
        <v>1</v>
      </c>
      <c r="AB22" s="1262">
        <v>1</v>
      </c>
      <c r="AC22" s="1262">
        <v>1</v>
      </c>
    </row>
    <row r="23" spans="1:29" ht="71.25">
      <c r="A23" s="366"/>
      <c r="B23" s="389" t="s">
        <v>1811</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39"/>
      <c r="Q23" s="1261" t="str">
        <f>B23</f>
        <v>环境质量</v>
      </c>
      <c r="R23" s="666" t="s">
        <v>14</v>
      </c>
      <c r="S23" s="667">
        <f>F23</f>
        <v>100</v>
      </c>
      <c r="T23" s="666" t="s">
        <v>14</v>
      </c>
      <c r="U23" s="667">
        <f>H23</f>
        <v>100</v>
      </c>
      <c r="V23" s="666" t="s">
        <v>14</v>
      </c>
      <c r="W23" s="667">
        <f>J23</f>
        <v>100</v>
      </c>
      <c r="X23" s="1263"/>
      <c r="Y23" s="3439"/>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39"/>
      <c r="Q24" s="1261"/>
      <c r="R24" s="666"/>
      <c r="S24" s="667"/>
      <c r="T24" s="666"/>
      <c r="U24" s="667"/>
      <c r="V24" s="666"/>
      <c r="W24" s="667"/>
      <c r="X24" s="1263"/>
      <c r="Y24" s="3439"/>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39"/>
      <c r="Q25" s="1261">
        <f>B25</f>
        <v>111</v>
      </c>
      <c r="R25" s="666" t="s">
        <v>14</v>
      </c>
      <c r="S25" s="667">
        <f>F25</f>
        <v>100</v>
      </c>
      <c r="T25" s="666" t="s">
        <v>14</v>
      </c>
      <c r="U25" s="667">
        <f>H25</f>
        <v>100</v>
      </c>
      <c r="V25" s="666" t="s">
        <v>14</v>
      </c>
      <c r="W25" s="667">
        <f>J25</f>
        <v>100</v>
      </c>
      <c r="X25" s="1263"/>
      <c r="Y25" s="3439"/>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39"/>
      <c r="Q26" s="1261">
        <f t="shared" ref="Q26:Q40" si="8">B26</f>
        <v>111</v>
      </c>
      <c r="R26" s="666" t="s">
        <v>14</v>
      </c>
      <c r="S26" s="667">
        <f>F26</f>
        <v>100</v>
      </c>
      <c r="T26" s="666" t="s">
        <v>14</v>
      </c>
      <c r="U26" s="667">
        <f>H26</f>
        <v>100</v>
      </c>
      <c r="V26" s="666" t="s">
        <v>14</v>
      </c>
      <c r="W26" s="667">
        <f>J26</f>
        <v>100</v>
      </c>
      <c r="X26" s="1263"/>
      <c r="Y26" s="3439"/>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39"/>
      <c r="Q27" s="529">
        <f t="shared" si="8"/>
        <v>111</v>
      </c>
      <c r="R27" s="663" t="s">
        <v>14</v>
      </c>
      <c r="S27" s="664">
        <f>F27</f>
        <v>100</v>
      </c>
      <c r="T27" s="663" t="s">
        <v>14</v>
      </c>
      <c r="U27" s="664">
        <f>H27</f>
        <v>100</v>
      </c>
      <c r="V27" s="663" t="s">
        <v>14</v>
      </c>
      <c r="W27" s="664">
        <f>J27</f>
        <v>100</v>
      </c>
      <c r="X27" s="665"/>
      <c r="Y27" s="3439"/>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39"/>
      <c r="Q28" s="1261">
        <f t="shared" si="8"/>
        <v>111</v>
      </c>
      <c r="R28" s="666" t="s">
        <v>14</v>
      </c>
      <c r="S28" s="667">
        <f t="shared" ref="S28:S40" si="9">F28</f>
        <v>100</v>
      </c>
      <c r="T28" s="666" t="s">
        <v>14</v>
      </c>
      <c r="U28" s="667">
        <f t="shared" ref="U28:U40" si="10">H28</f>
        <v>100</v>
      </c>
      <c r="V28" s="666" t="s">
        <v>14</v>
      </c>
      <c r="W28" s="667">
        <f t="shared" ref="W28:W40" si="11">J28</f>
        <v>100</v>
      </c>
      <c r="X28" s="1263"/>
      <c r="Y28" s="3439"/>
      <c r="Z28" s="1262">
        <f t="shared" ref="Z28:Z40" si="12">Q28</f>
        <v>111</v>
      </c>
      <c r="AA28" s="1262">
        <f t="shared" si="3"/>
        <v>1</v>
      </c>
      <c r="AB28" s="1262">
        <f t="shared" si="4"/>
        <v>1</v>
      </c>
      <c r="AC28" s="1262">
        <f t="shared" si="5"/>
        <v>1</v>
      </c>
    </row>
    <row r="29" spans="1:29" ht="28.5">
      <c r="A29" s="403" t="s">
        <v>1694</v>
      </c>
      <c r="B29" s="60" t="s">
        <v>1814</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63" t="s">
        <v>1696</v>
      </c>
      <c r="Q29" s="1261" t="str">
        <f t="shared" si="8"/>
        <v>建筑类型</v>
      </c>
      <c r="R29" s="666" t="s">
        <v>14</v>
      </c>
      <c r="S29" s="667">
        <f t="shared" si="9"/>
        <v>100</v>
      </c>
      <c r="T29" s="666" t="s">
        <v>14</v>
      </c>
      <c r="U29" s="667">
        <f t="shared" si="10"/>
        <v>100</v>
      </c>
      <c r="V29" s="666" t="s">
        <v>14</v>
      </c>
      <c r="W29" s="667">
        <f t="shared" si="11"/>
        <v>100</v>
      </c>
      <c r="X29" s="1263"/>
      <c r="Y29" s="3443" t="s">
        <v>1696</v>
      </c>
      <c r="Z29" s="1262" t="str">
        <f t="shared" si="12"/>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43"/>
      <c r="Q30" s="530" t="str">
        <f t="shared" si="8"/>
        <v>项目建筑规模</v>
      </c>
      <c r="R30" s="668" t="s">
        <v>14</v>
      </c>
      <c r="S30" s="669" t="e">
        <f t="shared" si="9"/>
        <v>#N/A</v>
      </c>
      <c r="T30" s="668" t="s">
        <v>14</v>
      </c>
      <c r="U30" s="669" t="e">
        <f t="shared" si="10"/>
        <v>#N/A</v>
      </c>
      <c r="V30" s="668" t="s">
        <v>14</v>
      </c>
      <c r="W30" s="669" t="e">
        <f t="shared" si="11"/>
        <v>#N/A</v>
      </c>
      <c r="X30" s="670"/>
      <c r="Y30" s="3443"/>
      <c r="Z30" s="671" t="str">
        <f t="shared" si="12"/>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43"/>
      <c r="Q31" s="1261" t="str">
        <f t="shared" si="8"/>
        <v>建筑结构</v>
      </c>
      <c r="R31" s="666" t="s">
        <v>14</v>
      </c>
      <c r="S31" s="667">
        <f t="shared" si="9"/>
        <v>100</v>
      </c>
      <c r="T31" s="666" t="s">
        <v>14</v>
      </c>
      <c r="U31" s="667">
        <f t="shared" si="10"/>
        <v>100</v>
      </c>
      <c r="V31" s="666" t="s">
        <v>14</v>
      </c>
      <c r="W31" s="667">
        <f t="shared" si="11"/>
        <v>100</v>
      </c>
      <c r="X31" s="1263"/>
      <c r="Y31" s="3443"/>
      <c r="Z31" s="1262" t="str">
        <f t="shared" si="12"/>
        <v>建筑结构</v>
      </c>
      <c r="AA31" s="1262">
        <f t="shared" si="3"/>
        <v>1</v>
      </c>
      <c r="AB31" s="1262">
        <f t="shared" si="4"/>
        <v>1</v>
      </c>
      <c r="AC31" s="1262">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43"/>
      <c r="Q32" s="1261" t="str">
        <f t="shared" si="8"/>
        <v>公共部分装修</v>
      </c>
      <c r="R32" s="666" t="s">
        <v>14</v>
      </c>
      <c r="S32" s="667">
        <f t="shared" si="9"/>
        <v>100</v>
      </c>
      <c r="T32" s="666" t="s">
        <v>14</v>
      </c>
      <c r="U32" s="667">
        <f t="shared" si="10"/>
        <v>100</v>
      </c>
      <c r="V32" s="666" t="s">
        <v>14</v>
      </c>
      <c r="W32" s="667">
        <f t="shared" si="11"/>
        <v>100</v>
      </c>
      <c r="X32" s="1263"/>
      <c r="Y32" s="3443"/>
      <c r="Z32" s="1262" t="str">
        <f t="shared" si="12"/>
        <v>公共部分装修</v>
      </c>
      <c r="AA32" s="1262">
        <f t="shared" si="3"/>
        <v>1</v>
      </c>
      <c r="AB32" s="1262">
        <f t="shared" si="4"/>
        <v>1</v>
      </c>
      <c r="AC32" s="1262">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43"/>
      <c r="Q33" s="1261" t="str">
        <f t="shared" si="8"/>
        <v>成新度</v>
      </c>
      <c r="R33" s="666" t="s">
        <v>14</v>
      </c>
      <c r="S33" s="667" t="e">
        <f t="shared" si="9"/>
        <v>#N/A</v>
      </c>
      <c r="T33" s="666" t="s">
        <v>14</v>
      </c>
      <c r="U33" s="667" t="e">
        <f t="shared" si="10"/>
        <v>#N/A</v>
      </c>
      <c r="V33" s="666" t="s">
        <v>14</v>
      </c>
      <c r="W33" s="667" t="e">
        <f t="shared" si="11"/>
        <v>#N/A</v>
      </c>
      <c r="X33" s="1263"/>
      <c r="Y33" s="3443"/>
      <c r="Z33" s="1262" t="str">
        <f t="shared" si="12"/>
        <v>成新度</v>
      </c>
      <c r="AA33" s="1262" t="e">
        <f t="shared" si="3"/>
        <v>#N/A</v>
      </c>
      <c r="AB33" s="1262" t="e">
        <f t="shared" si="4"/>
        <v>#N/A</v>
      </c>
      <c r="AC33" s="1262"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43"/>
      <c r="Q34" s="529" t="str">
        <f t="shared" si="8"/>
        <v>物业管理</v>
      </c>
      <c r="R34" s="663" t="s">
        <v>14</v>
      </c>
      <c r="S34" s="664">
        <f t="shared" si="9"/>
        <v>100</v>
      </c>
      <c r="T34" s="663" t="s">
        <v>14</v>
      </c>
      <c r="U34" s="664">
        <f t="shared" si="10"/>
        <v>100</v>
      </c>
      <c r="V34" s="663" t="s">
        <v>14</v>
      </c>
      <c r="W34" s="664">
        <f t="shared" si="11"/>
        <v>100</v>
      </c>
      <c r="X34" s="665"/>
      <c r="Y34" s="3443"/>
      <c r="Z34" s="50" t="str">
        <f t="shared" si="12"/>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43" t="s">
        <v>1696</v>
      </c>
      <c r="Q35" s="1261" t="str">
        <f t="shared" si="8"/>
        <v>市政基础设施</v>
      </c>
      <c r="R35" s="666" t="s">
        <v>14</v>
      </c>
      <c r="S35" s="667">
        <f t="shared" si="9"/>
        <v>100</v>
      </c>
      <c r="T35" s="666" t="s">
        <v>14</v>
      </c>
      <c r="U35" s="667">
        <f t="shared" si="10"/>
        <v>100</v>
      </c>
      <c r="V35" s="666" t="s">
        <v>14</v>
      </c>
      <c r="W35" s="667">
        <f t="shared" si="11"/>
        <v>100</v>
      </c>
      <c r="X35" s="1263"/>
      <c r="Y35" s="3443" t="s">
        <v>1696</v>
      </c>
      <c r="Z35" s="1262" t="str">
        <f t="shared" si="12"/>
        <v>市政基础设施</v>
      </c>
      <c r="AA35" s="1262">
        <f t="shared" si="3"/>
        <v>1</v>
      </c>
      <c r="AB35" s="1262">
        <f t="shared" si="4"/>
        <v>1</v>
      </c>
      <c r="AC35" s="1262">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43"/>
      <c r="Q36" s="1261" t="str">
        <f t="shared" si="8"/>
        <v>内部装修</v>
      </c>
      <c r="R36" s="666" t="s">
        <v>14</v>
      </c>
      <c r="S36" s="667">
        <f t="shared" si="9"/>
        <v>100</v>
      </c>
      <c r="T36" s="666" t="s">
        <v>14</v>
      </c>
      <c r="U36" s="667">
        <f t="shared" si="10"/>
        <v>100</v>
      </c>
      <c r="V36" s="666" t="s">
        <v>14</v>
      </c>
      <c r="W36" s="667">
        <f t="shared" si="11"/>
        <v>100</v>
      </c>
      <c r="X36" s="1263"/>
      <c r="Y36" s="3443"/>
      <c r="Z36" s="1262" t="str">
        <f t="shared" si="12"/>
        <v>内部装修</v>
      </c>
      <c r="AA36" s="1262">
        <f t="shared" si="3"/>
        <v>1</v>
      </c>
      <c r="AB36" s="1262">
        <f t="shared" si="4"/>
        <v>1</v>
      </c>
      <c r="AC36" s="1262">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43"/>
      <c r="Q37" s="1261" t="str">
        <f t="shared" si="8"/>
        <v>内部装修状况</v>
      </c>
      <c r="R37" s="666" t="s">
        <v>14</v>
      </c>
      <c r="S37" s="667">
        <f t="shared" si="9"/>
        <v>100</v>
      </c>
      <c r="T37" s="666" t="s">
        <v>14</v>
      </c>
      <c r="U37" s="667">
        <f t="shared" si="10"/>
        <v>100</v>
      </c>
      <c r="V37" s="666" t="s">
        <v>14</v>
      </c>
      <c r="W37" s="667">
        <f t="shared" si="11"/>
        <v>100</v>
      </c>
      <c r="X37" s="1263"/>
      <c r="Y37" s="3443"/>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43"/>
      <c r="Q38" s="530">
        <f t="shared" si="8"/>
        <v>111</v>
      </c>
      <c r="R38" s="668" t="s">
        <v>14</v>
      </c>
      <c r="S38" s="669">
        <f t="shared" si="9"/>
        <v>100</v>
      </c>
      <c r="T38" s="668" t="s">
        <v>14</v>
      </c>
      <c r="U38" s="669">
        <f t="shared" si="10"/>
        <v>100</v>
      </c>
      <c r="V38" s="668" t="s">
        <v>14</v>
      </c>
      <c r="W38" s="669">
        <f t="shared" si="11"/>
        <v>100</v>
      </c>
      <c r="X38" s="670"/>
      <c r="Y38" s="3443"/>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43"/>
      <c r="Q39" s="1261">
        <f t="shared" si="8"/>
        <v>111</v>
      </c>
      <c r="R39" s="666" t="s">
        <v>14</v>
      </c>
      <c r="S39" s="667">
        <f t="shared" si="9"/>
        <v>100</v>
      </c>
      <c r="T39" s="666" t="s">
        <v>14</v>
      </c>
      <c r="U39" s="667">
        <f t="shared" si="10"/>
        <v>100</v>
      </c>
      <c r="V39" s="666" t="s">
        <v>14</v>
      </c>
      <c r="W39" s="667">
        <f t="shared" si="11"/>
        <v>100</v>
      </c>
      <c r="X39" s="1263"/>
      <c r="Y39" s="3443"/>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44"/>
      <c r="Q40" s="1261">
        <f t="shared" si="8"/>
        <v>111</v>
      </c>
      <c r="R40" s="666" t="s">
        <v>14</v>
      </c>
      <c r="S40" s="667">
        <f t="shared" si="9"/>
        <v>100</v>
      </c>
      <c r="T40" s="666" t="s">
        <v>14</v>
      </c>
      <c r="U40" s="667">
        <f t="shared" si="10"/>
        <v>100</v>
      </c>
      <c r="V40" s="666" t="s">
        <v>14</v>
      </c>
      <c r="W40" s="667">
        <f t="shared" si="11"/>
        <v>100</v>
      </c>
      <c r="X40" s="1263"/>
      <c r="Y40" s="3444"/>
      <c r="Z40" s="1262">
        <f t="shared" si="12"/>
        <v>111</v>
      </c>
      <c r="AA40" s="1262">
        <f t="shared" si="3"/>
        <v>1</v>
      </c>
      <c r="AB40" s="1262">
        <f t="shared" si="4"/>
        <v>1</v>
      </c>
      <c r="AC40" s="1262">
        <f t="shared" si="5"/>
        <v>1</v>
      </c>
    </row>
    <row r="41" spans="1:29" ht="15">
      <c r="A41" s="415" t="s">
        <v>1706</v>
      </c>
      <c r="B41" s="416"/>
      <c r="C41" s="1080" t="s">
        <v>0</v>
      </c>
      <c r="D41" s="417"/>
      <c r="E41" s="418"/>
      <c r="F41" s="419"/>
      <c r="G41" s="420"/>
      <c r="H41" s="421"/>
      <c r="I41" s="418"/>
      <c r="J41" s="421"/>
      <c r="K41" s="673"/>
      <c r="L41" s="872"/>
      <c r="M41" s="860"/>
      <c r="N41" s="860"/>
      <c r="O41" s="860"/>
      <c r="P41" s="3437" t="str">
        <f>A41</f>
        <v>成交单价（元/平方米）</v>
      </c>
      <c r="Q41" s="3437"/>
      <c r="R41" s="3432">
        <f>E41</f>
        <v>0</v>
      </c>
      <c r="S41" s="3432"/>
      <c r="T41" s="3432">
        <f>G41</f>
        <v>0</v>
      </c>
      <c r="U41" s="3432"/>
      <c r="V41" s="3432">
        <f>I41</f>
        <v>0</v>
      </c>
      <c r="W41" s="3432"/>
      <c r="X41" s="384"/>
      <c r="Y41" s="672"/>
      <c r="Z41" s="384"/>
      <c r="AA41" s="384"/>
      <c r="AB41" s="384"/>
      <c r="AC41" s="384"/>
    </row>
    <row r="42" spans="1:29" ht="15.75" thickBot="1">
      <c r="A42" s="422" t="s">
        <v>1790</v>
      </c>
      <c r="B42" s="423"/>
      <c r="C42" s="1081" t="e">
        <f>R43</f>
        <v>#DIV/0!</v>
      </c>
      <c r="D42" s="2136" t="s">
        <v>2135</v>
      </c>
      <c r="E42" s="1082" t="e">
        <f>R42</f>
        <v>#DIV/0!</v>
      </c>
      <c r="F42" s="2137"/>
      <c r="G42" s="1081" t="e">
        <f>T42</f>
        <v>#DIV/0!</v>
      </c>
      <c r="H42" s="2137"/>
      <c r="I42" s="1082" t="e">
        <f>V42</f>
        <v>#DIV/0!</v>
      </c>
      <c r="J42" s="2137"/>
      <c r="K42" s="2139">
        <f>F42+H42+J42</f>
        <v>0</v>
      </c>
      <c r="L42" s="872"/>
      <c r="M42" s="860"/>
      <c r="N42" s="860"/>
      <c r="O42" s="860"/>
      <c r="P42" s="3437" t="str">
        <f>A42</f>
        <v>比较价值（元/平方米）</v>
      </c>
      <c r="Q42" s="3437"/>
      <c r="R42" s="3432" t="e">
        <f>IF(F1="售价",ROUND(PRODUCT(R41,AA7:AA40),0),ROUND(PRODUCT(R41,AA7:AA40),1))</f>
        <v>#DIV/0!</v>
      </c>
      <c r="S42" s="3432"/>
      <c r="T42" s="3432" t="e">
        <f>IF(F1="售价",ROUND(PRODUCT(T41,AB7:AB40),0),ROUND(PRODUCT(T41,AB7:AB40),1))</f>
        <v>#DIV/0!</v>
      </c>
      <c r="U42" s="3432"/>
      <c r="V42" s="3432" t="e">
        <f>IF(F1="售价",ROUND(PRODUCT(V41,AC7:AC40),0),ROUND(PRODUCT(V41,AC7:AC40),1))</f>
        <v>#DIV/0!</v>
      </c>
      <c r="W42" s="3432"/>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434" t="str">
        <f>A43</f>
        <v>估价对象XX用房的比较价值（楼面单价，元/平方米）</v>
      </c>
      <c r="Q43" s="3435"/>
      <c r="R43" s="3436" t="e">
        <f>IF(F1="售价",ROUND(IF(D42="简单平均",AVERAGE(R42:V42),R42*F42+T42*H42+V42*J42),0),ROUND(IF(D42="简单平均",AVERAGE(R42:V42),R42*F42+T42*H42+V42*J42),1))</f>
        <v>#DIV/0!</v>
      </c>
      <c r="S43" s="3436"/>
      <c r="T43" s="3436"/>
      <c r="U43" s="3436"/>
      <c r="V43" s="3436"/>
      <c r="W43" s="3436"/>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2024-10</v>
      </c>
      <c r="D52" s="1102">
        <f>EDATE(C52,-1)</f>
        <v>45536</v>
      </c>
      <c r="E52" s="1102">
        <f t="shared" ref="E52:O52" si="13">EDATE(D52,-1)</f>
        <v>45505</v>
      </c>
      <c r="F52" s="1102">
        <f t="shared" si="13"/>
        <v>45474</v>
      </c>
      <c r="G52" s="1102">
        <f t="shared" si="13"/>
        <v>45444</v>
      </c>
      <c r="H52" s="1102">
        <f t="shared" si="13"/>
        <v>45413</v>
      </c>
      <c r="I52" s="1102">
        <f t="shared" si="13"/>
        <v>45383</v>
      </c>
      <c r="J52" s="1102">
        <f t="shared" si="13"/>
        <v>45352</v>
      </c>
      <c r="K52" s="1102">
        <f t="shared" si="13"/>
        <v>45323</v>
      </c>
      <c r="L52" s="1102">
        <f t="shared" si="13"/>
        <v>45292</v>
      </c>
      <c r="M52" s="1102">
        <f t="shared" si="13"/>
        <v>45261</v>
      </c>
      <c r="N52" s="1102">
        <f t="shared" si="13"/>
        <v>45231</v>
      </c>
      <c r="O52" s="1102">
        <f t="shared" si="13"/>
        <v>45200</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1826</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1735</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3333</v>
      </c>
      <c r="C1" s="1139" t="s">
        <v>1662</v>
      </c>
      <c r="D1" s="1140"/>
      <c r="E1" s="3125"/>
      <c r="F1" s="1733"/>
      <c r="G1" s="1142" t="s">
        <v>1764</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0"/>
      <c r="R3" s="340"/>
      <c r="S3" s="340"/>
      <c r="T3" s="340"/>
      <c r="U3" s="340"/>
      <c r="V3" s="340"/>
      <c r="W3" s="340"/>
      <c r="X3" s="340"/>
      <c r="Y3" s="340"/>
      <c r="Z3" s="340"/>
      <c r="AA3" s="340"/>
      <c r="AB3" s="675"/>
      <c r="AC3" s="662"/>
    </row>
    <row r="4" spans="1:29" ht="15">
      <c r="A4" s="344" t="s">
        <v>1766</v>
      </c>
      <c r="B4" s="345"/>
      <c r="C4" s="3420" t="s">
        <v>1767</v>
      </c>
      <c r="D4" s="3421"/>
      <c r="E4" s="3422" t="s">
        <v>1768</v>
      </c>
      <c r="F4" s="3423"/>
      <c r="G4" s="3420" t="s">
        <v>1769</v>
      </c>
      <c r="H4" s="3421"/>
      <c r="I4" s="3420" t="s">
        <v>1770</v>
      </c>
      <c r="J4" s="3421"/>
      <c r="K4" s="536" t="s">
        <v>1771</v>
      </c>
      <c r="L4" s="2481"/>
      <c r="M4" s="2482"/>
      <c r="N4" s="2482"/>
      <c r="O4" s="2482"/>
      <c r="P4" s="3424" t="s">
        <v>1772</v>
      </c>
      <c r="Q4" s="3425"/>
      <c r="R4" s="3406" t="s">
        <v>1768</v>
      </c>
      <c r="S4" s="3407"/>
      <c r="T4" s="3406" t="s">
        <v>1769</v>
      </c>
      <c r="U4" s="3407"/>
      <c r="V4" s="3432" t="s">
        <v>1770</v>
      </c>
      <c r="W4" s="3432"/>
      <c r="X4" s="1263"/>
      <c r="Y4" s="3406" t="s">
        <v>1772</v>
      </c>
      <c r="Z4" s="3407"/>
      <c r="AA4" s="3401" t="s">
        <v>1768</v>
      </c>
      <c r="AB4" s="3402" t="s">
        <v>1769</v>
      </c>
      <c r="AC4" s="3401" t="s">
        <v>1770</v>
      </c>
    </row>
    <row r="5" spans="1:29" ht="15">
      <c r="A5" s="347"/>
      <c r="B5" s="348"/>
      <c r="C5" s="3416" t="s">
        <v>1673</v>
      </c>
      <c r="D5" s="3413"/>
      <c r="E5" s="3447" t="s">
        <v>1674</v>
      </c>
      <c r="F5" s="3411"/>
      <c r="G5" s="3416" t="s">
        <v>1675</v>
      </c>
      <c r="H5" s="3413"/>
      <c r="I5" s="3416" t="s">
        <v>1676</v>
      </c>
      <c r="J5" s="3413"/>
      <c r="K5" s="536"/>
      <c r="L5" s="2481"/>
      <c r="M5" s="2482"/>
      <c r="N5" s="2482"/>
      <c r="O5" s="2482"/>
      <c r="P5" s="3426"/>
      <c r="Q5" s="3427"/>
      <c r="R5" s="3408"/>
      <c r="S5" s="3409"/>
      <c r="T5" s="3408"/>
      <c r="U5" s="3409"/>
      <c r="V5" s="3432"/>
      <c r="W5" s="3432"/>
      <c r="X5" s="1263"/>
      <c r="Y5" s="3408"/>
      <c r="Z5" s="3409"/>
      <c r="AA5" s="3402"/>
      <c r="AB5" s="3402"/>
      <c r="AC5" s="3402"/>
    </row>
    <row r="6" spans="1:29" ht="15.75" thickBot="1">
      <c r="A6" s="349"/>
      <c r="B6" s="350"/>
      <c r="C6" s="3414" t="s">
        <v>1677</v>
      </c>
      <c r="D6" s="3415"/>
      <c r="E6" s="3417" t="s">
        <v>1677</v>
      </c>
      <c r="F6" s="3418"/>
      <c r="G6" s="3414" t="s">
        <v>1677</v>
      </c>
      <c r="H6" s="3415"/>
      <c r="I6" s="3414" t="s">
        <v>1677</v>
      </c>
      <c r="J6" s="3415"/>
      <c r="K6" s="536" t="s">
        <v>1678</v>
      </c>
      <c r="L6" s="2481"/>
      <c r="M6" s="2482"/>
      <c r="N6" s="2482"/>
      <c r="O6" s="2482"/>
      <c r="P6" s="3428"/>
      <c r="Q6" s="3429"/>
      <c r="R6" s="3408"/>
      <c r="S6" s="3409"/>
      <c r="T6" s="3430"/>
      <c r="U6" s="3431"/>
      <c r="V6" s="3432"/>
      <c r="W6" s="3432"/>
      <c r="X6" s="1263"/>
      <c r="Y6" s="3430"/>
      <c r="Z6" s="3431"/>
      <c r="AA6" s="3403"/>
      <c r="AB6" s="3403"/>
      <c r="AC6" s="3403"/>
    </row>
    <row r="7" spans="1:29" s="101" customFormat="1" ht="15.75" thickBot="1">
      <c r="A7" s="351" t="s">
        <v>1679</v>
      </c>
      <c r="B7" s="352"/>
      <c r="C7" s="353">
        <f>'数据-取费表'!B2</f>
        <v>45583</v>
      </c>
      <c r="D7" s="354">
        <v>100</v>
      </c>
      <c r="E7" s="355"/>
      <c r="F7" s="356">
        <f>SUMIF(48:48,YEAR(E7)&amp;"-"&amp;MONTH(E7),49:49)</f>
        <v>0</v>
      </c>
      <c r="G7" s="355"/>
      <c r="H7" s="354">
        <f>SUMIF(48:48,YEAR(G7)&amp;"-"&amp;MONTH(G7),49:49)</f>
        <v>0</v>
      </c>
      <c r="I7" s="355"/>
      <c r="J7" s="354">
        <f>SUMIF(48:48,YEAR(I7)&amp;"-"&amp;MONTH(I7),49:49)</f>
        <v>0</v>
      </c>
      <c r="K7" s="38"/>
      <c r="L7" s="2483"/>
      <c r="M7" s="2434"/>
      <c r="N7" s="2434"/>
      <c r="O7" s="2434"/>
      <c r="P7" s="3404" t="s">
        <v>1680</v>
      </c>
      <c r="Q7" s="3433"/>
      <c r="R7" s="663" t="s">
        <v>14</v>
      </c>
      <c r="S7" s="664">
        <f t="shared" ref="S7:S14" si="0">F7</f>
        <v>0</v>
      </c>
      <c r="T7" s="663" t="s">
        <v>14</v>
      </c>
      <c r="U7" s="664">
        <f t="shared" ref="U7:U14" si="1">H7</f>
        <v>0</v>
      </c>
      <c r="V7" s="663" t="s">
        <v>14</v>
      </c>
      <c r="W7" s="664">
        <f t="shared" ref="W7:W14" si="2">J7</f>
        <v>0</v>
      </c>
      <c r="X7" s="665"/>
      <c r="Y7" s="3404" t="s">
        <v>1680</v>
      </c>
      <c r="Z7" s="3405"/>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404" t="s">
        <v>1683</v>
      </c>
      <c r="Q8" s="3405"/>
      <c r="R8" s="663" t="s">
        <v>14</v>
      </c>
      <c r="S8" s="664">
        <f t="shared" si="0"/>
        <v>100</v>
      </c>
      <c r="T8" s="663" t="s">
        <v>14</v>
      </c>
      <c r="U8" s="664">
        <f t="shared" si="1"/>
        <v>100</v>
      </c>
      <c r="V8" s="663" t="s">
        <v>14</v>
      </c>
      <c r="W8" s="664">
        <f t="shared" si="2"/>
        <v>100</v>
      </c>
      <c r="X8" s="665"/>
      <c r="Y8" s="3404" t="s">
        <v>1683</v>
      </c>
      <c r="Z8" s="3405"/>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3"/>
      <c r="M9" s="2434"/>
      <c r="N9" s="2434"/>
      <c r="O9" s="2434"/>
      <c r="P9" s="3437" t="s">
        <v>1686</v>
      </c>
      <c r="Q9" s="529" t="str">
        <f t="shared" ref="Q9:Q14" si="6">B9</f>
        <v>用途</v>
      </c>
      <c r="R9" s="663" t="s">
        <v>14</v>
      </c>
      <c r="S9" s="664">
        <f t="shared" si="0"/>
        <v>100</v>
      </c>
      <c r="T9" s="663" t="s">
        <v>14</v>
      </c>
      <c r="U9" s="664">
        <f t="shared" si="1"/>
        <v>100</v>
      </c>
      <c r="V9" s="663" t="s">
        <v>14</v>
      </c>
      <c r="W9" s="664">
        <f t="shared" si="2"/>
        <v>100</v>
      </c>
      <c r="X9" s="665"/>
      <c r="Y9" s="3348" t="s">
        <v>1687</v>
      </c>
      <c r="Z9" s="50" t="str">
        <f t="shared" ref="Z9:Z14" si="7">Q9</f>
        <v>用途</v>
      </c>
      <c r="AA9" s="50">
        <f t="shared" si="3"/>
        <v>1</v>
      </c>
      <c r="AB9" s="50">
        <f t="shared" si="4"/>
        <v>1</v>
      </c>
      <c r="AC9" s="50">
        <f t="shared" si="5"/>
        <v>1</v>
      </c>
    </row>
    <row r="10" spans="1:29" s="365" customFormat="1" ht="27">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4"/>
      <c r="M10" s="2485"/>
      <c r="N10" s="2485"/>
      <c r="O10" s="2485"/>
      <c r="P10" s="3437"/>
      <c r="Q10" s="529" t="str">
        <f t="shared" si="6"/>
        <v>土地使用年限（年）</v>
      </c>
      <c r="R10" s="663" t="s">
        <v>14</v>
      </c>
      <c r="S10" s="664">
        <f t="shared" si="0"/>
        <v>100</v>
      </c>
      <c r="T10" s="663" t="s">
        <v>14</v>
      </c>
      <c r="U10" s="664">
        <f t="shared" si="1"/>
        <v>100</v>
      </c>
      <c r="V10" s="663" t="s">
        <v>14</v>
      </c>
      <c r="W10" s="664">
        <f t="shared" si="2"/>
        <v>100</v>
      </c>
      <c r="X10" s="665"/>
      <c r="Y10" s="3348"/>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37"/>
      <c r="Q11" s="529">
        <f t="shared" si="6"/>
        <v>111</v>
      </c>
      <c r="R11" s="663" t="s">
        <v>14</v>
      </c>
      <c r="S11" s="664">
        <f t="shared" si="0"/>
        <v>100</v>
      </c>
      <c r="T11" s="663" t="s">
        <v>14</v>
      </c>
      <c r="U11" s="664">
        <f t="shared" si="1"/>
        <v>100</v>
      </c>
      <c r="V11" s="663" t="s">
        <v>14</v>
      </c>
      <c r="W11" s="664">
        <f t="shared" si="2"/>
        <v>100</v>
      </c>
      <c r="X11" s="665"/>
      <c r="Y11" s="3348"/>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437"/>
      <c r="Q12" s="529">
        <f t="shared" si="6"/>
        <v>111</v>
      </c>
      <c r="R12" s="663" t="s">
        <v>14</v>
      </c>
      <c r="S12" s="664">
        <f t="shared" si="0"/>
        <v>100</v>
      </c>
      <c r="T12" s="663" t="s">
        <v>14</v>
      </c>
      <c r="U12" s="664">
        <f t="shared" si="1"/>
        <v>100</v>
      </c>
      <c r="V12" s="663" t="s">
        <v>14</v>
      </c>
      <c r="W12" s="664">
        <f t="shared" si="2"/>
        <v>100</v>
      </c>
      <c r="X12" s="665"/>
      <c r="Y12" s="3348"/>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37"/>
      <c r="Q13" s="529">
        <f t="shared" si="6"/>
        <v>111</v>
      </c>
      <c r="R13" s="663" t="s">
        <v>14</v>
      </c>
      <c r="S13" s="664">
        <f t="shared" si="0"/>
        <v>100</v>
      </c>
      <c r="T13" s="663" t="s">
        <v>14</v>
      </c>
      <c r="U13" s="664">
        <f t="shared" si="1"/>
        <v>100</v>
      </c>
      <c r="V13" s="663" t="s">
        <v>14</v>
      </c>
      <c r="W13" s="664">
        <f t="shared" si="2"/>
        <v>100</v>
      </c>
      <c r="X13" s="665"/>
      <c r="Y13" s="3348"/>
      <c r="Z13" s="50">
        <f t="shared" si="7"/>
        <v>111</v>
      </c>
      <c r="AA13" s="50">
        <f t="shared" si="3"/>
        <v>1</v>
      </c>
      <c r="AB13" s="50">
        <f t="shared" si="4"/>
        <v>1</v>
      </c>
      <c r="AC13" s="50">
        <f t="shared" si="5"/>
        <v>1</v>
      </c>
    </row>
    <row r="14" spans="1:29" ht="99.75">
      <c r="A14" s="344" t="s">
        <v>1690</v>
      </c>
      <c r="B14" s="553" t="s">
        <v>1830</v>
      </c>
      <c r="C14" s="1814" t="str">
        <f>IF(B1="工业",估价对象房地状况!G4,估价对象房地状况!C6)</f>
        <v>周边有301路、432路、530路、620路等多条公交线路及地铁17号线天通苑东站，综合评价交通便捷度较好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38" t="s">
        <v>1691</v>
      </c>
      <c r="Q14" s="1261" t="str">
        <f t="shared" si="6"/>
        <v>交通便捷度</v>
      </c>
      <c r="R14" s="666" t="s">
        <v>14</v>
      </c>
      <c r="S14" s="667">
        <f t="shared" si="0"/>
        <v>100</v>
      </c>
      <c r="T14" s="666" t="s">
        <v>14</v>
      </c>
      <c r="U14" s="667">
        <f t="shared" si="1"/>
        <v>100</v>
      </c>
      <c r="V14" s="666" t="s">
        <v>14</v>
      </c>
      <c r="W14" s="667">
        <f t="shared" si="2"/>
        <v>100</v>
      </c>
      <c r="X14" s="1263"/>
      <c r="Y14" s="3438"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39"/>
      <c r="Q15" s="1261"/>
      <c r="R15" s="666"/>
      <c r="S15" s="667"/>
      <c r="T15" s="666"/>
      <c r="U15" s="667"/>
      <c r="V15" s="666"/>
      <c r="W15" s="667"/>
      <c r="X15" s="1263"/>
      <c r="Y15" s="3439"/>
      <c r="Z15" s="1262"/>
      <c r="AA15" s="1262">
        <v>1</v>
      </c>
      <c r="AB15" s="1262">
        <v>1</v>
      </c>
      <c r="AC15" s="1262">
        <v>1</v>
      </c>
    </row>
    <row r="16" spans="1:29" ht="327.75">
      <c r="A16" s="347"/>
      <c r="B16" s="555" t="s">
        <v>1809</v>
      </c>
      <c r="C16" s="1751" t="str">
        <f>IF(B1="工业",估价对象房地状况!G5,估价对象房地状况!C7)</f>
        <v>银行：中国农业银行、中国建设银行、中国邮政储蓄银行等金融机构；
医院：天通苑中医医院、天通苑东二区社区卫生服务站等医疗机构；
学校：北京市朝阳外国语学校(高中部)、天通苑小学、昌平区育树家幼儿园等教育机构；
商业：国泰百货(天通苑店)、龙德广场等商业设施；
综合评价公共服务设施齐备度较好。</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39"/>
      <c r="Q16" s="1261" t="str">
        <f>B16</f>
        <v>公共配套设施</v>
      </c>
      <c r="R16" s="666" t="s">
        <v>14</v>
      </c>
      <c r="S16" s="667">
        <f>F16</f>
        <v>100</v>
      </c>
      <c r="T16" s="666" t="s">
        <v>14</v>
      </c>
      <c r="U16" s="667">
        <f>H16</f>
        <v>100</v>
      </c>
      <c r="V16" s="666" t="s">
        <v>14</v>
      </c>
      <c r="W16" s="667">
        <f>J16</f>
        <v>100</v>
      </c>
      <c r="X16" s="1263"/>
      <c r="Y16" s="3439"/>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7"/>
      <c r="M17" s="2482"/>
      <c r="N17" s="2482"/>
      <c r="O17" s="2482"/>
      <c r="P17" s="3439"/>
      <c r="Q17" s="1261"/>
      <c r="R17" s="666"/>
      <c r="S17" s="667"/>
      <c r="T17" s="666"/>
      <c r="U17" s="667"/>
      <c r="V17" s="666"/>
      <c r="W17" s="667"/>
      <c r="X17" s="1263"/>
      <c r="Y17" s="3439"/>
      <c r="Z17" s="1262"/>
      <c r="AA17" s="1262">
        <v>1</v>
      </c>
      <c r="AB17" s="1262">
        <v>1</v>
      </c>
      <c r="AC17" s="1262">
        <v>1</v>
      </c>
    </row>
    <row r="18" spans="1:29" ht="28.5">
      <c r="A18" s="347"/>
      <c r="B18" s="556" t="s">
        <v>1810</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39"/>
      <c r="Q18" s="1261" t="str">
        <f>B18</f>
        <v>基础设施水平</v>
      </c>
      <c r="R18" s="666" t="s">
        <v>14</v>
      </c>
      <c r="S18" s="667">
        <f>F18</f>
        <v>100</v>
      </c>
      <c r="T18" s="666" t="s">
        <v>14</v>
      </c>
      <c r="U18" s="667">
        <f>H18</f>
        <v>100</v>
      </c>
      <c r="V18" s="666" t="s">
        <v>14</v>
      </c>
      <c r="W18" s="667">
        <f>J18</f>
        <v>100</v>
      </c>
      <c r="X18" s="1263"/>
      <c r="Y18" s="3439"/>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7"/>
      <c r="M19" s="2482"/>
      <c r="N19" s="2482"/>
      <c r="O19" s="2482"/>
      <c r="P19" s="3439"/>
      <c r="Q19" s="1261"/>
      <c r="R19" s="666"/>
      <c r="S19" s="667"/>
      <c r="T19" s="666"/>
      <c r="U19" s="667"/>
      <c r="V19" s="666"/>
      <c r="W19" s="667"/>
      <c r="X19" s="1263"/>
      <c r="Y19" s="3439"/>
      <c r="Z19" s="1262"/>
      <c r="AA19" s="1262">
        <v>1</v>
      </c>
      <c r="AB19" s="1262">
        <v>1</v>
      </c>
      <c r="AC19" s="1262">
        <v>1</v>
      </c>
    </row>
    <row r="20" spans="1:29" ht="142.5">
      <c r="A20" s="347"/>
      <c r="B20" s="555" t="s">
        <v>1831</v>
      </c>
      <c r="C20" s="1751" t="str">
        <f>IF(B1="工业",估价对象房地状况!G7,估价对象房地状况!C9)</f>
        <v>自然环境：清河营郊野公园、清河水系等自然景观；
人文环境：天通苑体育馆、天通苑文化艺术中心等人文场所；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39"/>
      <c r="Q20" s="1261" t="str">
        <f>B20</f>
        <v>自然及人文环境</v>
      </c>
      <c r="R20" s="666" t="s">
        <v>14</v>
      </c>
      <c r="S20" s="667">
        <f>F20</f>
        <v>100</v>
      </c>
      <c r="T20" s="666" t="s">
        <v>14</v>
      </c>
      <c r="U20" s="667">
        <f>H20</f>
        <v>100</v>
      </c>
      <c r="V20" s="666" t="s">
        <v>14</v>
      </c>
      <c r="W20" s="667">
        <f>J20</f>
        <v>100</v>
      </c>
      <c r="X20" s="1263"/>
      <c r="Y20" s="3439"/>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39"/>
      <c r="Q21" s="1261"/>
      <c r="R21" s="666"/>
      <c r="S21" s="667"/>
      <c r="T21" s="666"/>
      <c r="U21" s="667"/>
      <c r="V21" s="666"/>
      <c r="W21" s="667"/>
      <c r="X21" s="1263"/>
      <c r="Y21" s="3439"/>
      <c r="Z21" s="1262"/>
      <c r="AA21" s="1262">
        <v>1</v>
      </c>
      <c r="AB21" s="1262">
        <v>1</v>
      </c>
      <c r="AC21" s="1262">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39"/>
      <c r="Q22" s="1261" t="str">
        <f>B22</f>
        <v>楼层</v>
      </c>
      <c r="R22" s="666" t="s">
        <v>14</v>
      </c>
      <c r="S22" s="667">
        <f>F22</f>
        <v>100</v>
      </c>
      <c r="T22" s="666" t="s">
        <v>14</v>
      </c>
      <c r="U22" s="667">
        <f>H22</f>
        <v>100</v>
      </c>
      <c r="V22" s="666" t="s">
        <v>14</v>
      </c>
      <c r="W22" s="667">
        <f>J22</f>
        <v>100</v>
      </c>
      <c r="X22" s="1263"/>
      <c r="Y22" s="3439"/>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39"/>
      <c r="Q23" s="1261">
        <f>B23</f>
        <v>111</v>
      </c>
      <c r="R23" s="666" t="s">
        <v>14</v>
      </c>
      <c r="S23" s="667">
        <f>F23</f>
        <v>100</v>
      </c>
      <c r="T23" s="666" t="s">
        <v>14</v>
      </c>
      <c r="U23" s="667">
        <f>H23</f>
        <v>100</v>
      </c>
      <c r="V23" s="666" t="s">
        <v>14</v>
      </c>
      <c r="W23" s="667">
        <f>J23</f>
        <v>100</v>
      </c>
      <c r="X23" s="1263"/>
      <c r="Y23" s="3439"/>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39"/>
      <c r="Q24" s="1261">
        <f t="shared" ref="Q24:Q36" si="8">B24</f>
        <v>111</v>
      </c>
      <c r="R24" s="666" t="s">
        <v>14</v>
      </c>
      <c r="S24" s="667">
        <f>F24</f>
        <v>100</v>
      </c>
      <c r="T24" s="666" t="s">
        <v>14</v>
      </c>
      <c r="U24" s="667">
        <f>H24</f>
        <v>100</v>
      </c>
      <c r="V24" s="666" t="s">
        <v>14</v>
      </c>
      <c r="W24" s="667">
        <f>J24</f>
        <v>100</v>
      </c>
      <c r="X24" s="1263"/>
      <c r="Y24" s="3439"/>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4"/>
      <c r="N25" s="2434"/>
      <c r="O25" s="2434"/>
      <c r="P25" s="3439"/>
      <c r="Q25" s="529">
        <f t="shared" si="8"/>
        <v>111</v>
      </c>
      <c r="R25" s="663" t="s">
        <v>14</v>
      </c>
      <c r="S25" s="664">
        <f>F25</f>
        <v>100</v>
      </c>
      <c r="T25" s="663" t="s">
        <v>14</v>
      </c>
      <c r="U25" s="664">
        <f>H25</f>
        <v>100</v>
      </c>
      <c r="V25" s="663" t="s">
        <v>14</v>
      </c>
      <c r="W25" s="664">
        <f>J25</f>
        <v>100</v>
      </c>
      <c r="X25" s="665"/>
      <c r="Y25" s="3439"/>
      <c r="Z25" s="50">
        <f>Q25</f>
        <v>111</v>
      </c>
      <c r="AA25" s="1262">
        <f>D25/F25</f>
        <v>1</v>
      </c>
      <c r="AB25" s="1262">
        <f>D25/H25</f>
        <v>1</v>
      </c>
      <c r="AC25" s="1262">
        <f>D25/J25</f>
        <v>1</v>
      </c>
    </row>
    <row r="26" spans="1:29" ht="28.5">
      <c r="A26" s="573" t="s">
        <v>1694</v>
      </c>
      <c r="B26" s="59" t="s">
        <v>1833</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463" t="s">
        <v>1696</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43" t="s">
        <v>1696</v>
      </c>
      <c r="Z26" s="1262" t="str">
        <f t="shared" ref="Z26:Z36" si="12">Q26</f>
        <v>配套类型</v>
      </c>
      <c r="AA26" s="1262" t="e">
        <f t="shared" si="3"/>
        <v>#DIV/0!</v>
      </c>
      <c r="AB26" s="1262" t="e">
        <f t="shared" si="4"/>
        <v>#DIV/0!</v>
      </c>
      <c r="AC26" s="1262"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43"/>
      <c r="Q27" s="530" t="str">
        <f t="shared" si="8"/>
        <v>项目停车位配比</v>
      </c>
      <c r="R27" s="668" t="s">
        <v>14</v>
      </c>
      <c r="S27" s="669">
        <f t="shared" si="9"/>
        <v>100</v>
      </c>
      <c r="T27" s="668" t="s">
        <v>14</v>
      </c>
      <c r="U27" s="669">
        <f t="shared" si="10"/>
        <v>100</v>
      </c>
      <c r="V27" s="668" t="s">
        <v>14</v>
      </c>
      <c r="W27" s="669">
        <f t="shared" si="11"/>
        <v>100</v>
      </c>
      <c r="X27" s="670"/>
      <c r="Y27" s="3443"/>
      <c r="Z27" s="671" t="str">
        <f t="shared" si="12"/>
        <v>项目停车位配比</v>
      </c>
      <c r="AA27" s="1262">
        <f t="shared" si="3"/>
        <v>1</v>
      </c>
      <c r="AB27" s="1262">
        <f t="shared" si="4"/>
        <v>1</v>
      </c>
      <c r="AC27" s="1262">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43"/>
      <c r="Q28" s="1261" t="str">
        <f t="shared" si="8"/>
        <v>公共部分装修</v>
      </c>
      <c r="R28" s="666" t="s">
        <v>14</v>
      </c>
      <c r="S28" s="667">
        <f t="shared" si="9"/>
        <v>100</v>
      </c>
      <c r="T28" s="666" t="s">
        <v>14</v>
      </c>
      <c r="U28" s="667">
        <f t="shared" si="10"/>
        <v>100</v>
      </c>
      <c r="V28" s="666" t="s">
        <v>14</v>
      </c>
      <c r="W28" s="667">
        <f t="shared" si="11"/>
        <v>100</v>
      </c>
      <c r="X28" s="1263"/>
      <c r="Y28" s="3443"/>
      <c r="Z28" s="1262" t="str">
        <f t="shared" si="12"/>
        <v>公共部分装修</v>
      </c>
      <c r="AA28" s="1262">
        <f t="shared" si="3"/>
        <v>1</v>
      </c>
      <c r="AB28" s="1262">
        <f t="shared" si="4"/>
        <v>1</v>
      </c>
      <c r="AC28" s="1262">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43"/>
      <c r="Q29" s="1261" t="str">
        <f t="shared" si="8"/>
        <v>成新率</v>
      </c>
      <c r="R29" s="666" t="s">
        <v>14</v>
      </c>
      <c r="S29" s="667" t="e">
        <f t="shared" si="9"/>
        <v>#N/A</v>
      </c>
      <c r="T29" s="666" t="s">
        <v>14</v>
      </c>
      <c r="U29" s="667" t="e">
        <f t="shared" si="10"/>
        <v>#N/A</v>
      </c>
      <c r="V29" s="666" t="s">
        <v>14</v>
      </c>
      <c r="W29" s="667" t="e">
        <f t="shared" si="11"/>
        <v>#N/A</v>
      </c>
      <c r="X29" s="1263"/>
      <c r="Y29" s="3443"/>
      <c r="Z29" s="1262" t="str">
        <f t="shared" si="12"/>
        <v>成新率</v>
      </c>
      <c r="AA29" s="1262" t="e">
        <f t="shared" si="3"/>
        <v>#N/A</v>
      </c>
      <c r="AB29" s="1262" t="e">
        <f t="shared" si="4"/>
        <v>#N/A</v>
      </c>
      <c r="AC29" s="1262"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43"/>
      <c r="Q30" s="1261" t="str">
        <f t="shared" si="8"/>
        <v>物业等级</v>
      </c>
      <c r="R30" s="666" t="s">
        <v>14</v>
      </c>
      <c r="S30" s="667">
        <f t="shared" si="9"/>
        <v>100</v>
      </c>
      <c r="T30" s="666" t="s">
        <v>14</v>
      </c>
      <c r="U30" s="667">
        <f t="shared" si="10"/>
        <v>100</v>
      </c>
      <c r="V30" s="666" t="s">
        <v>14</v>
      </c>
      <c r="W30" s="667">
        <f t="shared" si="11"/>
        <v>100</v>
      </c>
      <c r="X30" s="1263"/>
      <c r="Y30" s="3443"/>
      <c r="Z30" s="1262" t="str">
        <f t="shared" si="12"/>
        <v>物业等级</v>
      </c>
      <c r="AA30" s="1262">
        <f t="shared" si="3"/>
        <v>1</v>
      </c>
      <c r="AB30" s="1262">
        <f t="shared" si="4"/>
        <v>1</v>
      </c>
      <c r="AC30" s="1262">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443"/>
      <c r="Q31" s="529" t="str">
        <f t="shared" si="8"/>
        <v>停车位面积</v>
      </c>
      <c r="R31" s="663" t="s">
        <v>14</v>
      </c>
      <c r="S31" s="664" t="e">
        <f t="shared" si="9"/>
        <v>#N/A</v>
      </c>
      <c r="T31" s="663" t="s">
        <v>14</v>
      </c>
      <c r="U31" s="664" t="e">
        <f t="shared" si="10"/>
        <v>#N/A</v>
      </c>
      <c r="V31" s="663" t="s">
        <v>14</v>
      </c>
      <c r="W31" s="664" t="e">
        <f t="shared" si="11"/>
        <v>#N/A</v>
      </c>
      <c r="X31" s="665"/>
      <c r="Y31" s="3443"/>
      <c r="Z31" s="50" t="str">
        <f t="shared" si="12"/>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43" t="s">
        <v>1696</v>
      </c>
      <c r="Q32" s="1261" t="str">
        <f t="shared" si="8"/>
        <v>车位类型</v>
      </c>
      <c r="R32" s="666" t="s">
        <v>14</v>
      </c>
      <c r="S32" s="667">
        <f t="shared" si="9"/>
        <v>100</v>
      </c>
      <c r="T32" s="666" t="s">
        <v>14</v>
      </c>
      <c r="U32" s="667">
        <f t="shared" si="10"/>
        <v>100</v>
      </c>
      <c r="V32" s="666" t="s">
        <v>14</v>
      </c>
      <c r="W32" s="667">
        <f t="shared" si="11"/>
        <v>100</v>
      </c>
      <c r="X32" s="1263"/>
      <c r="Y32" s="3443" t="s">
        <v>1696</v>
      </c>
      <c r="Z32" s="1262" t="str">
        <f t="shared" si="12"/>
        <v>车位类型</v>
      </c>
      <c r="AA32" s="1262">
        <f t="shared" si="3"/>
        <v>1</v>
      </c>
      <c r="AB32" s="1262">
        <f t="shared" si="4"/>
        <v>1</v>
      </c>
      <c r="AC32" s="1262">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43"/>
      <c r="Q33" s="1261" t="str">
        <f t="shared" si="8"/>
        <v>是否直接入户</v>
      </c>
      <c r="R33" s="666" t="s">
        <v>14</v>
      </c>
      <c r="S33" s="667">
        <f t="shared" si="9"/>
        <v>100</v>
      </c>
      <c r="T33" s="666" t="s">
        <v>14</v>
      </c>
      <c r="U33" s="667">
        <f t="shared" si="10"/>
        <v>100</v>
      </c>
      <c r="V33" s="666" t="s">
        <v>14</v>
      </c>
      <c r="W33" s="667">
        <f t="shared" si="11"/>
        <v>100</v>
      </c>
      <c r="X33" s="1263"/>
      <c r="Y33" s="3443"/>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43"/>
      <c r="Q34" s="1261">
        <f t="shared" si="8"/>
        <v>111</v>
      </c>
      <c r="R34" s="666" t="s">
        <v>14</v>
      </c>
      <c r="S34" s="667">
        <f t="shared" si="9"/>
        <v>100</v>
      </c>
      <c r="T34" s="666" t="s">
        <v>14</v>
      </c>
      <c r="U34" s="667">
        <f t="shared" si="10"/>
        <v>100</v>
      </c>
      <c r="V34" s="666" t="s">
        <v>14</v>
      </c>
      <c r="W34" s="667">
        <f t="shared" si="11"/>
        <v>100</v>
      </c>
      <c r="X34" s="1263"/>
      <c r="Y34" s="3443"/>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43"/>
      <c r="Q35" s="530">
        <f t="shared" si="8"/>
        <v>111</v>
      </c>
      <c r="R35" s="668" t="s">
        <v>14</v>
      </c>
      <c r="S35" s="669">
        <f t="shared" si="9"/>
        <v>100</v>
      </c>
      <c r="T35" s="668" t="s">
        <v>14</v>
      </c>
      <c r="U35" s="669">
        <f t="shared" si="10"/>
        <v>100</v>
      </c>
      <c r="V35" s="668" t="s">
        <v>14</v>
      </c>
      <c r="W35" s="669">
        <f t="shared" si="11"/>
        <v>100</v>
      </c>
      <c r="X35" s="670"/>
      <c r="Y35" s="3443"/>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43"/>
      <c r="Q36" s="1261">
        <f t="shared" si="8"/>
        <v>111</v>
      </c>
      <c r="R36" s="666" t="s">
        <v>14</v>
      </c>
      <c r="S36" s="667">
        <f t="shared" si="9"/>
        <v>100</v>
      </c>
      <c r="T36" s="666" t="s">
        <v>14</v>
      </c>
      <c r="U36" s="667">
        <f t="shared" si="10"/>
        <v>100</v>
      </c>
      <c r="V36" s="666" t="s">
        <v>14</v>
      </c>
      <c r="W36" s="667">
        <f t="shared" si="11"/>
        <v>100</v>
      </c>
      <c r="X36" s="1263"/>
      <c r="Y36" s="3443"/>
      <c r="Z36" s="1262">
        <f t="shared" si="12"/>
        <v>111</v>
      </c>
      <c r="AA36" s="1262">
        <f t="shared" si="3"/>
        <v>1</v>
      </c>
      <c r="AB36" s="1262">
        <f t="shared" si="4"/>
        <v>1</v>
      </c>
      <c r="AC36" s="1262">
        <f t="shared" si="5"/>
        <v>1</v>
      </c>
    </row>
    <row r="37" spans="1:29" ht="15">
      <c r="A37" s="415" t="s">
        <v>1841</v>
      </c>
      <c r="B37" s="1816" t="s">
        <v>3354</v>
      </c>
      <c r="C37" s="1080" t="s">
        <v>0</v>
      </c>
      <c r="D37" s="417"/>
      <c r="E37" s="418"/>
      <c r="F37" s="419"/>
      <c r="G37" s="420"/>
      <c r="H37" s="421"/>
      <c r="I37" s="418"/>
      <c r="J37" s="421"/>
      <c r="K37" s="544"/>
      <c r="L37" s="2489"/>
      <c r="M37" s="2482"/>
      <c r="N37" s="2482"/>
      <c r="O37" s="2482"/>
      <c r="P37" s="3437" t="str">
        <f>A37</f>
        <v>成交单价</v>
      </c>
      <c r="Q37" s="3437"/>
      <c r="R37" s="3432">
        <f>E37</f>
        <v>0</v>
      </c>
      <c r="S37" s="3432"/>
      <c r="T37" s="3432">
        <f>G37</f>
        <v>0</v>
      </c>
      <c r="U37" s="3432"/>
      <c r="V37" s="3432">
        <f>I37</f>
        <v>0</v>
      </c>
      <c r="W37" s="3432"/>
      <c r="X37" s="384"/>
      <c r="Y37" s="672"/>
      <c r="Z37" s="384"/>
      <c r="AA37" s="384"/>
      <c r="AB37" s="384"/>
      <c r="AC37" s="384"/>
    </row>
    <row r="38" spans="1:29" ht="15.75" thickBot="1">
      <c r="A38" s="422" t="s">
        <v>1842</v>
      </c>
      <c r="B38" s="423" t="str">
        <f>B37</f>
        <v>元/平方米</v>
      </c>
      <c r="C38" s="1081" t="e">
        <f>R39</f>
        <v>#DIV/0!</v>
      </c>
      <c r="D38" s="2136" t="s">
        <v>2135</v>
      </c>
      <c r="E38" s="1082" t="e">
        <f>R38</f>
        <v>#DIV/0!</v>
      </c>
      <c r="F38" s="2137"/>
      <c r="G38" s="1081" t="e">
        <f>T38</f>
        <v>#DIV/0!</v>
      </c>
      <c r="H38" s="2137"/>
      <c r="I38" s="1082" t="e">
        <f>V38</f>
        <v>#DIV/0!</v>
      </c>
      <c r="J38" s="2137"/>
      <c r="K38" s="2139">
        <f>F38+H38+J38</f>
        <v>0</v>
      </c>
      <c r="L38" s="2489"/>
      <c r="M38" s="2482"/>
      <c r="N38" s="2482"/>
      <c r="O38" s="2482"/>
      <c r="P38" s="3437" t="str">
        <f>A38</f>
        <v>比较价值（元/平方米）</v>
      </c>
      <c r="Q38" s="3437"/>
      <c r="R38" s="3432" t="e">
        <f>IF(F1="售价",ROUND(PRODUCT(R37,AA7:AA36),0),ROUND(PRODUCT(R37,AA7:AA36),1))</f>
        <v>#DIV/0!</v>
      </c>
      <c r="S38" s="3432"/>
      <c r="T38" s="3432" t="e">
        <f>IF(F1="售价",ROUND(PRODUCT(T37,AB7:AB36),0),ROUND(PRODUCT(T37,AB7:AB36),1))</f>
        <v>#DIV/0!</v>
      </c>
      <c r="U38" s="3432"/>
      <c r="V38" s="3432" t="e">
        <f>IF(F1="售价",ROUND(PRODUCT(V37,AC7:AC36),0),ROUND(PRODUCT(V37,AC7:AC36),1))</f>
        <v>#DIV/0!</v>
      </c>
      <c r="W38" s="3432"/>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9"/>
      <c r="M39" s="2482"/>
      <c r="N39" s="2482"/>
      <c r="O39" s="2482"/>
      <c r="P39" s="3434" t="str">
        <f>A39</f>
        <v>估价对象XX用房的比较价值（楼面单价，元/平方米）</v>
      </c>
      <c r="Q39" s="3435"/>
      <c r="R39" s="3464" t="e">
        <f>IF(F1="售价",ROUND(IF(D38="简单平均",AVERAGE(R38:W38),R38*F38+T38*H38+V38*J38),0),ROUND(IF(D38="简单平均",AVERAGE(R38:V38),R38*F38+T38*H38+V38*J38),1))</f>
        <v>#DIV/0!</v>
      </c>
      <c r="S39" s="3464"/>
      <c r="T39" s="3464"/>
      <c r="U39" s="3464"/>
      <c r="V39" s="3464"/>
      <c r="W39" s="3464"/>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6" t="s">
        <v>1847</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1848</v>
      </c>
      <c r="B48" s="440"/>
      <c r="C48" s="1101" t="str">
        <f>YEAR(C7)&amp;"-"&amp;MONTH(C7)</f>
        <v>2024-10</v>
      </c>
      <c r="D48" s="1102">
        <f>EDATE(C48,-1)</f>
        <v>45536</v>
      </c>
      <c r="E48" s="1102">
        <f t="shared" ref="E48:O48" si="13">EDATE(D48,-1)</f>
        <v>45505</v>
      </c>
      <c r="F48" s="1102">
        <f t="shared" si="13"/>
        <v>45474</v>
      </c>
      <c r="G48" s="1102">
        <f t="shared" si="13"/>
        <v>45444</v>
      </c>
      <c r="H48" s="1102">
        <f t="shared" si="13"/>
        <v>45413</v>
      </c>
      <c r="I48" s="1102">
        <f t="shared" si="13"/>
        <v>45383</v>
      </c>
      <c r="J48" s="1102">
        <f t="shared" si="13"/>
        <v>45352</v>
      </c>
      <c r="K48" s="1102">
        <f t="shared" si="13"/>
        <v>45323</v>
      </c>
      <c r="L48" s="1102">
        <f t="shared" si="13"/>
        <v>45292</v>
      </c>
      <c r="M48" s="1102">
        <f t="shared" si="13"/>
        <v>45261</v>
      </c>
      <c r="N48" s="1102">
        <f t="shared" si="13"/>
        <v>45231</v>
      </c>
      <c r="O48" s="1102">
        <f t="shared" si="13"/>
        <v>45200</v>
      </c>
      <c r="P48" s="2522"/>
      <c r="Q48" s="2505"/>
      <c r="R48" s="2505"/>
      <c r="S48" s="2505"/>
      <c r="T48" s="2505"/>
      <c r="U48" s="2505"/>
      <c r="V48" s="2505"/>
      <c r="W48" s="2505"/>
      <c r="X48" s="2505"/>
      <c r="Y48" s="2505"/>
      <c r="Z48" s="2505"/>
      <c r="AA48" s="2505"/>
      <c r="AB48" s="2505"/>
      <c r="AC48" s="2505"/>
    </row>
    <row r="49" spans="1:29" s="101" customFormat="1" ht="15">
      <c r="A49" s="442"/>
      <c r="B49" s="443"/>
      <c r="C49" s="1096">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1714</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1773</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1717</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1724</v>
      </c>
      <c r="C63" s="503" t="s">
        <v>1719</v>
      </c>
      <c r="D63" s="503" t="s">
        <v>1720</v>
      </c>
      <c r="E63" s="503" t="s">
        <v>1721</v>
      </c>
      <c r="F63" s="503" t="s">
        <v>1722</v>
      </c>
      <c r="G63" s="503" t="s">
        <v>1723</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1725</v>
      </c>
      <c r="C65" s="508" t="s">
        <v>1719</v>
      </c>
      <c r="D65" s="508" t="s">
        <v>1720</v>
      </c>
      <c r="E65" s="508" t="s">
        <v>1721</v>
      </c>
      <c r="F65" s="508" t="s">
        <v>1722</v>
      </c>
      <c r="G65" s="508" t="s">
        <v>1723</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1810</v>
      </c>
      <c r="C67" s="580" t="s">
        <v>1796</v>
      </c>
      <c r="D67" s="580" t="s">
        <v>1797</v>
      </c>
      <c r="E67" s="580" t="s">
        <v>1798</v>
      </c>
      <c r="F67" s="580" t="s">
        <v>1799</v>
      </c>
      <c r="G67" s="580" t="s">
        <v>1800</v>
      </c>
      <c r="H67" s="469"/>
      <c r="I67" s="469"/>
      <c r="J67" s="469"/>
      <c r="K67" s="469"/>
      <c r="L67" s="469"/>
      <c r="M67" s="1062"/>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1731</v>
      </c>
      <c r="C69" s="508" t="s">
        <v>1719</v>
      </c>
      <c r="D69" s="508" t="s">
        <v>1720</v>
      </c>
      <c r="E69" s="508" t="s">
        <v>1721</v>
      </c>
      <c r="F69" s="508" t="s">
        <v>1722</v>
      </c>
      <c r="G69" s="508" t="s">
        <v>1723</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1849</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1850</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1851</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1737</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1853</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1854</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1855</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1856</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估价对象为北京市房地产，为所有。根据《国有土地使用证》[]，估价对象（分摊）出让国有建设用地使用权面积为0平方米，建筑面积为141.37平方米。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估价对象为北京市房地产,属开发建设的，该项目尚在开发建设中。根据《国有土地使用证》[]，估价对象（分摊）出让国有建设用地使用权面积为0平方米，规划建筑面积为141.37平方米。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2024年10月18日（评估专业人员实地查勘之日）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18日，估价对象规划用途为，土地取得方式为出让，出让国有建设用地使用权剩余土地使用年限为70，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70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本次评估采用的主估价方法为收益法和比较法。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3334</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1765</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0" t="s">
        <v>1767</v>
      </c>
      <c r="D4" s="3421"/>
      <c r="E4" s="3422" t="s">
        <v>1768</v>
      </c>
      <c r="F4" s="3423"/>
      <c r="G4" s="3420" t="s">
        <v>1769</v>
      </c>
      <c r="H4" s="3421"/>
      <c r="I4" s="3420" t="s">
        <v>1770</v>
      </c>
      <c r="J4" s="3421"/>
      <c r="K4" s="536" t="s">
        <v>1771</v>
      </c>
      <c r="L4" s="2481"/>
      <c r="M4" s="2482"/>
      <c r="N4" s="2482"/>
      <c r="O4" s="2482"/>
      <c r="P4" s="3424" t="s">
        <v>1772</v>
      </c>
      <c r="Q4" s="3425"/>
      <c r="R4" s="3406" t="s">
        <v>1768</v>
      </c>
      <c r="S4" s="3407"/>
      <c r="T4" s="3406" t="s">
        <v>1769</v>
      </c>
      <c r="U4" s="3407"/>
      <c r="V4" s="3432" t="s">
        <v>1770</v>
      </c>
      <c r="W4" s="3432"/>
      <c r="X4" s="1263"/>
      <c r="Y4" s="3406" t="s">
        <v>1772</v>
      </c>
      <c r="Z4" s="3407"/>
      <c r="AA4" s="3401" t="s">
        <v>1768</v>
      </c>
      <c r="AB4" s="3402" t="s">
        <v>1769</v>
      </c>
      <c r="AC4" s="3401" t="s">
        <v>1770</v>
      </c>
    </row>
    <row r="5" spans="1:29" ht="15">
      <c r="A5" s="347"/>
      <c r="B5" s="348"/>
      <c r="C5" s="3416" t="s">
        <v>1673</v>
      </c>
      <c r="D5" s="3413"/>
      <c r="E5" s="3447" t="s">
        <v>1674</v>
      </c>
      <c r="F5" s="3411"/>
      <c r="G5" s="3416" t="s">
        <v>1675</v>
      </c>
      <c r="H5" s="3413"/>
      <c r="I5" s="3416" t="s">
        <v>1676</v>
      </c>
      <c r="J5" s="3413"/>
      <c r="K5" s="536"/>
      <c r="L5" s="2481"/>
      <c r="M5" s="2482"/>
      <c r="N5" s="2482"/>
      <c r="O5" s="2482"/>
      <c r="P5" s="3426"/>
      <c r="Q5" s="3427"/>
      <c r="R5" s="3408"/>
      <c r="S5" s="3409"/>
      <c r="T5" s="3408"/>
      <c r="U5" s="3409"/>
      <c r="V5" s="3432"/>
      <c r="W5" s="3432"/>
      <c r="X5" s="1263"/>
      <c r="Y5" s="3408"/>
      <c r="Z5" s="3409"/>
      <c r="AA5" s="3402"/>
      <c r="AB5" s="3402"/>
      <c r="AC5" s="3402"/>
    </row>
    <row r="6" spans="1:29" ht="15.75" thickBot="1">
      <c r="A6" s="349"/>
      <c r="B6" s="350"/>
      <c r="C6" s="3414" t="s">
        <v>1677</v>
      </c>
      <c r="D6" s="3415"/>
      <c r="E6" s="3417" t="s">
        <v>1677</v>
      </c>
      <c r="F6" s="3418"/>
      <c r="G6" s="3414" t="s">
        <v>1677</v>
      </c>
      <c r="H6" s="3415"/>
      <c r="I6" s="3414" t="s">
        <v>1677</v>
      </c>
      <c r="J6" s="3415"/>
      <c r="K6" s="536" t="s">
        <v>1678</v>
      </c>
      <c r="L6" s="2481"/>
      <c r="M6" s="2482"/>
      <c r="N6" s="2482"/>
      <c r="O6" s="2482"/>
      <c r="P6" s="3428"/>
      <c r="Q6" s="3429"/>
      <c r="R6" s="3408"/>
      <c r="S6" s="3409"/>
      <c r="T6" s="3430"/>
      <c r="U6" s="3431"/>
      <c r="V6" s="3432"/>
      <c r="W6" s="3432"/>
      <c r="X6" s="1263"/>
      <c r="Y6" s="3430"/>
      <c r="Z6" s="3431"/>
      <c r="AA6" s="3403"/>
      <c r="AB6" s="3403"/>
      <c r="AC6" s="3403"/>
    </row>
    <row r="7" spans="1:29" s="101" customFormat="1" ht="15.75" thickBot="1">
      <c r="A7" s="351" t="s">
        <v>1679</v>
      </c>
      <c r="B7" s="352"/>
      <c r="C7" s="353">
        <f>'数据-取费表'!B2</f>
        <v>45583</v>
      </c>
      <c r="D7" s="354">
        <v>100</v>
      </c>
      <c r="E7" s="355"/>
      <c r="F7" s="356">
        <f>SUMIF(46:46,YEAR(E7)&amp;"-"&amp;MONTH(E7),47:47)</f>
        <v>0</v>
      </c>
      <c r="G7" s="1817"/>
      <c r="H7" s="354">
        <f>SUMIF(46:46,YEAR(G7)&amp;"-"&amp;MONTH(G7),47:47)</f>
        <v>0</v>
      </c>
      <c r="I7" s="355"/>
      <c r="J7" s="354">
        <f>SUMIF(46:46,YEAR(I7)&amp;"-"&amp;MONTH(I7),47:47)</f>
        <v>0</v>
      </c>
      <c r="K7" s="38"/>
      <c r="L7" s="2483"/>
      <c r="M7" s="2434"/>
      <c r="N7" s="2434"/>
      <c r="O7" s="2434"/>
      <c r="P7" s="3404" t="s">
        <v>1680</v>
      </c>
      <c r="Q7" s="3433"/>
      <c r="R7" s="663" t="s">
        <v>14</v>
      </c>
      <c r="S7" s="664">
        <f t="shared" ref="S7:S14" si="0">F7</f>
        <v>0</v>
      </c>
      <c r="T7" s="663" t="s">
        <v>14</v>
      </c>
      <c r="U7" s="664">
        <f t="shared" ref="U7:U14" si="1">H7</f>
        <v>0</v>
      </c>
      <c r="V7" s="663" t="s">
        <v>14</v>
      </c>
      <c r="W7" s="664">
        <f t="shared" ref="W7:W14" si="2">J7</f>
        <v>0</v>
      </c>
      <c r="X7" s="665"/>
      <c r="Y7" s="3404" t="s">
        <v>1680</v>
      </c>
      <c r="Z7" s="3405"/>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404" t="s">
        <v>1683</v>
      </c>
      <c r="Q8" s="3405"/>
      <c r="R8" s="663" t="s">
        <v>14</v>
      </c>
      <c r="S8" s="664">
        <f t="shared" si="0"/>
        <v>100</v>
      </c>
      <c r="T8" s="663" t="s">
        <v>14</v>
      </c>
      <c r="U8" s="664">
        <f t="shared" si="1"/>
        <v>100</v>
      </c>
      <c r="V8" s="663" t="s">
        <v>14</v>
      </c>
      <c r="W8" s="664">
        <f t="shared" si="2"/>
        <v>100</v>
      </c>
      <c r="X8" s="665"/>
      <c r="Y8" s="3404" t="s">
        <v>1683</v>
      </c>
      <c r="Z8" s="3405"/>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3"/>
      <c r="M9" s="2434"/>
      <c r="N9" s="2434"/>
      <c r="O9" s="2535"/>
      <c r="P9" s="3437" t="s">
        <v>1686</v>
      </c>
      <c r="Q9" s="529" t="str">
        <f t="shared" ref="Q9:Q14" si="6">B9</f>
        <v>用途</v>
      </c>
      <c r="R9" s="663" t="s">
        <v>14</v>
      </c>
      <c r="S9" s="664">
        <f t="shared" si="0"/>
        <v>100</v>
      </c>
      <c r="T9" s="663" t="s">
        <v>14</v>
      </c>
      <c r="U9" s="664">
        <f t="shared" si="1"/>
        <v>100</v>
      </c>
      <c r="V9" s="663" t="s">
        <v>14</v>
      </c>
      <c r="W9" s="664">
        <f t="shared" si="2"/>
        <v>100</v>
      </c>
      <c r="X9" s="665"/>
      <c r="Y9" s="3348" t="s">
        <v>1687</v>
      </c>
      <c r="Z9" s="50" t="str">
        <f t="shared" ref="Z9:Z14" si="7">Q9</f>
        <v>用途</v>
      </c>
      <c r="AA9" s="50">
        <f t="shared" si="3"/>
        <v>1</v>
      </c>
      <c r="AB9" s="50">
        <f t="shared" si="4"/>
        <v>1</v>
      </c>
      <c r="AC9" s="50">
        <f t="shared" si="5"/>
        <v>1</v>
      </c>
    </row>
    <row r="10" spans="1:29" s="365" customFormat="1" ht="27">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4"/>
      <c r="M10" s="2485"/>
      <c r="N10" s="2485"/>
      <c r="O10" s="2536"/>
      <c r="P10" s="3437"/>
      <c r="Q10" s="529" t="str">
        <f t="shared" si="6"/>
        <v>土地使用年限（年）</v>
      </c>
      <c r="R10" s="663" t="s">
        <v>14</v>
      </c>
      <c r="S10" s="664">
        <f t="shared" si="0"/>
        <v>100</v>
      </c>
      <c r="T10" s="663" t="s">
        <v>14</v>
      </c>
      <c r="U10" s="664">
        <f t="shared" si="1"/>
        <v>100</v>
      </c>
      <c r="V10" s="663" t="s">
        <v>14</v>
      </c>
      <c r="W10" s="664">
        <f t="shared" si="2"/>
        <v>100</v>
      </c>
      <c r="X10" s="665"/>
      <c r="Y10" s="3348"/>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37"/>
      <c r="Q11" s="529">
        <f t="shared" si="6"/>
        <v>111</v>
      </c>
      <c r="R11" s="663" t="s">
        <v>14</v>
      </c>
      <c r="S11" s="664">
        <f t="shared" si="0"/>
        <v>100</v>
      </c>
      <c r="T11" s="663" t="s">
        <v>14</v>
      </c>
      <c r="U11" s="664">
        <f t="shared" si="1"/>
        <v>100</v>
      </c>
      <c r="V11" s="663" t="s">
        <v>14</v>
      </c>
      <c r="W11" s="664">
        <f t="shared" si="2"/>
        <v>100</v>
      </c>
      <c r="X11" s="665"/>
      <c r="Y11" s="3348"/>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437"/>
      <c r="Q12" s="529">
        <f t="shared" si="6"/>
        <v>111</v>
      </c>
      <c r="R12" s="663" t="s">
        <v>14</v>
      </c>
      <c r="S12" s="664">
        <f t="shared" si="0"/>
        <v>100</v>
      </c>
      <c r="T12" s="663" t="s">
        <v>14</v>
      </c>
      <c r="U12" s="664">
        <f t="shared" si="1"/>
        <v>100</v>
      </c>
      <c r="V12" s="663" t="s">
        <v>14</v>
      </c>
      <c r="W12" s="664">
        <f t="shared" si="2"/>
        <v>100</v>
      </c>
      <c r="X12" s="665"/>
      <c r="Y12" s="3348"/>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437"/>
      <c r="Q13" s="529">
        <f t="shared" si="6"/>
        <v>111</v>
      </c>
      <c r="R13" s="663" t="s">
        <v>14</v>
      </c>
      <c r="S13" s="664">
        <f t="shared" si="0"/>
        <v>100</v>
      </c>
      <c r="T13" s="663" t="s">
        <v>14</v>
      </c>
      <c r="U13" s="664">
        <f t="shared" si="1"/>
        <v>100</v>
      </c>
      <c r="V13" s="663" t="s">
        <v>14</v>
      </c>
      <c r="W13" s="664">
        <f t="shared" si="2"/>
        <v>100</v>
      </c>
      <c r="X13" s="665"/>
      <c r="Y13" s="3348"/>
      <c r="Z13" s="50">
        <f t="shared" si="7"/>
        <v>111</v>
      </c>
      <c r="AA13" s="50">
        <f t="shared" si="3"/>
        <v>1</v>
      </c>
      <c r="AB13" s="50">
        <f t="shared" si="4"/>
        <v>1</v>
      </c>
      <c r="AC13" s="50">
        <f t="shared" si="5"/>
        <v>1</v>
      </c>
    </row>
    <row r="14" spans="1:29" ht="99.75">
      <c r="A14" s="378" t="s">
        <v>1690</v>
      </c>
      <c r="B14" s="58" t="s">
        <v>1830</v>
      </c>
      <c r="C14" s="1814" t="str">
        <f>IF(B1="工业",估价对象房地状况!G4,估价对象房地状况!C6)</f>
        <v>周边有301路、432路、530路、620路等多条公交线路及地铁17号线天通苑东站，综合评价交通便捷度较好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38" t="s">
        <v>1691</v>
      </c>
      <c r="Q14" s="1261" t="str">
        <f t="shared" si="6"/>
        <v>交通便捷度</v>
      </c>
      <c r="R14" s="666" t="s">
        <v>14</v>
      </c>
      <c r="S14" s="667">
        <f t="shared" si="0"/>
        <v>100</v>
      </c>
      <c r="T14" s="666" t="s">
        <v>14</v>
      </c>
      <c r="U14" s="667">
        <f t="shared" si="1"/>
        <v>100</v>
      </c>
      <c r="V14" s="666" t="s">
        <v>14</v>
      </c>
      <c r="W14" s="667">
        <f t="shared" si="2"/>
        <v>100</v>
      </c>
      <c r="X14" s="1263"/>
      <c r="Y14" s="3438"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39"/>
      <c r="Q15" s="1261"/>
      <c r="R15" s="666"/>
      <c r="S15" s="667"/>
      <c r="T15" s="666"/>
      <c r="U15" s="667"/>
      <c r="V15" s="666"/>
      <c r="W15" s="667"/>
      <c r="X15" s="1263"/>
      <c r="Y15" s="3439"/>
      <c r="Z15" s="1262"/>
      <c r="AA15" s="1262">
        <v>1</v>
      </c>
      <c r="AB15" s="1262">
        <v>1</v>
      </c>
      <c r="AC15" s="1262">
        <v>1</v>
      </c>
    </row>
    <row r="16" spans="1:29" ht="327.75">
      <c r="A16" s="366"/>
      <c r="B16" s="389" t="s">
        <v>1809</v>
      </c>
      <c r="C16" s="1751" t="str">
        <f>IF(B1="工业",估价对象房地状况!G5,估价对象房地状况!C7)</f>
        <v>银行：中国农业银行、中国建设银行、中国邮政储蓄银行等金融机构；
医院：天通苑中医医院、天通苑东二区社区卫生服务站等医疗机构；
学校：北京市朝阳外国语学校(高中部)、天通苑小学、昌平区育树家幼儿园等教育机构；
商业：国泰百货(天通苑店)、龙德广场等商业设施；
综合评价公共服务设施齐备度较好。</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39"/>
      <c r="Q16" s="1261" t="str">
        <f>B16</f>
        <v>公共配套设施</v>
      </c>
      <c r="R16" s="666" t="s">
        <v>14</v>
      </c>
      <c r="S16" s="667">
        <f>F16</f>
        <v>100</v>
      </c>
      <c r="T16" s="666" t="s">
        <v>14</v>
      </c>
      <c r="U16" s="667">
        <f>H16</f>
        <v>100</v>
      </c>
      <c r="V16" s="666" t="s">
        <v>14</v>
      </c>
      <c r="W16" s="667">
        <f>J16</f>
        <v>100</v>
      </c>
      <c r="X16" s="1263"/>
      <c r="Y16" s="3439"/>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7"/>
      <c r="M17" s="2482"/>
      <c r="N17" s="2482"/>
      <c r="O17" s="2537"/>
      <c r="P17" s="3439"/>
      <c r="Q17" s="1261"/>
      <c r="R17" s="666"/>
      <c r="S17" s="667"/>
      <c r="T17" s="666"/>
      <c r="U17" s="667"/>
      <c r="V17" s="666"/>
      <c r="W17" s="667"/>
      <c r="X17" s="1263"/>
      <c r="Y17" s="3439"/>
      <c r="Z17" s="1262"/>
      <c r="AA17" s="1262">
        <v>1</v>
      </c>
      <c r="AB17" s="1262">
        <v>1</v>
      </c>
      <c r="AC17" s="1262">
        <v>1</v>
      </c>
    </row>
    <row r="18" spans="1:29" ht="28.5">
      <c r="A18" s="366"/>
      <c r="B18" s="585" t="s">
        <v>1810</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39"/>
      <c r="Q18" s="1261" t="str">
        <f>B18</f>
        <v>基础设施水平</v>
      </c>
      <c r="R18" s="666" t="s">
        <v>14</v>
      </c>
      <c r="S18" s="667">
        <f>F18</f>
        <v>100</v>
      </c>
      <c r="T18" s="666" t="s">
        <v>14</v>
      </c>
      <c r="U18" s="667">
        <f>H18</f>
        <v>100</v>
      </c>
      <c r="V18" s="666" t="s">
        <v>14</v>
      </c>
      <c r="W18" s="667">
        <f>J18</f>
        <v>100</v>
      </c>
      <c r="X18" s="1263"/>
      <c r="Y18" s="3439"/>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7"/>
      <c r="M19" s="2482"/>
      <c r="N19" s="2482"/>
      <c r="O19" s="2537"/>
      <c r="P19" s="3439"/>
      <c r="Q19" s="1261"/>
      <c r="R19" s="666"/>
      <c r="S19" s="667"/>
      <c r="T19" s="666"/>
      <c r="U19" s="667"/>
      <c r="V19" s="666"/>
      <c r="W19" s="667"/>
      <c r="X19" s="1263"/>
      <c r="Y19" s="3439"/>
      <c r="Z19" s="1262"/>
      <c r="AA19" s="1262">
        <v>1</v>
      </c>
      <c r="AB19" s="1262">
        <v>1</v>
      </c>
      <c r="AC19" s="1262">
        <v>1</v>
      </c>
    </row>
    <row r="20" spans="1:29" ht="142.5">
      <c r="A20" s="366"/>
      <c r="B20" s="389" t="s">
        <v>1831</v>
      </c>
      <c r="C20" s="1751" t="str">
        <f>IF(B1="工业",估价对象房地状况!G7,估价对象房地状况!C9)</f>
        <v>自然环境：清河营郊野公园、清河水系等自然景观；
人文环境：天通苑体育馆、天通苑文化艺术中心等人文场所；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39"/>
      <c r="Q20" s="1261" t="str">
        <f>B20</f>
        <v>自然及人文环境</v>
      </c>
      <c r="R20" s="666" t="s">
        <v>14</v>
      </c>
      <c r="S20" s="667">
        <f>F20</f>
        <v>100</v>
      </c>
      <c r="T20" s="666" t="s">
        <v>14</v>
      </c>
      <c r="U20" s="667">
        <f>H20</f>
        <v>100</v>
      </c>
      <c r="V20" s="666" t="s">
        <v>14</v>
      </c>
      <c r="W20" s="667">
        <f>J20</f>
        <v>100</v>
      </c>
      <c r="X20" s="1263"/>
      <c r="Y20" s="3439"/>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39"/>
      <c r="Q21" s="1261"/>
      <c r="R21" s="666"/>
      <c r="S21" s="667"/>
      <c r="T21" s="666"/>
      <c r="U21" s="667"/>
      <c r="V21" s="666"/>
      <c r="W21" s="667"/>
      <c r="X21" s="1263"/>
      <c r="Y21" s="3439"/>
      <c r="Z21" s="1262"/>
      <c r="AA21" s="1262">
        <v>1</v>
      </c>
      <c r="AB21" s="1262">
        <v>1</v>
      </c>
      <c r="AC21" s="1262">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39"/>
      <c r="Q22" s="1261" t="str">
        <f>B22</f>
        <v>楼层</v>
      </c>
      <c r="R22" s="666" t="s">
        <v>14</v>
      </c>
      <c r="S22" s="667">
        <f>F22</f>
        <v>100</v>
      </c>
      <c r="T22" s="666" t="s">
        <v>14</v>
      </c>
      <c r="U22" s="667">
        <f>H22</f>
        <v>100</v>
      </c>
      <c r="V22" s="666" t="s">
        <v>14</v>
      </c>
      <c r="W22" s="667">
        <f>J22</f>
        <v>100</v>
      </c>
      <c r="X22" s="1263"/>
      <c r="Y22" s="3439"/>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39"/>
      <c r="Q23" s="1261">
        <f>B23</f>
        <v>111</v>
      </c>
      <c r="R23" s="666" t="s">
        <v>14</v>
      </c>
      <c r="S23" s="667">
        <f>F23</f>
        <v>100</v>
      </c>
      <c r="T23" s="666" t="s">
        <v>14</v>
      </c>
      <c r="U23" s="667">
        <f>H23</f>
        <v>100</v>
      </c>
      <c r="V23" s="666" t="s">
        <v>14</v>
      </c>
      <c r="W23" s="667">
        <f>J23</f>
        <v>100</v>
      </c>
      <c r="X23" s="1263"/>
      <c r="Y23" s="3439"/>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39"/>
      <c r="Q24" s="1261">
        <f t="shared" ref="Q24:Q34" si="8">B24</f>
        <v>111</v>
      </c>
      <c r="R24" s="666" t="s">
        <v>14</v>
      </c>
      <c r="S24" s="667">
        <f>F24</f>
        <v>100</v>
      </c>
      <c r="T24" s="666" t="s">
        <v>14</v>
      </c>
      <c r="U24" s="667">
        <f>H24</f>
        <v>100</v>
      </c>
      <c r="V24" s="666" t="s">
        <v>14</v>
      </c>
      <c r="W24" s="667">
        <f>J24</f>
        <v>100</v>
      </c>
      <c r="X24" s="1263"/>
      <c r="Y24" s="3439"/>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3"/>
      <c r="M25" s="2434"/>
      <c r="N25" s="2434"/>
      <c r="O25" s="2535"/>
      <c r="P25" s="3439"/>
      <c r="Q25" s="529">
        <f t="shared" si="8"/>
        <v>111</v>
      </c>
      <c r="R25" s="663" t="s">
        <v>14</v>
      </c>
      <c r="S25" s="664">
        <f>F25</f>
        <v>100</v>
      </c>
      <c r="T25" s="663" t="s">
        <v>14</v>
      </c>
      <c r="U25" s="664">
        <f>H25</f>
        <v>100</v>
      </c>
      <c r="V25" s="663" t="s">
        <v>14</v>
      </c>
      <c r="W25" s="664">
        <f>J25</f>
        <v>100</v>
      </c>
      <c r="X25" s="665"/>
      <c r="Y25" s="3439"/>
      <c r="Z25" s="50">
        <f>Q25</f>
        <v>111</v>
      </c>
      <c r="AA25" s="1262">
        <f>D25/F25</f>
        <v>1</v>
      </c>
      <c r="AB25" s="1262">
        <f>D25/H25</f>
        <v>1</v>
      </c>
      <c r="AC25" s="1262">
        <f>D25/J25</f>
        <v>1</v>
      </c>
    </row>
    <row r="26" spans="1:29" ht="28.5">
      <c r="A26" s="403" t="s">
        <v>1694</v>
      </c>
      <c r="B26" s="60" t="s">
        <v>1835</v>
      </c>
      <c r="C26" s="1761"/>
      <c r="D26" s="404">
        <v>100</v>
      </c>
      <c r="E26" s="1761"/>
      <c r="F26" s="586">
        <f>SUMIF(77:77,E26,78:78)-SUMIF(77:77,C26,78:78)+100</f>
        <v>100</v>
      </c>
      <c r="G26" s="1761"/>
      <c r="H26" s="404">
        <f>SUMIF(77:77,G26,78:78)-SUMIF(77:77,C26,78:78)+100</f>
        <v>100</v>
      </c>
      <c r="I26" s="1761"/>
      <c r="J26" s="404">
        <f>SUMIF(77:77,I26,78:78)-SUMIF(77:77,C26,78:78)+100</f>
        <v>100</v>
      </c>
      <c r="K26" s="537"/>
      <c r="L26" s="2487"/>
      <c r="M26" s="2482"/>
      <c r="N26" s="2482"/>
      <c r="O26" s="2537"/>
      <c r="P26" s="3463" t="s">
        <v>1696</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43" t="s">
        <v>1696</v>
      </c>
      <c r="Z26" s="1262" t="str">
        <f t="shared" ref="Z26:Z34" si="12">Q26</f>
        <v>公共部分装修</v>
      </c>
      <c r="AA26" s="1262">
        <f t="shared" si="3"/>
        <v>1</v>
      </c>
      <c r="AB26" s="1262">
        <f t="shared" si="4"/>
        <v>1</v>
      </c>
      <c r="AC26" s="1262">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43"/>
      <c r="Q27" s="530" t="str">
        <f t="shared" si="8"/>
        <v>成新率</v>
      </c>
      <c r="R27" s="668" t="s">
        <v>14</v>
      </c>
      <c r="S27" s="669" t="e">
        <f t="shared" si="9"/>
        <v>#N/A</v>
      </c>
      <c r="T27" s="668" t="s">
        <v>14</v>
      </c>
      <c r="U27" s="669" t="e">
        <f t="shared" si="10"/>
        <v>#N/A</v>
      </c>
      <c r="V27" s="668" t="s">
        <v>14</v>
      </c>
      <c r="W27" s="669" t="e">
        <f t="shared" si="11"/>
        <v>#N/A</v>
      </c>
      <c r="X27" s="670"/>
      <c r="Y27" s="3443"/>
      <c r="Z27" s="671" t="str">
        <f t="shared" si="12"/>
        <v>成新率</v>
      </c>
      <c r="AA27" s="1262" t="e">
        <f t="shared" si="3"/>
        <v>#N/A</v>
      </c>
      <c r="AB27" s="1262" t="e">
        <f t="shared" si="4"/>
        <v>#N/A</v>
      </c>
      <c r="AC27" s="1262"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43"/>
      <c r="Q28" s="1261" t="str">
        <f t="shared" si="8"/>
        <v>物业等级</v>
      </c>
      <c r="R28" s="666" t="s">
        <v>14</v>
      </c>
      <c r="S28" s="667">
        <f t="shared" si="9"/>
        <v>100</v>
      </c>
      <c r="T28" s="666" t="s">
        <v>14</v>
      </c>
      <c r="U28" s="667">
        <f t="shared" si="10"/>
        <v>100</v>
      </c>
      <c r="V28" s="666" t="s">
        <v>14</v>
      </c>
      <c r="W28" s="667">
        <f t="shared" si="11"/>
        <v>100</v>
      </c>
      <c r="X28" s="1263"/>
      <c r="Y28" s="3443"/>
      <c r="Z28" s="1262" t="str">
        <f t="shared" si="12"/>
        <v>物业等级</v>
      </c>
      <c r="AA28" s="1262">
        <f t="shared" si="3"/>
        <v>1</v>
      </c>
      <c r="AB28" s="1262">
        <f t="shared" si="4"/>
        <v>1</v>
      </c>
      <c r="AC28" s="1262">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43"/>
      <c r="Q29" s="1261" t="str">
        <f t="shared" si="8"/>
        <v>有无电梯</v>
      </c>
      <c r="R29" s="666" t="s">
        <v>14</v>
      </c>
      <c r="S29" s="667">
        <f t="shared" si="9"/>
        <v>100</v>
      </c>
      <c r="T29" s="666" t="s">
        <v>14</v>
      </c>
      <c r="U29" s="667">
        <f t="shared" si="10"/>
        <v>100</v>
      </c>
      <c r="V29" s="666" t="s">
        <v>14</v>
      </c>
      <c r="W29" s="667">
        <f t="shared" si="11"/>
        <v>100</v>
      </c>
      <c r="X29" s="1263"/>
      <c r="Y29" s="3443"/>
      <c r="Z29" s="1262" t="str">
        <f t="shared" si="12"/>
        <v>有无电梯</v>
      </c>
      <c r="AA29" s="1262">
        <f t="shared" si="3"/>
        <v>1</v>
      </c>
      <c r="AB29" s="1262">
        <f t="shared" si="4"/>
        <v>1</v>
      </c>
      <c r="AC29" s="1262">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43"/>
      <c r="Q30" s="1261" t="str">
        <f t="shared" si="8"/>
        <v>建筑面积</v>
      </c>
      <c r="R30" s="666" t="s">
        <v>14</v>
      </c>
      <c r="S30" s="667" t="e">
        <f t="shared" si="9"/>
        <v>#N/A</v>
      </c>
      <c r="T30" s="666" t="s">
        <v>14</v>
      </c>
      <c r="U30" s="667" t="e">
        <f t="shared" si="10"/>
        <v>#N/A</v>
      </c>
      <c r="V30" s="666" t="s">
        <v>14</v>
      </c>
      <c r="W30" s="667" t="e">
        <f t="shared" si="11"/>
        <v>#N/A</v>
      </c>
      <c r="X30" s="1263"/>
      <c r="Y30" s="3443"/>
      <c r="Z30" s="1262" t="str">
        <f t="shared" si="12"/>
        <v>建筑面积</v>
      </c>
      <c r="AA30" s="1262" t="e">
        <f t="shared" si="3"/>
        <v>#N/A</v>
      </c>
      <c r="AB30" s="1262" t="e">
        <f t="shared" si="4"/>
        <v>#N/A</v>
      </c>
      <c r="AC30" s="1262"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4"/>
      <c r="N31" s="2434"/>
      <c r="O31" s="2535"/>
      <c r="P31" s="3443"/>
      <c r="Q31" s="529" t="str">
        <f t="shared" si="8"/>
        <v>是否封闭</v>
      </c>
      <c r="R31" s="663" t="s">
        <v>14</v>
      </c>
      <c r="S31" s="664">
        <f t="shared" si="9"/>
        <v>100</v>
      </c>
      <c r="T31" s="663" t="s">
        <v>14</v>
      </c>
      <c r="U31" s="664">
        <f t="shared" si="10"/>
        <v>100</v>
      </c>
      <c r="V31" s="663" t="s">
        <v>14</v>
      </c>
      <c r="W31" s="664">
        <f t="shared" si="11"/>
        <v>100</v>
      </c>
      <c r="X31" s="665"/>
      <c r="Y31" s="3443"/>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43" t="s">
        <v>1696</v>
      </c>
      <c r="Q32" s="1261">
        <f t="shared" si="8"/>
        <v>111</v>
      </c>
      <c r="R32" s="666" t="s">
        <v>14</v>
      </c>
      <c r="S32" s="667">
        <f t="shared" si="9"/>
        <v>100</v>
      </c>
      <c r="T32" s="666" t="s">
        <v>14</v>
      </c>
      <c r="U32" s="667">
        <f t="shared" si="10"/>
        <v>100</v>
      </c>
      <c r="V32" s="666" t="s">
        <v>14</v>
      </c>
      <c r="W32" s="667">
        <f t="shared" si="11"/>
        <v>100</v>
      </c>
      <c r="X32" s="1263"/>
      <c r="Y32" s="3443" t="s">
        <v>1696</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43"/>
      <c r="Q33" s="1261">
        <f t="shared" si="8"/>
        <v>111</v>
      </c>
      <c r="R33" s="666" t="s">
        <v>14</v>
      </c>
      <c r="S33" s="667">
        <f t="shared" si="9"/>
        <v>100</v>
      </c>
      <c r="T33" s="666" t="s">
        <v>14</v>
      </c>
      <c r="U33" s="667">
        <f t="shared" si="10"/>
        <v>100</v>
      </c>
      <c r="V33" s="666" t="s">
        <v>14</v>
      </c>
      <c r="W33" s="667">
        <f t="shared" si="11"/>
        <v>100</v>
      </c>
      <c r="X33" s="1263"/>
      <c r="Y33" s="3443"/>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443"/>
      <c r="Q34" s="1261">
        <f t="shared" si="8"/>
        <v>111</v>
      </c>
      <c r="R34" s="666" t="s">
        <v>14</v>
      </c>
      <c r="S34" s="667">
        <f t="shared" si="9"/>
        <v>100</v>
      </c>
      <c r="T34" s="666" t="s">
        <v>14</v>
      </c>
      <c r="U34" s="667">
        <f t="shared" si="10"/>
        <v>100</v>
      </c>
      <c r="V34" s="666" t="s">
        <v>14</v>
      </c>
      <c r="W34" s="667">
        <f t="shared" si="11"/>
        <v>100</v>
      </c>
      <c r="X34" s="1263"/>
      <c r="Y34" s="3443"/>
      <c r="Z34" s="1262">
        <f t="shared" si="12"/>
        <v>111</v>
      </c>
      <c r="AA34" s="1262">
        <f t="shared" si="3"/>
        <v>1</v>
      </c>
      <c r="AB34" s="1262">
        <f t="shared" si="4"/>
        <v>1</v>
      </c>
      <c r="AC34" s="1262">
        <f t="shared" si="5"/>
        <v>1</v>
      </c>
    </row>
    <row r="35" spans="1:30" ht="15">
      <c r="A35" s="415" t="s">
        <v>1706</v>
      </c>
      <c r="B35" s="416"/>
      <c r="C35" s="1080" t="s">
        <v>0</v>
      </c>
      <c r="D35" s="417"/>
      <c r="E35" s="418"/>
      <c r="F35" s="419"/>
      <c r="G35" s="420"/>
      <c r="H35" s="421"/>
      <c r="I35" s="418"/>
      <c r="J35" s="421"/>
      <c r="K35" s="673"/>
      <c r="L35" s="2489"/>
      <c r="M35" s="2482"/>
      <c r="N35" s="2482"/>
      <c r="O35" s="2482"/>
      <c r="P35" s="3437" t="str">
        <f>A35</f>
        <v>成交单价（元/平方米）</v>
      </c>
      <c r="Q35" s="3437"/>
      <c r="R35" s="3432">
        <f>E35</f>
        <v>0</v>
      </c>
      <c r="S35" s="3432"/>
      <c r="T35" s="3432">
        <f>G35</f>
        <v>0</v>
      </c>
      <c r="U35" s="3432"/>
      <c r="V35" s="3432">
        <f>I35</f>
        <v>0</v>
      </c>
      <c r="W35" s="3432"/>
      <c r="X35" s="384"/>
      <c r="Y35" s="672"/>
      <c r="Z35" s="384"/>
      <c r="AA35" s="384"/>
      <c r="AB35" s="384"/>
      <c r="AC35" s="384"/>
    </row>
    <row r="36" spans="1:30" ht="15.75" thickBot="1">
      <c r="A36" s="422" t="s">
        <v>1790</v>
      </c>
      <c r="B36" s="423"/>
      <c r="C36" s="1081" t="e">
        <f>R37</f>
        <v>#DIV/0!</v>
      </c>
      <c r="D36" s="2136" t="s">
        <v>2135</v>
      </c>
      <c r="E36" s="1082" t="e">
        <f>R36</f>
        <v>#DIV/0!</v>
      </c>
      <c r="F36" s="2137"/>
      <c r="G36" s="1081" t="e">
        <f>T36</f>
        <v>#DIV/0!</v>
      </c>
      <c r="H36" s="2137"/>
      <c r="I36" s="1082" t="e">
        <f>V36</f>
        <v>#DIV/0!</v>
      </c>
      <c r="J36" s="2137"/>
      <c r="K36" s="2139">
        <f>F36+H36+J36</f>
        <v>0</v>
      </c>
      <c r="L36" s="2489"/>
      <c r="M36" s="2482"/>
      <c r="N36" s="2482"/>
      <c r="O36" s="2482"/>
      <c r="P36" s="3437" t="str">
        <f>A36</f>
        <v>比较价值（元/平方米）</v>
      </c>
      <c r="Q36" s="3437"/>
      <c r="R36" s="3432" t="e">
        <f>IF(F1="售价",ROUND(PRODUCT(R35,AA7:AA34),0),ROUND(PRODUCT(R35,AA7:AA34),1))</f>
        <v>#DIV/0!</v>
      </c>
      <c r="S36" s="3432"/>
      <c r="T36" s="3432" t="e">
        <f>IF(F1="售价",ROUND(PRODUCT(T35,AB7:AB34),0),ROUND(PRODUCT(T35,AB7:AB34),1))</f>
        <v>#DIV/0!</v>
      </c>
      <c r="U36" s="3432"/>
      <c r="V36" s="3432" t="e">
        <f>IF(F1="售价",ROUND(PRODUCT(V35,AC7:AC34),0),ROUND(PRODUCT(V35,AC7:AC34),1))</f>
        <v>#DIV/0!</v>
      </c>
      <c r="W36" s="3432"/>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89"/>
      <c r="M37" s="2482"/>
      <c r="N37" s="2482"/>
      <c r="O37" s="2482"/>
      <c r="P37" s="3434" t="str">
        <f>A37</f>
        <v>估价对象XX用房的比较价值（楼面单价，元/平方米）</v>
      </c>
      <c r="Q37" s="3435"/>
      <c r="R37" s="3464" t="e">
        <f>IF(F1="售价",ROUND(IF(D36="简单平均",AVERAGE(R36:W36),R36*F36+T36*H36+V36*J36),0),ROUND(IF(D36="简单平均",AVERAGE(R36:V36),R36*F36+T36*H36+V36*J36),1))</f>
        <v>#DIV/0!</v>
      </c>
      <c r="S37" s="3464"/>
      <c r="T37" s="3464"/>
      <c r="U37" s="3464"/>
      <c r="V37" s="3464"/>
      <c r="W37" s="3464"/>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1795</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2024-10</v>
      </c>
      <c r="D46" s="1102">
        <f>EDATE(C46,-1)</f>
        <v>45536</v>
      </c>
      <c r="E46" s="1102">
        <f t="shared" ref="E46:O46" si="13">EDATE(D46,-1)</f>
        <v>45505</v>
      </c>
      <c r="F46" s="1102">
        <f t="shared" si="13"/>
        <v>45474</v>
      </c>
      <c r="G46" s="1102">
        <f t="shared" si="13"/>
        <v>45444</v>
      </c>
      <c r="H46" s="1102">
        <f t="shared" si="13"/>
        <v>45413</v>
      </c>
      <c r="I46" s="1102">
        <f t="shared" si="13"/>
        <v>45383</v>
      </c>
      <c r="J46" s="1102">
        <f t="shared" si="13"/>
        <v>45352</v>
      </c>
      <c r="K46" s="1102">
        <f t="shared" si="13"/>
        <v>45323</v>
      </c>
      <c r="L46" s="1102">
        <f t="shared" si="13"/>
        <v>45292</v>
      </c>
      <c r="M46" s="1102">
        <f t="shared" si="13"/>
        <v>45261</v>
      </c>
      <c r="N46" s="1102">
        <f t="shared" si="13"/>
        <v>45231</v>
      </c>
      <c r="O46" s="1102">
        <f t="shared" si="13"/>
        <v>45200</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1714</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1773</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1717</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1724</v>
      </c>
      <c r="C61" s="503" t="s">
        <v>1719</v>
      </c>
      <c r="D61" s="503" t="s">
        <v>1720</v>
      </c>
      <c r="E61" s="503" t="s">
        <v>1721</v>
      </c>
      <c r="F61" s="503" t="s">
        <v>1722</v>
      </c>
      <c r="G61" s="503" t="s">
        <v>1723</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1860</v>
      </c>
      <c r="C63" s="508" t="s">
        <v>1719</v>
      </c>
      <c r="D63" s="508" t="s">
        <v>1720</v>
      </c>
      <c r="E63" s="508" t="s">
        <v>1721</v>
      </c>
      <c r="F63" s="508" t="s">
        <v>1722</v>
      </c>
      <c r="G63" s="508" t="s">
        <v>1723</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1810</v>
      </c>
      <c r="C65" s="580" t="s">
        <v>1796</v>
      </c>
      <c r="D65" s="580" t="s">
        <v>1797</v>
      </c>
      <c r="E65" s="580" t="s">
        <v>1798</v>
      </c>
      <c r="F65" s="580" t="s">
        <v>1799</v>
      </c>
      <c r="G65" s="580" t="s">
        <v>1800</v>
      </c>
      <c r="H65" s="469"/>
      <c r="I65" s="469"/>
      <c r="J65" s="469"/>
      <c r="K65" s="469"/>
      <c r="L65" s="469"/>
      <c r="M65" s="1062"/>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1731</v>
      </c>
      <c r="C67" s="508" t="s">
        <v>1719</v>
      </c>
      <c r="D67" s="508" t="s">
        <v>1720</v>
      </c>
      <c r="E67" s="508" t="s">
        <v>1721</v>
      </c>
      <c r="F67" s="508" t="s">
        <v>1722</v>
      </c>
      <c r="G67" s="508" t="s">
        <v>1723</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1849</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1737</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1853</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1861</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1862</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1863</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0" t="s">
        <v>1767</v>
      </c>
      <c r="D4" s="3421"/>
      <c r="E4" s="3422" t="s">
        <v>1768</v>
      </c>
      <c r="F4" s="3423"/>
      <c r="G4" s="3420" t="s">
        <v>1769</v>
      </c>
      <c r="H4" s="3421"/>
      <c r="I4" s="3420" t="s">
        <v>1770</v>
      </c>
      <c r="J4" s="3421"/>
      <c r="K4" s="536" t="s">
        <v>1771</v>
      </c>
      <c r="L4" s="2481"/>
      <c r="M4" s="2482"/>
      <c r="N4" s="2482"/>
      <c r="O4" s="2482"/>
      <c r="P4" s="3424" t="s">
        <v>1772</v>
      </c>
      <c r="Q4" s="3425"/>
      <c r="R4" s="3406" t="s">
        <v>1768</v>
      </c>
      <c r="S4" s="3407"/>
      <c r="T4" s="3406" t="s">
        <v>1769</v>
      </c>
      <c r="U4" s="3407"/>
      <c r="V4" s="3432" t="s">
        <v>1770</v>
      </c>
      <c r="W4" s="3432"/>
      <c r="X4" s="1263"/>
      <c r="Y4" s="3406" t="s">
        <v>1772</v>
      </c>
      <c r="Z4" s="3407"/>
      <c r="AA4" s="3401" t="s">
        <v>1768</v>
      </c>
      <c r="AB4" s="3402" t="s">
        <v>1769</v>
      </c>
      <c r="AC4" s="3401" t="s">
        <v>1770</v>
      </c>
    </row>
    <row r="5" spans="1:29" ht="15">
      <c r="A5" s="347"/>
      <c r="B5" s="348"/>
      <c r="C5" s="3416" t="s">
        <v>1673</v>
      </c>
      <c r="D5" s="3413"/>
      <c r="E5" s="3447" t="s">
        <v>1674</v>
      </c>
      <c r="F5" s="3411"/>
      <c r="G5" s="3416" t="s">
        <v>1675</v>
      </c>
      <c r="H5" s="3413"/>
      <c r="I5" s="3416" t="s">
        <v>1676</v>
      </c>
      <c r="J5" s="3413"/>
      <c r="K5" s="536"/>
      <c r="L5" s="2481"/>
      <c r="M5" s="2482"/>
      <c r="N5" s="2482"/>
      <c r="O5" s="2482"/>
      <c r="P5" s="3426"/>
      <c r="Q5" s="3427"/>
      <c r="R5" s="3408"/>
      <c r="S5" s="3409"/>
      <c r="T5" s="3408"/>
      <c r="U5" s="3409"/>
      <c r="V5" s="3432"/>
      <c r="W5" s="3432"/>
      <c r="X5" s="1263"/>
      <c r="Y5" s="3408"/>
      <c r="Z5" s="3409"/>
      <c r="AA5" s="3402"/>
      <c r="AB5" s="3402"/>
      <c r="AC5" s="3402"/>
    </row>
    <row r="6" spans="1:29" ht="15.75" thickBot="1">
      <c r="A6" s="349"/>
      <c r="B6" s="350"/>
      <c r="C6" s="3414" t="s">
        <v>1677</v>
      </c>
      <c r="D6" s="3415"/>
      <c r="E6" s="3417" t="s">
        <v>1677</v>
      </c>
      <c r="F6" s="3418"/>
      <c r="G6" s="3414" t="s">
        <v>1677</v>
      </c>
      <c r="H6" s="3415"/>
      <c r="I6" s="3414" t="s">
        <v>1677</v>
      </c>
      <c r="J6" s="3415"/>
      <c r="K6" s="536" t="s">
        <v>1678</v>
      </c>
      <c r="L6" s="2481"/>
      <c r="M6" s="2482"/>
      <c r="N6" s="2482"/>
      <c r="O6" s="2482"/>
      <c r="P6" s="3428"/>
      <c r="Q6" s="3429"/>
      <c r="R6" s="3408"/>
      <c r="S6" s="3409"/>
      <c r="T6" s="3430"/>
      <c r="U6" s="3431"/>
      <c r="V6" s="3432"/>
      <c r="W6" s="3432"/>
      <c r="X6" s="1263"/>
      <c r="Y6" s="3430"/>
      <c r="Z6" s="3431"/>
      <c r="AA6" s="3403"/>
      <c r="AB6" s="3403"/>
      <c r="AC6" s="3403"/>
    </row>
    <row r="7" spans="1:29" s="101" customFormat="1" ht="15.75" thickBot="1">
      <c r="A7" s="351" t="s">
        <v>1679</v>
      </c>
      <c r="B7" s="352"/>
      <c r="C7" s="353">
        <f>'数据-取费表'!B2</f>
        <v>45583</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404" t="s">
        <v>1680</v>
      </c>
      <c r="Q7" s="3433"/>
      <c r="R7" s="663" t="s">
        <v>14</v>
      </c>
      <c r="S7" s="664">
        <f t="shared" ref="S7:S15" si="0">F7</f>
        <v>0</v>
      </c>
      <c r="T7" s="663" t="s">
        <v>14</v>
      </c>
      <c r="U7" s="664">
        <f t="shared" ref="U7:U15" si="1">H7</f>
        <v>0</v>
      </c>
      <c r="V7" s="663" t="s">
        <v>14</v>
      </c>
      <c r="W7" s="664">
        <f t="shared" ref="W7:W15" si="2">J7</f>
        <v>0</v>
      </c>
      <c r="X7" s="665"/>
      <c r="Y7" s="3404" t="s">
        <v>1680</v>
      </c>
      <c r="Z7" s="3405"/>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404" t="s">
        <v>1683</v>
      </c>
      <c r="Q8" s="3405"/>
      <c r="R8" s="663" t="s">
        <v>14</v>
      </c>
      <c r="S8" s="664">
        <f t="shared" si="0"/>
        <v>0</v>
      </c>
      <c r="T8" s="663" t="s">
        <v>14</v>
      </c>
      <c r="U8" s="664">
        <f t="shared" si="1"/>
        <v>0</v>
      </c>
      <c r="V8" s="663" t="s">
        <v>14</v>
      </c>
      <c r="W8" s="664">
        <f t="shared" si="2"/>
        <v>0</v>
      </c>
      <c r="X8" s="665"/>
      <c r="Y8" s="3404" t="s">
        <v>1683</v>
      </c>
      <c r="Z8" s="3405"/>
      <c r="AA8" s="50" t="e">
        <f t="shared" ref="AA8:AA45" si="3">D8/F8</f>
        <v>#DIV/0!</v>
      </c>
      <c r="AB8" s="50" t="e">
        <f t="shared" ref="AB8:AB45" si="4">D8/H8</f>
        <v>#DIV/0!</v>
      </c>
      <c r="AC8" s="50" t="e">
        <f t="shared" ref="AC8:AC45" si="5">D8/J8</f>
        <v>#DIV/0!</v>
      </c>
    </row>
    <row r="9" spans="1:29" s="101" customFormat="1">
      <c r="A9" s="358"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3"/>
      <c r="M9" s="2434"/>
      <c r="N9" s="2434"/>
      <c r="O9" s="2535"/>
      <c r="P9" s="3437" t="s">
        <v>1686</v>
      </c>
      <c r="Q9" s="529" t="str">
        <f t="shared" ref="Q9:Q15" si="6">B9</f>
        <v>用途</v>
      </c>
      <c r="R9" s="663" t="s">
        <v>14</v>
      </c>
      <c r="S9" s="664">
        <f t="shared" si="0"/>
        <v>100</v>
      </c>
      <c r="T9" s="663" t="s">
        <v>14</v>
      </c>
      <c r="U9" s="664">
        <f t="shared" si="1"/>
        <v>100</v>
      </c>
      <c r="V9" s="663" t="s">
        <v>14</v>
      </c>
      <c r="W9" s="664">
        <f t="shared" si="2"/>
        <v>100</v>
      </c>
      <c r="X9" s="665"/>
      <c r="Y9" s="334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100</v>
      </c>
      <c r="G10" s="401"/>
      <c r="H10" s="118">
        <f>ROUND(100/'数据-取费表'!G16,0)</f>
        <v>100</v>
      </c>
      <c r="I10" s="401"/>
      <c r="J10" s="118">
        <f>ROUND(100/'数据-取费表'!G16,0)</f>
        <v>100</v>
      </c>
      <c r="K10" s="591"/>
      <c r="L10" s="2484"/>
      <c r="M10" s="2485"/>
      <c r="N10" s="2485"/>
      <c r="O10" s="2536"/>
      <c r="P10" s="3437"/>
      <c r="Q10" s="529" t="str">
        <f t="shared" si="6"/>
        <v>土地使用年限（年）</v>
      </c>
      <c r="R10" s="663" t="s">
        <v>14</v>
      </c>
      <c r="S10" s="664">
        <f t="shared" si="0"/>
        <v>100</v>
      </c>
      <c r="T10" s="663" t="s">
        <v>14</v>
      </c>
      <c r="U10" s="664">
        <f t="shared" si="1"/>
        <v>100</v>
      </c>
      <c r="V10" s="663" t="s">
        <v>14</v>
      </c>
      <c r="W10" s="664">
        <f t="shared" si="2"/>
        <v>100</v>
      </c>
      <c r="X10" s="665"/>
      <c r="Y10" s="3348"/>
      <c r="Z10" s="50" t="str">
        <f t="shared" si="7"/>
        <v>土地使用年限（年）</v>
      </c>
      <c r="AA10" s="50">
        <f t="shared" si="3"/>
        <v>1</v>
      </c>
      <c r="AB10" s="50">
        <f t="shared" si="4"/>
        <v>1</v>
      </c>
      <c r="AC10" s="50">
        <f t="shared" si="5"/>
        <v>1</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37"/>
      <c r="Q11" s="529" t="str">
        <f t="shared" si="6"/>
        <v>容积率</v>
      </c>
      <c r="R11" s="663" t="s">
        <v>14</v>
      </c>
      <c r="S11" s="664" t="e">
        <f t="shared" si="0"/>
        <v>#N/A</v>
      </c>
      <c r="T11" s="663" t="s">
        <v>14</v>
      </c>
      <c r="U11" s="664" t="e">
        <f t="shared" si="1"/>
        <v>#N/A</v>
      </c>
      <c r="V11" s="663" t="s">
        <v>14</v>
      </c>
      <c r="W11" s="664" t="e">
        <f t="shared" si="2"/>
        <v>#N/A</v>
      </c>
      <c r="X11" s="665"/>
      <c r="Y11" s="3348"/>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4"/>
      <c r="N12" s="2434"/>
      <c r="O12" s="2535"/>
      <c r="P12" s="3437"/>
      <c r="Q12" s="529" t="str">
        <f t="shared" si="6"/>
        <v>配建</v>
      </c>
      <c r="R12" s="663" t="s">
        <v>14</v>
      </c>
      <c r="S12" s="664">
        <f t="shared" si="0"/>
        <v>100</v>
      </c>
      <c r="T12" s="663" t="s">
        <v>14</v>
      </c>
      <c r="U12" s="664">
        <f t="shared" si="1"/>
        <v>100</v>
      </c>
      <c r="V12" s="663" t="s">
        <v>14</v>
      </c>
      <c r="W12" s="664">
        <f t="shared" si="2"/>
        <v>100</v>
      </c>
      <c r="X12" s="665"/>
      <c r="Y12" s="3348"/>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37"/>
      <c r="Q13" s="529">
        <f t="shared" si="6"/>
        <v>111</v>
      </c>
      <c r="R13" s="663" t="s">
        <v>14</v>
      </c>
      <c r="S13" s="664">
        <f t="shared" si="0"/>
        <v>100</v>
      </c>
      <c r="T13" s="663" t="s">
        <v>14</v>
      </c>
      <c r="U13" s="664">
        <f t="shared" si="1"/>
        <v>100</v>
      </c>
      <c r="V13" s="663" t="s">
        <v>14</v>
      </c>
      <c r="W13" s="664">
        <f t="shared" si="2"/>
        <v>100</v>
      </c>
      <c r="X13" s="665"/>
      <c r="Y13" s="3348"/>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37"/>
      <c r="Q14" s="529">
        <f t="shared" si="6"/>
        <v>111</v>
      </c>
      <c r="R14" s="663" t="s">
        <v>14</v>
      </c>
      <c r="S14" s="664">
        <f t="shared" si="0"/>
        <v>100</v>
      </c>
      <c r="T14" s="663" t="s">
        <v>14</v>
      </c>
      <c r="U14" s="664">
        <f t="shared" si="1"/>
        <v>100</v>
      </c>
      <c r="V14" s="663" t="s">
        <v>14</v>
      </c>
      <c r="W14" s="664">
        <f t="shared" si="2"/>
        <v>100</v>
      </c>
      <c r="X14" s="665"/>
      <c r="Y14" s="3348"/>
      <c r="Z14" s="50">
        <f t="shared" si="7"/>
        <v>111</v>
      </c>
      <c r="AA14" s="50">
        <f>D14/F14</f>
        <v>1</v>
      </c>
      <c r="AB14" s="50">
        <f>D14/H14</f>
        <v>1</v>
      </c>
      <c r="AC14" s="50">
        <f>D14/J14</f>
        <v>1</v>
      </c>
    </row>
    <row r="15" spans="1:29" ht="85.5">
      <c r="A15" s="378" t="s">
        <v>1690</v>
      </c>
      <c r="B15" s="58" t="s">
        <v>1257</v>
      </c>
      <c r="C15" s="1747" t="str">
        <f>估价对象房地状况!C15</f>
        <v>周边有天通东苑一区、天通东苑三区、天通苑六区等住宅小区，居住社区成熟度较好。</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38" t="s">
        <v>1691</v>
      </c>
      <c r="Q15" s="1261" t="str">
        <f t="shared" si="6"/>
        <v>居住社区成熟度</v>
      </c>
      <c r="R15" s="666" t="s">
        <v>14</v>
      </c>
      <c r="S15" s="667">
        <f t="shared" si="0"/>
        <v>100</v>
      </c>
      <c r="T15" s="666" t="s">
        <v>14</v>
      </c>
      <c r="U15" s="667">
        <f t="shared" si="1"/>
        <v>100</v>
      </c>
      <c r="V15" s="666" t="s">
        <v>14</v>
      </c>
      <c r="W15" s="667">
        <f t="shared" si="2"/>
        <v>100</v>
      </c>
      <c r="X15" s="1263"/>
      <c r="Y15" s="3438"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7"/>
      <c r="M16" s="2482"/>
      <c r="N16" s="2482"/>
      <c r="O16" s="2537"/>
      <c r="P16" s="3439"/>
      <c r="Q16" s="1261"/>
      <c r="R16" s="666"/>
      <c r="S16" s="667"/>
      <c r="T16" s="666"/>
      <c r="U16" s="667"/>
      <c r="V16" s="666"/>
      <c r="W16" s="667"/>
      <c r="X16" s="1263"/>
      <c r="Y16" s="3439"/>
      <c r="Z16" s="1262"/>
      <c r="AA16" s="1262">
        <v>1</v>
      </c>
      <c r="AB16" s="1262">
        <v>1</v>
      </c>
      <c r="AC16" s="1262">
        <v>1</v>
      </c>
    </row>
    <row r="17" spans="1:29" ht="71.25">
      <c r="A17" s="366"/>
      <c r="B17" s="389" t="s">
        <v>1774</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39"/>
      <c r="Q17" s="1261" t="str">
        <f>B17</f>
        <v>商业繁华度</v>
      </c>
      <c r="R17" s="666" t="s">
        <v>14</v>
      </c>
      <c r="S17" s="667">
        <f>F17</f>
        <v>100</v>
      </c>
      <c r="T17" s="666" t="s">
        <v>14</v>
      </c>
      <c r="U17" s="667">
        <f>H17</f>
        <v>100</v>
      </c>
      <c r="V17" s="666" t="s">
        <v>14</v>
      </c>
      <c r="W17" s="667">
        <f>J17</f>
        <v>100</v>
      </c>
      <c r="X17" s="1263"/>
      <c r="Y17" s="3439"/>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7"/>
      <c r="M18" s="2482"/>
      <c r="N18" s="2482"/>
      <c r="O18" s="2537"/>
      <c r="P18" s="3439"/>
      <c r="Q18" s="1261"/>
      <c r="R18" s="666"/>
      <c r="S18" s="667"/>
      <c r="T18" s="666"/>
      <c r="U18" s="667"/>
      <c r="V18" s="666"/>
      <c r="W18" s="667"/>
      <c r="X18" s="1263"/>
      <c r="Y18" s="3439"/>
      <c r="Z18" s="1262"/>
      <c r="AA18" s="1262">
        <v>1</v>
      </c>
      <c r="AB18" s="1262">
        <v>1</v>
      </c>
      <c r="AC18" s="1262">
        <v>1</v>
      </c>
    </row>
    <row r="19" spans="1:29" ht="71.25">
      <c r="A19" s="366"/>
      <c r="B19" s="389" t="s">
        <v>1808</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39"/>
      <c r="Q19" s="1261" t="str">
        <f>B19</f>
        <v>办公集聚程度</v>
      </c>
      <c r="R19" s="666" t="s">
        <v>14</v>
      </c>
      <c r="S19" s="667">
        <f>F19</f>
        <v>100</v>
      </c>
      <c r="T19" s="666" t="s">
        <v>14</v>
      </c>
      <c r="U19" s="667">
        <f>H19</f>
        <v>100</v>
      </c>
      <c r="V19" s="666" t="s">
        <v>14</v>
      </c>
      <c r="W19" s="667">
        <f>J19</f>
        <v>100</v>
      </c>
      <c r="X19" s="1263"/>
      <c r="Y19" s="3439"/>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7"/>
      <c r="M20" s="2482"/>
      <c r="N20" s="2482"/>
      <c r="O20" s="2537"/>
      <c r="P20" s="3439"/>
      <c r="Q20" s="1261"/>
      <c r="R20" s="666"/>
      <c r="S20" s="667"/>
      <c r="T20" s="666"/>
      <c r="U20" s="667"/>
      <c r="V20" s="666"/>
      <c r="W20" s="667"/>
      <c r="X20" s="1263"/>
      <c r="Y20" s="3439"/>
      <c r="Z20" s="1262"/>
      <c r="AA20" s="1262">
        <v>1</v>
      </c>
      <c r="AB20" s="1262">
        <v>1</v>
      </c>
      <c r="AC20" s="1262">
        <v>1</v>
      </c>
    </row>
    <row r="21" spans="1:29" ht="99.75">
      <c r="A21" s="366"/>
      <c r="B21" s="389" t="s">
        <v>1830</v>
      </c>
      <c r="C21" s="1751" t="str">
        <f>估价对象房地状况!C18</f>
        <v>周边有301路、432路、530路、620路等多条公交线路及地铁17号线天通苑东站，综合评价交通便捷度较好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39"/>
      <c r="Q21" s="1261" t="str">
        <f>B21</f>
        <v>交通便捷度</v>
      </c>
      <c r="R21" s="666" t="s">
        <v>14</v>
      </c>
      <c r="S21" s="667">
        <f>F21</f>
        <v>100</v>
      </c>
      <c r="T21" s="666" t="s">
        <v>14</v>
      </c>
      <c r="U21" s="667">
        <f>H21</f>
        <v>100</v>
      </c>
      <c r="V21" s="666" t="s">
        <v>14</v>
      </c>
      <c r="W21" s="667">
        <f>J21</f>
        <v>100</v>
      </c>
      <c r="X21" s="1263"/>
      <c r="Y21" s="3439"/>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7"/>
      <c r="M22" s="2482"/>
      <c r="N22" s="2482"/>
      <c r="O22" s="2537"/>
      <c r="P22" s="3439"/>
      <c r="Q22" s="1261"/>
      <c r="R22" s="666"/>
      <c r="S22" s="667"/>
      <c r="T22" s="666"/>
      <c r="U22" s="667"/>
      <c r="V22" s="666"/>
      <c r="W22" s="667"/>
      <c r="X22" s="1263"/>
      <c r="Y22" s="3439"/>
      <c r="Z22" s="1262"/>
      <c r="AA22" s="1262">
        <v>1</v>
      </c>
      <c r="AB22" s="1262">
        <v>1</v>
      </c>
      <c r="AC22" s="1262">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39"/>
      <c r="Q23" s="1261" t="str">
        <f t="shared" ref="Q23:Q37" si="8">B23</f>
        <v>区域土地利用方向</v>
      </c>
      <c r="R23" s="666" t="s">
        <v>14</v>
      </c>
      <c r="S23" s="667">
        <f>F23</f>
        <v>100</v>
      </c>
      <c r="T23" s="666" t="s">
        <v>14</v>
      </c>
      <c r="U23" s="667">
        <f>H23</f>
        <v>100</v>
      </c>
      <c r="V23" s="666" t="s">
        <v>14</v>
      </c>
      <c r="W23" s="667">
        <f>J23</f>
        <v>100</v>
      </c>
      <c r="X23" s="1263"/>
      <c r="Y23" s="3439"/>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7"/>
      <c r="M24" s="2482"/>
      <c r="N24" s="2482"/>
      <c r="O24" s="2537"/>
      <c r="P24" s="3439"/>
      <c r="Q24" s="1261"/>
      <c r="R24" s="666"/>
      <c r="S24" s="667"/>
      <c r="T24" s="666"/>
      <c r="U24" s="667"/>
      <c r="V24" s="666"/>
      <c r="W24" s="667"/>
      <c r="X24" s="1263"/>
      <c r="Y24" s="3439"/>
      <c r="Z24" s="1262"/>
      <c r="AA24" s="1262"/>
      <c r="AB24" s="1262"/>
      <c r="AC24" s="1262"/>
    </row>
    <row r="25" spans="1:29" ht="142.5">
      <c r="A25" s="347"/>
      <c r="B25" s="585" t="s">
        <v>1869</v>
      </c>
      <c r="C25" s="1801" t="str">
        <f>估价对象房地状况!C20</f>
        <v>自然环境：清河营郊野公园、清河水系等自然景观；
人文环境：天通苑体育馆、天通苑文化艺术中心等人文场所；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39"/>
      <c r="Q25" s="1261" t="str">
        <f t="shared" si="8"/>
        <v>自然及人文环境状况</v>
      </c>
      <c r="R25" s="666" t="s">
        <v>14</v>
      </c>
      <c r="S25" s="667">
        <f>F25</f>
        <v>100</v>
      </c>
      <c r="T25" s="666" t="s">
        <v>14</v>
      </c>
      <c r="U25" s="667">
        <f>H25</f>
        <v>100</v>
      </c>
      <c r="V25" s="666" t="s">
        <v>14</v>
      </c>
      <c r="W25" s="667">
        <f>J25</f>
        <v>100</v>
      </c>
      <c r="X25" s="1263"/>
      <c r="Y25" s="3439"/>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7"/>
      <c r="M26" s="2482"/>
      <c r="N26" s="2482"/>
      <c r="O26" s="2537"/>
      <c r="P26" s="3439"/>
      <c r="Q26" s="1261"/>
      <c r="R26" s="666"/>
      <c r="S26" s="667"/>
      <c r="T26" s="666"/>
      <c r="U26" s="667"/>
      <c r="V26" s="666"/>
      <c r="W26" s="667"/>
      <c r="X26" s="1263"/>
      <c r="Y26" s="3439"/>
      <c r="Z26" s="1262"/>
      <c r="AA26" s="1262">
        <v>1</v>
      </c>
      <c r="AB26" s="1262">
        <v>1</v>
      </c>
      <c r="AC26" s="1262">
        <v>1</v>
      </c>
    </row>
    <row r="27" spans="1:29" s="101" customFormat="1" ht="327.75">
      <c r="A27" s="442"/>
      <c r="B27" s="585" t="s">
        <v>1775</v>
      </c>
      <c r="C27" s="1751" t="str">
        <f>估价对象房地状况!C21</f>
        <v>银行：中国农业银行、中国建设银行、中国邮政储蓄银行等金融机构；
医院：天通苑中医医院、天通苑东二区社区卫生服务站等医疗机构；
学校：北京市朝阳外国语学校(高中部)、天通苑小学、昌平区育树家幼儿园等教育机构；
商业：国泰百货(天通苑店)、龙德广场等商业设施；
综合评价公共服务设施齐备度较好。</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4"/>
      <c r="N27" s="2434"/>
      <c r="O27" s="2535"/>
      <c r="P27" s="3439"/>
      <c r="Q27" s="529" t="str">
        <f t="shared" si="8"/>
        <v>公共配套设施</v>
      </c>
      <c r="R27" s="663" t="s">
        <v>14</v>
      </c>
      <c r="S27" s="664">
        <f>F27</f>
        <v>100</v>
      </c>
      <c r="T27" s="663" t="s">
        <v>14</v>
      </c>
      <c r="U27" s="664">
        <f>H27</f>
        <v>100</v>
      </c>
      <c r="V27" s="663" t="s">
        <v>14</v>
      </c>
      <c r="W27" s="664">
        <f>J27</f>
        <v>100</v>
      </c>
      <c r="X27" s="665"/>
      <c r="Y27" s="3439"/>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3"/>
      <c r="M28" s="2434"/>
      <c r="N28" s="2434"/>
      <c r="O28" s="2535"/>
      <c r="P28" s="3439"/>
      <c r="Q28" s="529"/>
      <c r="R28" s="663"/>
      <c r="S28" s="664"/>
      <c r="T28" s="663"/>
      <c r="U28" s="664"/>
      <c r="V28" s="663"/>
      <c r="W28" s="664"/>
      <c r="X28" s="665"/>
      <c r="Y28" s="3439"/>
      <c r="Z28" s="50"/>
      <c r="AA28" s="1262">
        <v>1</v>
      </c>
      <c r="AB28" s="1262">
        <v>1</v>
      </c>
      <c r="AC28" s="1262">
        <v>1</v>
      </c>
    </row>
    <row r="29" spans="1:29" s="101" customFormat="1" ht="28.5">
      <c r="A29" s="442"/>
      <c r="B29" s="585" t="s">
        <v>1776</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4"/>
      <c r="N29" s="2434"/>
      <c r="O29" s="2535"/>
      <c r="P29" s="3439"/>
      <c r="Q29" s="529" t="str">
        <f>B29</f>
        <v>基础设施水平</v>
      </c>
      <c r="R29" s="663" t="s">
        <v>14</v>
      </c>
      <c r="S29" s="664">
        <f>F29</f>
        <v>100</v>
      </c>
      <c r="T29" s="663" t="s">
        <v>14</v>
      </c>
      <c r="U29" s="664">
        <f>H29</f>
        <v>100</v>
      </c>
      <c r="V29" s="663" t="s">
        <v>14</v>
      </c>
      <c r="W29" s="664">
        <f>J29</f>
        <v>100</v>
      </c>
      <c r="X29" s="665"/>
      <c r="Y29" s="3439"/>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3"/>
      <c r="M30" s="2434"/>
      <c r="N30" s="2434"/>
      <c r="O30" s="2535"/>
      <c r="P30" s="3439"/>
      <c r="Q30" s="529"/>
      <c r="R30" s="663"/>
      <c r="S30" s="664"/>
      <c r="T30" s="663"/>
      <c r="U30" s="664"/>
      <c r="V30" s="663"/>
      <c r="W30" s="664"/>
      <c r="X30" s="665"/>
      <c r="Y30" s="3439"/>
      <c r="Z30" s="50"/>
      <c r="AA30" s="1262">
        <v>1</v>
      </c>
      <c r="AB30" s="1262">
        <v>1</v>
      </c>
      <c r="AC30" s="1262">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39"/>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39"/>
      <c r="Z31" s="1262" t="str">
        <f t="shared" ref="Z31:Z45" si="12">Q31</f>
        <v>临街状况</v>
      </c>
      <c r="AA31" s="1262">
        <f t="shared" si="3"/>
        <v>1</v>
      </c>
      <c r="AB31" s="1262">
        <f t="shared" si="4"/>
        <v>1</v>
      </c>
      <c r="AC31" s="1262">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39"/>
      <c r="Q32" s="1261" t="str">
        <f t="shared" si="8"/>
        <v>毗邻道路的类型与等级</v>
      </c>
      <c r="R32" s="666" t="s">
        <v>14</v>
      </c>
      <c r="S32" s="667">
        <f t="shared" si="9"/>
        <v>100</v>
      </c>
      <c r="T32" s="666" t="s">
        <v>14</v>
      </c>
      <c r="U32" s="667">
        <f t="shared" si="10"/>
        <v>100</v>
      </c>
      <c r="V32" s="666" t="s">
        <v>14</v>
      </c>
      <c r="W32" s="667">
        <f t="shared" si="11"/>
        <v>100</v>
      </c>
      <c r="X32" s="1263"/>
      <c r="Y32" s="3439"/>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7"/>
      <c r="M33" s="2482"/>
      <c r="N33" s="2482"/>
      <c r="O33" s="2537"/>
      <c r="P33" s="3439"/>
      <c r="Q33" s="1261"/>
      <c r="R33" s="666"/>
      <c r="S33" s="667"/>
      <c r="T33" s="666"/>
      <c r="U33" s="667"/>
      <c r="V33" s="666"/>
      <c r="W33" s="667"/>
      <c r="X33" s="1263"/>
      <c r="Y33" s="3439"/>
      <c r="Z33" s="1262"/>
      <c r="AA33" s="1262">
        <v>1</v>
      </c>
      <c r="AB33" s="1262">
        <v>1</v>
      </c>
      <c r="AC33" s="1262">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39"/>
      <c r="Q34" s="1261" t="str">
        <f t="shared" si="8"/>
        <v>土地级别</v>
      </c>
      <c r="R34" s="666" t="s">
        <v>14</v>
      </c>
      <c r="S34" s="667">
        <f t="shared" si="9"/>
        <v>100</v>
      </c>
      <c r="T34" s="666" t="s">
        <v>14</v>
      </c>
      <c r="U34" s="667">
        <f t="shared" si="10"/>
        <v>100</v>
      </c>
      <c r="V34" s="666" t="s">
        <v>14</v>
      </c>
      <c r="W34" s="667">
        <f t="shared" si="11"/>
        <v>100</v>
      </c>
      <c r="X34" s="1263"/>
      <c r="Y34" s="3439"/>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39"/>
      <c r="Q35" s="1261">
        <f t="shared" si="8"/>
        <v>111</v>
      </c>
      <c r="R35" s="666" t="s">
        <v>14</v>
      </c>
      <c r="S35" s="667">
        <f t="shared" si="9"/>
        <v>100</v>
      </c>
      <c r="T35" s="666" t="s">
        <v>14</v>
      </c>
      <c r="U35" s="667">
        <f t="shared" si="10"/>
        <v>100</v>
      </c>
      <c r="V35" s="666" t="s">
        <v>14</v>
      </c>
      <c r="W35" s="667">
        <f t="shared" si="11"/>
        <v>100</v>
      </c>
      <c r="X35" s="1263"/>
      <c r="Y35" s="3439"/>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463" t="s">
        <v>1696</v>
      </c>
      <c r="Q36" s="1261">
        <f t="shared" si="8"/>
        <v>111</v>
      </c>
      <c r="R36" s="666" t="s">
        <v>14</v>
      </c>
      <c r="S36" s="667">
        <f t="shared" si="9"/>
        <v>100</v>
      </c>
      <c r="T36" s="666" t="s">
        <v>14</v>
      </c>
      <c r="U36" s="667">
        <f t="shared" si="10"/>
        <v>100</v>
      </c>
      <c r="V36" s="666" t="s">
        <v>14</v>
      </c>
      <c r="W36" s="667">
        <f t="shared" si="11"/>
        <v>100</v>
      </c>
      <c r="X36" s="1263"/>
      <c r="Y36" s="3443" t="s">
        <v>1696</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43"/>
      <c r="Q37" s="1261">
        <f t="shared" si="8"/>
        <v>111</v>
      </c>
      <c r="R37" s="668" t="s">
        <v>14</v>
      </c>
      <c r="S37" s="669">
        <f t="shared" si="9"/>
        <v>100</v>
      </c>
      <c r="T37" s="668" t="s">
        <v>14</v>
      </c>
      <c r="U37" s="669">
        <f t="shared" si="10"/>
        <v>100</v>
      </c>
      <c r="V37" s="668" t="s">
        <v>14</v>
      </c>
      <c r="W37" s="669">
        <f t="shared" si="11"/>
        <v>100</v>
      </c>
      <c r="X37" s="670"/>
      <c r="Y37" s="3443"/>
      <c r="Z37" s="671">
        <f t="shared" si="12"/>
        <v>111</v>
      </c>
      <c r="AA37" s="1262">
        <f t="shared" si="3"/>
        <v>1</v>
      </c>
      <c r="AB37" s="1262">
        <f t="shared" si="4"/>
        <v>1</v>
      </c>
      <c r="AC37" s="1262">
        <f t="shared" si="5"/>
        <v>1</v>
      </c>
    </row>
    <row r="38" spans="1:29" ht="15">
      <c r="A38" s="408" t="s">
        <v>1694</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43"/>
      <c r="Q38" s="1261" t="str">
        <f>B38</f>
        <v>宗地面积</v>
      </c>
      <c r="R38" s="666" t="s">
        <v>14</v>
      </c>
      <c r="S38" s="667" t="e">
        <f t="shared" si="9"/>
        <v>#N/A</v>
      </c>
      <c r="T38" s="666" t="s">
        <v>14</v>
      </c>
      <c r="U38" s="667" t="e">
        <f t="shared" si="10"/>
        <v>#N/A</v>
      </c>
      <c r="V38" s="666" t="s">
        <v>14</v>
      </c>
      <c r="W38" s="667" t="e">
        <f t="shared" si="11"/>
        <v>#N/A</v>
      </c>
      <c r="X38" s="1263"/>
      <c r="Y38" s="3443"/>
      <c r="Z38" s="1262" t="str">
        <f t="shared" si="12"/>
        <v>宗地面积</v>
      </c>
      <c r="AA38" s="1262" t="e">
        <f t="shared" si="3"/>
        <v>#N/A</v>
      </c>
      <c r="AB38" s="1262" t="e">
        <f t="shared" si="4"/>
        <v>#N/A</v>
      </c>
      <c r="AC38" s="1262" t="e">
        <f t="shared" si="5"/>
        <v>#N/A</v>
      </c>
    </row>
    <row r="39" spans="1:29" ht="15">
      <c r="A39" s="408"/>
      <c r="B39" s="363" t="s">
        <v>1872</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7"/>
      <c r="M39" s="2482"/>
      <c r="N39" s="2482"/>
      <c r="O39" s="2537"/>
      <c r="P39" s="3443"/>
      <c r="Q39" s="1261" t="str">
        <f t="shared" ref="Q39:Q45" si="13">B39</f>
        <v>宗地形状</v>
      </c>
      <c r="R39" s="666" t="s">
        <v>14</v>
      </c>
      <c r="S39" s="667">
        <f t="shared" si="9"/>
        <v>100</v>
      </c>
      <c r="T39" s="666" t="s">
        <v>14</v>
      </c>
      <c r="U39" s="667">
        <f t="shared" si="10"/>
        <v>100</v>
      </c>
      <c r="V39" s="666" t="s">
        <v>14</v>
      </c>
      <c r="W39" s="667">
        <f t="shared" si="11"/>
        <v>100</v>
      </c>
      <c r="X39" s="1263"/>
      <c r="Y39" s="3443"/>
      <c r="Z39" s="1262" t="str">
        <f t="shared" si="12"/>
        <v>宗地形状</v>
      </c>
      <c r="AA39" s="1262">
        <f t="shared" si="3"/>
        <v>1</v>
      </c>
      <c r="AB39" s="1262">
        <f t="shared" si="4"/>
        <v>1</v>
      </c>
      <c r="AC39" s="1262">
        <f t="shared" si="5"/>
        <v>1</v>
      </c>
    </row>
    <row r="40" spans="1:29" ht="15">
      <c r="A40" s="408"/>
      <c r="B40" s="363" t="s">
        <v>1873</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7"/>
      <c r="M40" s="2482"/>
      <c r="N40" s="2482"/>
      <c r="O40" s="2537"/>
      <c r="P40" s="3443"/>
      <c r="Q40" s="1261" t="str">
        <f t="shared" si="13"/>
        <v>临街宽度及深度</v>
      </c>
      <c r="R40" s="666" t="s">
        <v>14</v>
      </c>
      <c r="S40" s="667">
        <f t="shared" si="9"/>
        <v>100</v>
      </c>
      <c r="T40" s="666" t="s">
        <v>14</v>
      </c>
      <c r="U40" s="667">
        <f t="shared" si="10"/>
        <v>100</v>
      </c>
      <c r="V40" s="666" t="s">
        <v>14</v>
      </c>
      <c r="W40" s="667">
        <f t="shared" si="11"/>
        <v>100</v>
      </c>
      <c r="X40" s="1263"/>
      <c r="Y40" s="3443"/>
      <c r="Z40" s="1262" t="str">
        <f t="shared" si="12"/>
        <v>临街宽度及深度</v>
      </c>
      <c r="AA40" s="1262">
        <f t="shared" si="3"/>
        <v>1</v>
      </c>
      <c r="AB40" s="1262">
        <f t="shared" si="4"/>
        <v>1</v>
      </c>
      <c r="AC40" s="1262">
        <f t="shared" si="5"/>
        <v>1</v>
      </c>
    </row>
    <row r="41" spans="1:29" s="101" customFormat="1" ht="15">
      <c r="A41" s="409"/>
      <c r="B41" s="363" t="s">
        <v>1874</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443"/>
      <c r="Q41" s="1261" t="str">
        <f t="shared" si="13"/>
        <v>宗地开发程度</v>
      </c>
      <c r="R41" s="663" t="s">
        <v>14</v>
      </c>
      <c r="S41" s="664">
        <f t="shared" si="9"/>
        <v>100</v>
      </c>
      <c r="T41" s="663" t="s">
        <v>14</v>
      </c>
      <c r="U41" s="664">
        <f t="shared" si="10"/>
        <v>100</v>
      </c>
      <c r="V41" s="663" t="s">
        <v>14</v>
      </c>
      <c r="W41" s="664">
        <f t="shared" si="11"/>
        <v>100</v>
      </c>
      <c r="X41" s="665"/>
      <c r="Y41" s="3443"/>
      <c r="Z41" s="50" t="str">
        <f t="shared" si="12"/>
        <v>宗地开发程度</v>
      </c>
      <c r="AA41" s="50">
        <f t="shared" si="3"/>
        <v>1</v>
      </c>
      <c r="AB41" s="50">
        <f t="shared" si="4"/>
        <v>1</v>
      </c>
      <c r="AC41" s="50">
        <f t="shared" si="5"/>
        <v>1</v>
      </c>
    </row>
    <row r="42" spans="1:29" ht="15">
      <c r="A42" s="408"/>
      <c r="B42" s="363" t="s">
        <v>1875</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7"/>
      <c r="M42" s="2482"/>
      <c r="N42" s="2482"/>
      <c r="O42" s="2537"/>
      <c r="P42" s="3443" t="s">
        <v>1696</v>
      </c>
      <c r="Q42" s="1261" t="str">
        <f t="shared" si="13"/>
        <v>工程地质条件</v>
      </c>
      <c r="R42" s="666" t="s">
        <v>14</v>
      </c>
      <c r="S42" s="667">
        <f t="shared" si="9"/>
        <v>100</v>
      </c>
      <c r="T42" s="666" t="s">
        <v>14</v>
      </c>
      <c r="U42" s="667">
        <f t="shared" si="10"/>
        <v>100</v>
      </c>
      <c r="V42" s="666" t="s">
        <v>14</v>
      </c>
      <c r="W42" s="667">
        <f t="shared" si="11"/>
        <v>100</v>
      </c>
      <c r="X42" s="1263"/>
      <c r="Y42" s="3443" t="s">
        <v>1696</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43"/>
      <c r="Q43" s="1261">
        <f t="shared" si="13"/>
        <v>111</v>
      </c>
      <c r="R43" s="666" t="s">
        <v>14</v>
      </c>
      <c r="S43" s="667">
        <f t="shared" si="9"/>
        <v>100</v>
      </c>
      <c r="T43" s="666" t="s">
        <v>14</v>
      </c>
      <c r="U43" s="667">
        <f t="shared" si="10"/>
        <v>100</v>
      </c>
      <c r="V43" s="666" t="s">
        <v>14</v>
      </c>
      <c r="W43" s="667">
        <f t="shared" si="11"/>
        <v>100</v>
      </c>
      <c r="X43" s="1263"/>
      <c r="Y43" s="3443"/>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43"/>
      <c r="Q44" s="1261">
        <f t="shared" si="13"/>
        <v>111</v>
      </c>
      <c r="R44" s="666" t="s">
        <v>14</v>
      </c>
      <c r="S44" s="667">
        <f t="shared" si="9"/>
        <v>100</v>
      </c>
      <c r="T44" s="666" t="s">
        <v>14</v>
      </c>
      <c r="U44" s="667">
        <f t="shared" si="10"/>
        <v>100</v>
      </c>
      <c r="V44" s="666" t="s">
        <v>14</v>
      </c>
      <c r="W44" s="667">
        <f t="shared" si="11"/>
        <v>100</v>
      </c>
      <c r="X44" s="1263"/>
      <c r="Y44" s="3443"/>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43"/>
      <c r="Q45" s="1261">
        <f t="shared" si="13"/>
        <v>111</v>
      </c>
      <c r="R45" s="668" t="s">
        <v>14</v>
      </c>
      <c r="S45" s="669">
        <f t="shared" si="9"/>
        <v>100</v>
      </c>
      <c r="T45" s="668" t="s">
        <v>14</v>
      </c>
      <c r="U45" s="669">
        <f t="shared" si="10"/>
        <v>100</v>
      </c>
      <c r="V45" s="668" t="s">
        <v>14</v>
      </c>
      <c r="W45" s="669">
        <f t="shared" si="11"/>
        <v>100</v>
      </c>
      <c r="X45" s="670"/>
      <c r="Y45" s="3443"/>
      <c r="Z45" s="671">
        <f t="shared" si="12"/>
        <v>111</v>
      </c>
      <c r="AA45" s="1262">
        <f t="shared" si="3"/>
        <v>1</v>
      </c>
      <c r="AB45" s="1262">
        <f t="shared" si="4"/>
        <v>1</v>
      </c>
      <c r="AC45" s="1262">
        <f t="shared" si="5"/>
        <v>1</v>
      </c>
    </row>
    <row r="46" spans="1:29" ht="15">
      <c r="A46" s="415" t="s">
        <v>1841</v>
      </c>
      <c r="B46" s="1825" t="s">
        <v>1876</v>
      </c>
      <c r="C46" s="601" t="s">
        <v>0</v>
      </c>
      <c r="D46" s="417"/>
      <c r="E46" s="418"/>
      <c r="F46" s="419"/>
      <c r="G46" s="420"/>
      <c r="H46" s="421"/>
      <c r="I46" s="418"/>
      <c r="J46" s="421"/>
      <c r="K46" s="673"/>
      <c r="L46" s="2489"/>
      <c r="M46" s="2482"/>
      <c r="N46" s="2482"/>
      <c r="O46" s="2482"/>
      <c r="P46" s="3437" t="str">
        <f>A46</f>
        <v>成交单价</v>
      </c>
      <c r="Q46" s="3437"/>
      <c r="R46" s="3432">
        <f>E46</f>
        <v>0</v>
      </c>
      <c r="S46" s="3432"/>
      <c r="T46" s="3432">
        <f>G46</f>
        <v>0</v>
      </c>
      <c r="U46" s="3432"/>
      <c r="V46" s="3432">
        <f>I46</f>
        <v>0</v>
      </c>
      <c r="W46" s="3432"/>
      <c r="X46" s="384"/>
      <c r="Y46" s="672"/>
      <c r="Z46" s="384"/>
      <c r="AA46" s="384"/>
      <c r="AB46" s="384"/>
      <c r="AC46" s="384"/>
    </row>
    <row r="47" spans="1:29" ht="15.75" thickBot="1">
      <c r="A47" s="422" t="s">
        <v>1790</v>
      </c>
      <c r="B47" s="602"/>
      <c r="C47" s="425" t="e">
        <f>R48</f>
        <v>#DIV/0!</v>
      </c>
      <c r="D47" s="2136" t="s">
        <v>2135</v>
      </c>
      <c r="E47" s="425" t="e">
        <f>R47</f>
        <v>#DIV/0!</v>
      </c>
      <c r="F47" s="2137"/>
      <c r="G47" s="424" t="e">
        <f>T47</f>
        <v>#DIV/0!</v>
      </c>
      <c r="H47" s="2137"/>
      <c r="I47" s="425" t="e">
        <f>V47</f>
        <v>#DIV/0!</v>
      </c>
      <c r="J47" s="2137"/>
      <c r="K47" s="2139">
        <f>F47+H47+J47</f>
        <v>0</v>
      </c>
      <c r="L47" s="2489"/>
      <c r="M47" s="2482"/>
      <c r="N47" s="2482"/>
      <c r="O47" s="2482"/>
      <c r="P47" s="3437" t="str">
        <f>A47</f>
        <v>比较价值（元/平方米）</v>
      </c>
      <c r="Q47" s="3437"/>
      <c r="R47" s="3465" t="e">
        <f>ROUND(PRODUCT(R46,AA7:AA45),0)</f>
        <v>#DIV/0!</v>
      </c>
      <c r="S47" s="3465"/>
      <c r="T47" s="3465" t="e">
        <f>ROUND(PRODUCT(T46,AB7:AB45),0)</f>
        <v>#DIV/0!</v>
      </c>
      <c r="U47" s="3465"/>
      <c r="V47" s="3465" t="e">
        <f>ROUND(PRODUCT(V46,AC7:AC45),0)</f>
        <v>#DIV/0!</v>
      </c>
      <c r="W47" s="3465"/>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89"/>
      <c r="M48" s="2482"/>
      <c r="N48" s="2482"/>
      <c r="O48" s="2482"/>
      <c r="P48" s="3434" t="str">
        <f>A48</f>
        <v>估价对象XX用房的比较价值（楼面单价，元/平方米）</v>
      </c>
      <c r="Q48" s="3435"/>
      <c r="R48" s="3466" t="e">
        <f>ROUND(IF(D47="简单平均",AVERAGE(R47:W47),R47*F47+T47*H47+V47*J47),0)</f>
        <v>#DIV/0!</v>
      </c>
      <c r="S48" s="3466"/>
      <c r="T48" s="3466"/>
      <c r="U48" s="3466"/>
      <c r="V48" s="3466"/>
      <c r="W48" s="3466"/>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1878</v>
      </c>
      <c r="B55" s="604" t="s">
        <v>1879</v>
      </c>
      <c r="C55" s="1826" t="s">
        <v>1880</v>
      </c>
      <c r="D55" s="1827" t="s">
        <v>1881</v>
      </c>
      <c r="E55" s="605" t="s">
        <v>1882</v>
      </c>
      <c r="F55" s="836" t="s">
        <v>1883</v>
      </c>
      <c r="G55" s="3420" t="s">
        <v>1884</v>
      </c>
      <c r="H55" s="3467"/>
      <c r="I55" s="126" t="s">
        <v>1885</v>
      </c>
      <c r="J55" s="1828">
        <f>项目基本情况!F35</f>
        <v>0</v>
      </c>
      <c r="K55" s="1829" t="s">
        <v>1886</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1887</v>
      </c>
      <c r="B56" s="608" t="e">
        <f>C48</f>
        <v>#DIV/0!</v>
      </c>
      <c r="C56" s="609">
        <v>1</v>
      </c>
      <c r="D56" s="889">
        <v>1</v>
      </c>
      <c r="E56" s="609">
        <f>'数据-汇总表'!E8+'数据-汇总表'!E9</f>
        <v>141.37</v>
      </c>
      <c r="F56" s="832" t="e">
        <f t="shared" ref="F56:F64" si="14">ROUND(B56*E56/10000,0)</f>
        <v>#DIV/0!</v>
      </c>
      <c r="G56" s="3419"/>
      <c r="H56" s="3437"/>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1888</v>
      </c>
      <c r="B57" s="209" t="e">
        <f>ROUND($C$48*C57*D57,0)</f>
        <v>#DIV/0!</v>
      </c>
      <c r="C57" s="162">
        <f t="shared" ref="C57:C64" si="15">IF($C$55="北京市系数",I57,J57)</f>
        <v>0</v>
      </c>
      <c r="D57" s="890">
        <v>0.25</v>
      </c>
      <c r="E57" s="613"/>
      <c r="F57" s="832" t="e">
        <f t="shared" si="14"/>
        <v>#DIV/0!</v>
      </c>
      <c r="G57" s="2744" t="s">
        <v>1889</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1890</v>
      </c>
      <c r="B58" s="209" t="e">
        <f t="shared" ref="B58:B64" si="16">ROUND($C$48*C58*D58,0)</f>
        <v>#DIV/0!</v>
      </c>
      <c r="C58" s="162">
        <f t="shared" si="15"/>
        <v>0</v>
      </c>
      <c r="D58" s="890">
        <v>0.25</v>
      </c>
      <c r="E58" s="613"/>
      <c r="F58" s="832" t="e">
        <f t="shared" si="14"/>
        <v>#DIV/0!</v>
      </c>
      <c r="G58" s="2745"/>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1891</v>
      </c>
      <c r="B59" s="209" t="e">
        <f t="shared" si="16"/>
        <v>#DIV/0!</v>
      </c>
      <c r="C59" s="162">
        <f t="shared" si="15"/>
        <v>0</v>
      </c>
      <c r="D59" s="890">
        <v>0.25</v>
      </c>
      <c r="E59" s="613"/>
      <c r="F59" s="832" t="e">
        <f t="shared" si="14"/>
        <v>#DIV/0!</v>
      </c>
      <c r="G59" s="2745"/>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1892</v>
      </c>
      <c r="B60" s="209" t="e">
        <f t="shared" si="16"/>
        <v>#DIV/0!</v>
      </c>
      <c r="C60" s="162">
        <f t="shared" si="15"/>
        <v>0</v>
      </c>
      <c r="D60" s="890">
        <v>0.25</v>
      </c>
      <c r="E60" s="208">
        <f>'数据-汇总表'!E11</f>
        <v>0</v>
      </c>
      <c r="F60" s="832" t="e">
        <f t="shared" si="14"/>
        <v>#DIV/0!</v>
      </c>
      <c r="G60" s="1830" t="s">
        <v>1893</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1894</v>
      </c>
      <c r="B61" s="209" t="e">
        <f t="shared" si="16"/>
        <v>#DIV/0!</v>
      </c>
      <c r="C61" s="162">
        <f t="shared" si="15"/>
        <v>0</v>
      </c>
      <c r="D61" s="890">
        <v>0.25</v>
      </c>
      <c r="E61" s="208">
        <f>'数据-汇总表'!E12</f>
        <v>0</v>
      </c>
      <c r="F61" s="832" t="e">
        <f t="shared" si="14"/>
        <v>#DIV/0!</v>
      </c>
      <c r="G61" s="838" t="s">
        <v>1895</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1896</v>
      </c>
      <c r="B62" s="209" t="e">
        <f t="shared" si="16"/>
        <v>#DIV/0!</v>
      </c>
      <c r="C62" s="162">
        <f t="shared" si="15"/>
        <v>0.15</v>
      </c>
      <c r="D62" s="890">
        <v>0.25</v>
      </c>
      <c r="E62" s="208">
        <f>'数据-汇总表'!E13</f>
        <v>0</v>
      </c>
      <c r="F62" s="832" t="e">
        <f t="shared" si="14"/>
        <v>#DIV/0!</v>
      </c>
      <c r="G62" s="838" t="s">
        <v>1897</v>
      </c>
      <c r="H62" s="833" t="str">
        <f>IF(G62="商业",项目基本情况!B37,IF(G62="办公",项目基本情况!C37,IF(G62="住宅",项目基本情况!D37,项目基本情况!E37)))</f>
        <v>六级</v>
      </c>
      <c r="I62" s="837">
        <f>SUMIF(修正!A57:A68,H62,修正!G57:G68)</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1898</v>
      </c>
      <c r="B63" s="209" t="e">
        <f t="shared" si="16"/>
        <v>#DIV/0!</v>
      </c>
      <c r="C63" s="162">
        <f t="shared" si="15"/>
        <v>0</v>
      </c>
      <c r="D63" s="890">
        <v>0.25</v>
      </c>
      <c r="E63" s="208">
        <f>'数据-汇总表'!E14</f>
        <v>0</v>
      </c>
      <c r="F63" s="832" t="e">
        <f t="shared" si="14"/>
        <v>#DIV/0!</v>
      </c>
      <c r="G63" s="1830" t="s">
        <v>1889</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1899</v>
      </c>
      <c r="B64" s="209" t="e">
        <f t="shared" si="16"/>
        <v>#DIV/0!</v>
      </c>
      <c r="C64" s="162">
        <f t="shared" si="15"/>
        <v>0</v>
      </c>
      <c r="D64" s="890">
        <v>0.25</v>
      </c>
      <c r="E64" s="208">
        <f>'数据-汇总表'!E15</f>
        <v>0</v>
      </c>
      <c r="F64" s="832" t="e">
        <f t="shared" si="14"/>
        <v>#DIV/0!</v>
      </c>
      <c r="G64" s="1831" t="s">
        <v>1893</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1900</v>
      </c>
      <c r="B65" s="615" t="s">
        <v>22</v>
      </c>
      <c r="C65" s="615" t="s">
        <v>23</v>
      </c>
      <c r="D65" s="615" t="s">
        <v>392</v>
      </c>
      <c r="E65" s="615">
        <f>IF(B46="楼面地价",SUM(E56:E64),'数据-汇总表'!D3)</f>
        <v>141.37</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2024-10-1</v>
      </c>
      <c r="D67" s="655">
        <f>EDATE(C67,-3)</f>
        <v>45474</v>
      </c>
      <c r="E67" s="655">
        <f>EDATE(D67,-3)</f>
        <v>45383</v>
      </c>
      <c r="F67" s="655">
        <f t="shared" ref="F67:O67" si="17">EDATE(E67,-3)</f>
        <v>45292</v>
      </c>
      <c r="G67" s="655">
        <f t="shared" si="17"/>
        <v>45200</v>
      </c>
      <c r="H67" s="655">
        <f t="shared" si="17"/>
        <v>45108</v>
      </c>
      <c r="I67" s="655">
        <f t="shared" si="17"/>
        <v>45017</v>
      </c>
      <c r="J67" s="655">
        <f t="shared" si="17"/>
        <v>44927</v>
      </c>
      <c r="K67" s="655">
        <f t="shared" si="17"/>
        <v>44835</v>
      </c>
      <c r="L67" s="655">
        <f t="shared" si="17"/>
        <v>44743</v>
      </c>
      <c r="M67" s="655">
        <f t="shared" si="17"/>
        <v>44652</v>
      </c>
      <c r="N67" s="655">
        <f t="shared" si="17"/>
        <v>44562</v>
      </c>
      <c r="O67" s="655">
        <f t="shared" si="17"/>
        <v>44470</v>
      </c>
      <c r="P67" s="2482"/>
      <c r="Q67" s="2482"/>
      <c r="R67" s="2482"/>
      <c r="S67" s="2482"/>
      <c r="T67" s="2482"/>
      <c r="U67" s="2482"/>
      <c r="V67" s="2482"/>
      <c r="W67" s="2482"/>
      <c r="X67" s="2482"/>
      <c r="Y67" s="2482"/>
      <c r="Z67" s="2482"/>
      <c r="AA67" s="2482"/>
      <c r="AB67" s="2482"/>
      <c r="AC67" s="2482"/>
    </row>
    <row r="68" spans="1:29" ht="21.75" thickBot="1">
      <c r="A68" s="657" t="s">
        <v>1795</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1901</v>
      </c>
      <c r="B69" s="1045"/>
      <c r="C69" s="1099" t="str">
        <f>YEAR(C67)&amp;"-"&amp;ROUNDUP(MONTH(C67)/3,0)</f>
        <v>2024-4</v>
      </c>
      <c r="D69" s="1099" t="str">
        <f>YEAR(D67)&amp;"-"&amp;ROUNDUP(MONTH(D67)/3,0)</f>
        <v>2024-3</v>
      </c>
      <c r="E69" s="1099" t="str">
        <f t="shared" ref="E69:O69" si="18">YEAR(E67)&amp;"-"&amp;ROUNDUP(MONTH(E67)/3,0)</f>
        <v>2024-2</v>
      </c>
      <c r="F69" s="1099" t="str">
        <f t="shared" si="18"/>
        <v>2024-1</v>
      </c>
      <c r="G69" s="1099" t="str">
        <f t="shared" si="18"/>
        <v>2023-4</v>
      </c>
      <c r="H69" s="1099" t="str">
        <f t="shared" si="18"/>
        <v>2023-3</v>
      </c>
      <c r="I69" s="1099" t="str">
        <f t="shared" si="18"/>
        <v>2023-2</v>
      </c>
      <c r="J69" s="1099" t="str">
        <f t="shared" si="18"/>
        <v>2023-1</v>
      </c>
      <c r="K69" s="1099" t="str">
        <f t="shared" si="18"/>
        <v>2022-4</v>
      </c>
      <c r="L69" s="1099" t="str">
        <f t="shared" si="18"/>
        <v>2022-3</v>
      </c>
      <c r="M69" s="1099" t="str">
        <f t="shared" si="18"/>
        <v>2022-2</v>
      </c>
      <c r="N69" s="1099" t="str">
        <f t="shared" si="18"/>
        <v>2022-1</v>
      </c>
      <c r="O69" s="1099" t="str">
        <f t="shared" si="18"/>
        <v>2021-4</v>
      </c>
      <c r="P69" s="2505"/>
      <c r="Q69" s="2505"/>
      <c r="R69" s="2505"/>
      <c r="S69" s="2505"/>
      <c r="T69" s="2505"/>
      <c r="U69" s="2505"/>
      <c r="V69" s="2505"/>
      <c r="W69" s="2505"/>
      <c r="X69" s="2505"/>
      <c r="Y69" s="2505"/>
      <c r="Z69" s="2505"/>
      <c r="AA69" s="2505"/>
      <c r="AB69" s="2505"/>
      <c r="AC69" s="2505"/>
    </row>
    <row r="70" spans="1:29" s="101" customFormat="1" ht="30" customHeight="1">
      <c r="A70" s="1832" t="s">
        <v>1902</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3"/>
      <c r="Q70" s="2434"/>
      <c r="R70" s="2434"/>
      <c r="S70" s="2434"/>
      <c r="T70" s="2434"/>
      <c r="U70" s="2434"/>
      <c r="V70" s="2434"/>
      <c r="W70" s="2434"/>
      <c r="X70" s="2434"/>
      <c r="Y70" s="2434"/>
      <c r="Z70" s="2434"/>
      <c r="AA70" s="2434"/>
      <c r="AB70" s="2434"/>
      <c r="AC70" s="2434"/>
    </row>
    <row r="71" spans="1:29" s="101" customFormat="1" ht="15.75" thickBot="1">
      <c r="A71" s="448" t="s">
        <v>1714</v>
      </c>
      <c r="B71" s="449"/>
      <c r="C71" s="450"/>
      <c r="D71" s="451"/>
      <c r="E71" s="451"/>
      <c r="F71" s="451"/>
      <c r="G71" s="451"/>
      <c r="H71" s="451"/>
      <c r="I71" s="451"/>
      <c r="J71" s="451"/>
      <c r="K71" s="451"/>
      <c r="L71" s="451"/>
      <c r="M71" s="452"/>
      <c r="N71" s="451"/>
      <c r="O71" s="888"/>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1773</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1717</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1718</v>
      </c>
      <c r="C87" s="503" t="s">
        <v>1719</v>
      </c>
      <c r="D87" s="503" t="s">
        <v>1720</v>
      </c>
      <c r="E87" s="503" t="s">
        <v>1721</v>
      </c>
      <c r="F87" s="503" t="s">
        <v>1722</v>
      </c>
      <c r="G87" s="503" t="s">
        <v>1723</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1903</v>
      </c>
      <c r="C89" s="508" t="s">
        <v>1719</v>
      </c>
      <c r="D89" s="508" t="s">
        <v>1720</v>
      </c>
      <c r="E89" s="508" t="s">
        <v>1721</v>
      </c>
      <c r="F89" s="508" t="s">
        <v>1722</v>
      </c>
      <c r="G89" s="508" t="s">
        <v>1723</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1818</v>
      </c>
      <c r="C91" s="508" t="s">
        <v>1719</v>
      </c>
      <c r="D91" s="508" t="s">
        <v>1720</v>
      </c>
      <c r="E91" s="508" t="s">
        <v>1721</v>
      </c>
      <c r="F91" s="508" t="s">
        <v>1722</v>
      </c>
      <c r="G91" s="508" t="s">
        <v>1723</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1724</v>
      </c>
      <c r="C93" s="508" t="s">
        <v>1719</v>
      </c>
      <c r="D93" s="508" t="s">
        <v>1720</v>
      </c>
      <c r="E93" s="508" t="s">
        <v>1721</v>
      </c>
      <c r="F93" s="508" t="s">
        <v>1722</v>
      </c>
      <c r="G93" s="508" t="s">
        <v>1723</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1904</v>
      </c>
      <c r="C95" s="508" t="s">
        <v>1719</v>
      </c>
      <c r="D95" s="508" t="s">
        <v>1720</v>
      </c>
      <c r="E95" s="508" t="s">
        <v>1721</v>
      </c>
      <c r="F95" s="508" t="s">
        <v>1722</v>
      </c>
      <c r="G95" s="508" t="s">
        <v>1723</v>
      </c>
      <c r="H95" s="508"/>
      <c r="I95" s="508"/>
      <c r="J95" s="508"/>
      <c r="K95" s="508"/>
      <c r="L95" s="617"/>
      <c r="M95" s="546"/>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1905</v>
      </c>
      <c r="C97" s="503" t="s">
        <v>1719</v>
      </c>
      <c r="D97" s="503" t="s">
        <v>1720</v>
      </c>
      <c r="E97" s="503" t="s">
        <v>1721</v>
      </c>
      <c r="F97" s="503" t="s">
        <v>1722</v>
      </c>
      <c r="G97" s="503" t="s">
        <v>1723</v>
      </c>
      <c r="H97" s="508"/>
      <c r="I97" s="508"/>
      <c r="J97" s="508"/>
      <c r="K97" s="508"/>
      <c r="L97" s="508"/>
      <c r="M97" s="546"/>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1775</v>
      </c>
      <c r="C99" s="503" t="s">
        <v>1719</v>
      </c>
      <c r="D99" s="503" t="s">
        <v>1720</v>
      </c>
      <c r="E99" s="503" t="s">
        <v>1721</v>
      </c>
      <c r="F99" s="503" t="s">
        <v>1722</v>
      </c>
      <c r="G99" s="503" t="s">
        <v>1723</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1812</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1870</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1910</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1911</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1912</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1913</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1914</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20" t="s">
        <v>1767</v>
      </c>
      <c r="D4" s="3421"/>
      <c r="E4" s="3422" t="s">
        <v>1768</v>
      </c>
      <c r="F4" s="3423"/>
      <c r="G4" s="3420" t="s">
        <v>1769</v>
      </c>
      <c r="H4" s="3421"/>
      <c r="I4" s="3420" t="s">
        <v>1770</v>
      </c>
      <c r="J4" s="3421"/>
      <c r="K4" s="536" t="s">
        <v>1771</v>
      </c>
      <c r="L4" s="2481"/>
      <c r="M4" s="2482"/>
      <c r="N4" s="2482"/>
      <c r="O4" s="2482"/>
      <c r="P4" s="3424" t="s">
        <v>1772</v>
      </c>
      <c r="Q4" s="3425"/>
      <c r="R4" s="3406" t="s">
        <v>1768</v>
      </c>
      <c r="S4" s="3407"/>
      <c r="T4" s="3406" t="s">
        <v>1769</v>
      </c>
      <c r="U4" s="3407"/>
      <c r="V4" s="3432" t="s">
        <v>1770</v>
      </c>
      <c r="W4" s="3432"/>
      <c r="X4" s="1263"/>
      <c r="Y4" s="3406" t="s">
        <v>1772</v>
      </c>
      <c r="Z4" s="3407"/>
      <c r="AA4" s="3401" t="s">
        <v>1768</v>
      </c>
      <c r="AB4" s="3402" t="s">
        <v>1769</v>
      </c>
      <c r="AC4" s="3401" t="s">
        <v>1770</v>
      </c>
    </row>
    <row r="5" spans="1:29" ht="15">
      <c r="A5" s="347"/>
      <c r="B5" s="348"/>
      <c r="C5" s="3416" t="s">
        <v>1673</v>
      </c>
      <c r="D5" s="3413"/>
      <c r="E5" s="3447" t="s">
        <v>1674</v>
      </c>
      <c r="F5" s="3411"/>
      <c r="G5" s="3416" t="s">
        <v>1675</v>
      </c>
      <c r="H5" s="3413"/>
      <c r="I5" s="3416" t="s">
        <v>1676</v>
      </c>
      <c r="J5" s="3413"/>
      <c r="K5" s="536"/>
      <c r="L5" s="2481"/>
      <c r="M5" s="2482"/>
      <c r="N5" s="2482"/>
      <c r="O5" s="2482"/>
      <c r="P5" s="3426"/>
      <c r="Q5" s="3427"/>
      <c r="R5" s="3408"/>
      <c r="S5" s="3409"/>
      <c r="T5" s="3408"/>
      <c r="U5" s="3409"/>
      <c r="V5" s="3432"/>
      <c r="W5" s="3432"/>
      <c r="X5" s="1263"/>
      <c r="Y5" s="3408"/>
      <c r="Z5" s="3409"/>
      <c r="AA5" s="3402"/>
      <c r="AB5" s="3402"/>
      <c r="AC5" s="3402"/>
    </row>
    <row r="6" spans="1:29" ht="15.75" thickBot="1">
      <c r="A6" s="349"/>
      <c r="B6" s="350"/>
      <c r="C6" s="3468" t="s">
        <v>1916</v>
      </c>
      <c r="D6" s="3469"/>
      <c r="E6" s="3470" t="s">
        <v>1916</v>
      </c>
      <c r="F6" s="3471"/>
      <c r="G6" s="3468" t="s">
        <v>1916</v>
      </c>
      <c r="H6" s="3469"/>
      <c r="I6" s="3468" t="s">
        <v>1916</v>
      </c>
      <c r="J6" s="3469"/>
      <c r="K6" s="536" t="s">
        <v>1678</v>
      </c>
      <c r="L6" s="2481"/>
      <c r="M6" s="2482"/>
      <c r="N6" s="2482"/>
      <c r="O6" s="2482"/>
      <c r="P6" s="3428"/>
      <c r="Q6" s="3429"/>
      <c r="R6" s="3408"/>
      <c r="S6" s="3409"/>
      <c r="T6" s="3430"/>
      <c r="U6" s="3431"/>
      <c r="V6" s="3432"/>
      <c r="W6" s="3432"/>
      <c r="X6" s="1263"/>
      <c r="Y6" s="3430"/>
      <c r="Z6" s="3431"/>
      <c r="AA6" s="3403"/>
      <c r="AB6" s="3403"/>
      <c r="AC6" s="3403"/>
    </row>
    <row r="7" spans="1:29" s="101" customFormat="1" ht="15.75" thickBot="1">
      <c r="A7" s="351" t="s">
        <v>1679</v>
      </c>
      <c r="B7" s="352"/>
      <c r="C7" s="353">
        <f>'数据-取费表'!B2</f>
        <v>45583</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404" t="s">
        <v>1680</v>
      </c>
      <c r="Q7" s="3433"/>
      <c r="R7" s="663" t="s">
        <v>14</v>
      </c>
      <c r="S7" s="664">
        <f t="shared" ref="S7:S15" si="0">F7</f>
        <v>0</v>
      </c>
      <c r="T7" s="663" t="s">
        <v>14</v>
      </c>
      <c r="U7" s="664">
        <f t="shared" ref="U7:U15" si="1">H7</f>
        <v>0</v>
      </c>
      <c r="V7" s="663" t="s">
        <v>14</v>
      </c>
      <c r="W7" s="664">
        <f t="shared" ref="W7:W15" si="2">J7</f>
        <v>0</v>
      </c>
      <c r="X7" s="665"/>
      <c r="Y7" s="3404" t="s">
        <v>1680</v>
      </c>
      <c r="Z7" s="3405"/>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404" t="s">
        <v>1683</v>
      </c>
      <c r="Q8" s="3405"/>
      <c r="R8" s="663" t="s">
        <v>14</v>
      </c>
      <c r="S8" s="664">
        <f t="shared" si="0"/>
        <v>0</v>
      </c>
      <c r="T8" s="663" t="s">
        <v>14</v>
      </c>
      <c r="U8" s="664">
        <f t="shared" si="1"/>
        <v>0</v>
      </c>
      <c r="V8" s="663" t="s">
        <v>14</v>
      </c>
      <c r="W8" s="664">
        <f t="shared" si="2"/>
        <v>0</v>
      </c>
      <c r="X8" s="665"/>
      <c r="Y8" s="3404" t="s">
        <v>1683</v>
      </c>
      <c r="Z8" s="3405"/>
      <c r="AA8" s="50" t="e">
        <f t="shared" ref="AA8:AA40" si="3">D8/F8</f>
        <v>#DIV/0!</v>
      </c>
      <c r="AB8" s="50" t="e">
        <f t="shared" ref="AB8:AB40" si="4">D8/H8</f>
        <v>#DIV/0!</v>
      </c>
      <c r="AC8" s="50" t="e">
        <f t="shared" ref="AC8:AC40" si="5">D8/J8</f>
        <v>#DIV/0!</v>
      </c>
    </row>
    <row r="9" spans="1:29" s="101" customFormat="1">
      <c r="A9" s="358"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3"/>
      <c r="M9" s="2434"/>
      <c r="N9" s="2434"/>
      <c r="O9" s="2535"/>
      <c r="P9" s="3437" t="s">
        <v>1686</v>
      </c>
      <c r="Q9" s="529" t="str">
        <f t="shared" ref="Q9:Q15" si="6">B9</f>
        <v>用途</v>
      </c>
      <c r="R9" s="663" t="s">
        <v>14</v>
      </c>
      <c r="S9" s="664">
        <f t="shared" si="0"/>
        <v>100</v>
      </c>
      <c r="T9" s="663" t="s">
        <v>14</v>
      </c>
      <c r="U9" s="664">
        <f t="shared" si="1"/>
        <v>100</v>
      </c>
      <c r="V9" s="663" t="s">
        <v>14</v>
      </c>
      <c r="W9" s="664">
        <f t="shared" si="2"/>
        <v>100</v>
      </c>
      <c r="X9" s="665"/>
      <c r="Y9" s="334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100</v>
      </c>
      <c r="G10" s="370"/>
      <c r="H10" s="118">
        <f>ROUND(100/'数据-取费表'!G16,0)</f>
        <v>100</v>
      </c>
      <c r="I10" s="370"/>
      <c r="J10" s="118">
        <f>ROUND(100/'数据-取费表'!G16,0)</f>
        <v>100</v>
      </c>
      <c r="K10" s="591"/>
      <c r="L10" s="2484"/>
      <c r="M10" s="2485"/>
      <c r="N10" s="2485"/>
      <c r="O10" s="2536"/>
      <c r="P10" s="3437"/>
      <c r="Q10" s="529" t="str">
        <f t="shared" si="6"/>
        <v>土地使用年限（年）</v>
      </c>
      <c r="R10" s="663" t="s">
        <v>14</v>
      </c>
      <c r="S10" s="664">
        <f t="shared" si="0"/>
        <v>100</v>
      </c>
      <c r="T10" s="663" t="s">
        <v>14</v>
      </c>
      <c r="U10" s="664">
        <f t="shared" si="1"/>
        <v>100</v>
      </c>
      <c r="V10" s="663" t="s">
        <v>14</v>
      </c>
      <c r="W10" s="664">
        <f t="shared" si="2"/>
        <v>100</v>
      </c>
      <c r="X10" s="665"/>
      <c r="Y10" s="3348"/>
      <c r="Z10" s="50" t="str">
        <f t="shared" si="7"/>
        <v>土地使用年限（年）</v>
      </c>
      <c r="AA10" s="50">
        <f t="shared" si="3"/>
        <v>1</v>
      </c>
      <c r="AB10" s="50">
        <f t="shared" si="4"/>
        <v>1</v>
      </c>
      <c r="AC10" s="50">
        <f t="shared" si="5"/>
        <v>1</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37"/>
      <c r="Q11" s="529" t="str">
        <f t="shared" si="6"/>
        <v>容积率</v>
      </c>
      <c r="R11" s="663" t="s">
        <v>14</v>
      </c>
      <c r="S11" s="664" t="e">
        <f t="shared" si="0"/>
        <v>#N/A</v>
      </c>
      <c r="T11" s="663" t="s">
        <v>14</v>
      </c>
      <c r="U11" s="664" t="e">
        <f t="shared" si="1"/>
        <v>#N/A</v>
      </c>
      <c r="V11" s="663" t="s">
        <v>14</v>
      </c>
      <c r="W11" s="664" t="e">
        <f t="shared" si="2"/>
        <v>#N/A</v>
      </c>
      <c r="X11" s="665"/>
      <c r="Y11" s="3348"/>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4"/>
      <c r="N12" s="2434"/>
      <c r="O12" s="2535"/>
      <c r="P12" s="3437"/>
      <c r="Q12" s="529">
        <f t="shared" si="6"/>
        <v>111</v>
      </c>
      <c r="R12" s="663" t="s">
        <v>14</v>
      </c>
      <c r="S12" s="664">
        <f t="shared" si="0"/>
        <v>100</v>
      </c>
      <c r="T12" s="663" t="s">
        <v>14</v>
      </c>
      <c r="U12" s="664">
        <f t="shared" si="1"/>
        <v>100</v>
      </c>
      <c r="V12" s="663" t="s">
        <v>14</v>
      </c>
      <c r="W12" s="664">
        <f t="shared" si="2"/>
        <v>100</v>
      </c>
      <c r="X12" s="665"/>
      <c r="Y12" s="3348"/>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37"/>
      <c r="Q13" s="529">
        <f t="shared" si="6"/>
        <v>111</v>
      </c>
      <c r="R13" s="663" t="s">
        <v>14</v>
      </c>
      <c r="S13" s="664">
        <f t="shared" si="0"/>
        <v>100</v>
      </c>
      <c r="T13" s="663" t="s">
        <v>14</v>
      </c>
      <c r="U13" s="664">
        <f t="shared" si="1"/>
        <v>100</v>
      </c>
      <c r="V13" s="663" t="s">
        <v>14</v>
      </c>
      <c r="W13" s="664">
        <f t="shared" si="2"/>
        <v>100</v>
      </c>
      <c r="X13" s="665"/>
      <c r="Y13" s="3348"/>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37"/>
      <c r="Q14" s="529">
        <f t="shared" si="6"/>
        <v>111</v>
      </c>
      <c r="R14" s="663" t="s">
        <v>14</v>
      </c>
      <c r="S14" s="664">
        <f t="shared" si="0"/>
        <v>100</v>
      </c>
      <c r="T14" s="663" t="s">
        <v>14</v>
      </c>
      <c r="U14" s="664">
        <f t="shared" si="1"/>
        <v>100</v>
      </c>
      <c r="V14" s="663" t="s">
        <v>14</v>
      </c>
      <c r="W14" s="664">
        <f t="shared" si="2"/>
        <v>100</v>
      </c>
      <c r="X14" s="665"/>
      <c r="Y14" s="3348"/>
      <c r="Z14" s="50">
        <f t="shared" si="7"/>
        <v>111</v>
      </c>
      <c r="AA14" s="50">
        <f t="shared" si="3"/>
        <v>1</v>
      </c>
      <c r="AB14" s="50">
        <f t="shared" si="4"/>
        <v>1</v>
      </c>
      <c r="AC14" s="50">
        <f t="shared" si="5"/>
        <v>1</v>
      </c>
    </row>
    <row r="15" spans="1:29" ht="57">
      <c r="A15" s="378" t="s">
        <v>1690</v>
      </c>
      <c r="B15" s="553" t="s">
        <v>1917</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38" t="s">
        <v>1691</v>
      </c>
      <c r="Q15" s="1261" t="str">
        <f t="shared" si="6"/>
        <v>产业集聚程度</v>
      </c>
      <c r="R15" s="666" t="s">
        <v>14</v>
      </c>
      <c r="S15" s="667">
        <f t="shared" si="0"/>
        <v>100</v>
      </c>
      <c r="T15" s="666" t="s">
        <v>14</v>
      </c>
      <c r="U15" s="667">
        <f t="shared" si="1"/>
        <v>100</v>
      </c>
      <c r="V15" s="666" t="s">
        <v>14</v>
      </c>
      <c r="W15" s="667">
        <f t="shared" si="2"/>
        <v>100</v>
      </c>
      <c r="X15" s="1263"/>
      <c r="Y15" s="3438"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7"/>
      <c r="M16" s="2482"/>
      <c r="N16" s="2482"/>
      <c r="O16" s="2537"/>
      <c r="P16" s="3439"/>
      <c r="Q16" s="1261"/>
      <c r="R16" s="666"/>
      <c r="S16" s="667"/>
      <c r="T16" s="666"/>
      <c r="U16" s="667"/>
      <c r="V16" s="666"/>
      <c r="W16" s="667"/>
      <c r="X16" s="1263"/>
      <c r="Y16" s="3439"/>
      <c r="Z16" s="1262"/>
      <c r="AA16" s="1262">
        <v>1</v>
      </c>
      <c r="AB16" s="1262">
        <v>1</v>
      </c>
      <c r="AC16" s="1262">
        <v>1</v>
      </c>
    </row>
    <row r="17" spans="1:29" ht="85.5">
      <c r="A17" s="366"/>
      <c r="B17" s="555" t="s">
        <v>1830</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39"/>
      <c r="Q17" s="1261" t="str">
        <f>B17</f>
        <v>交通便捷度</v>
      </c>
      <c r="R17" s="666" t="s">
        <v>14</v>
      </c>
      <c r="S17" s="667">
        <f>F17</f>
        <v>100</v>
      </c>
      <c r="T17" s="666" t="s">
        <v>14</v>
      </c>
      <c r="U17" s="667">
        <f>H17</f>
        <v>100</v>
      </c>
      <c r="V17" s="666" t="s">
        <v>14</v>
      </c>
      <c r="W17" s="667">
        <f>J17</f>
        <v>100</v>
      </c>
      <c r="X17" s="1263"/>
      <c r="Y17" s="3439"/>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7"/>
      <c r="M18" s="2482"/>
      <c r="N18" s="2482"/>
      <c r="O18" s="2537"/>
      <c r="P18" s="3439"/>
      <c r="Q18" s="1261"/>
      <c r="R18" s="666"/>
      <c r="S18" s="667"/>
      <c r="T18" s="666"/>
      <c r="U18" s="667"/>
      <c r="V18" s="666"/>
      <c r="W18" s="667"/>
      <c r="X18" s="1263"/>
      <c r="Y18" s="3439"/>
      <c r="Z18" s="1262"/>
      <c r="AA18" s="1262">
        <v>1</v>
      </c>
      <c r="AB18" s="1262">
        <v>1</v>
      </c>
      <c r="AC18" s="1262">
        <v>1</v>
      </c>
    </row>
    <row r="19" spans="1:29" ht="15">
      <c r="A19" s="366"/>
      <c r="B19" s="555" t="s">
        <v>1868</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39"/>
      <c r="Q19" s="1261" t="str">
        <f t="shared" ref="Q19:Q33" si="8">B19</f>
        <v>区域土地利用方向</v>
      </c>
      <c r="R19" s="666" t="s">
        <v>14</v>
      </c>
      <c r="S19" s="667">
        <f>F19</f>
        <v>100</v>
      </c>
      <c r="T19" s="666" t="s">
        <v>14</v>
      </c>
      <c r="U19" s="667">
        <f>H19</f>
        <v>100</v>
      </c>
      <c r="V19" s="666" t="s">
        <v>14</v>
      </c>
      <c r="W19" s="667">
        <f>J19</f>
        <v>100</v>
      </c>
      <c r="X19" s="1263"/>
      <c r="Y19" s="3439"/>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7"/>
      <c r="M20" s="2482"/>
      <c r="N20" s="2482"/>
      <c r="O20" s="2537"/>
      <c r="P20" s="3439"/>
      <c r="Q20" s="1261"/>
      <c r="R20" s="666"/>
      <c r="S20" s="667"/>
      <c r="T20" s="666"/>
      <c r="U20" s="667"/>
      <c r="V20" s="666"/>
      <c r="W20" s="667"/>
      <c r="X20" s="1263"/>
      <c r="Y20" s="3439"/>
      <c r="Z20" s="1262"/>
      <c r="AA20" s="1262"/>
      <c r="AB20" s="1262"/>
      <c r="AC20" s="1262"/>
    </row>
    <row r="21" spans="1:29" ht="71.25">
      <c r="A21" s="347"/>
      <c r="B21" s="555" t="s">
        <v>1918</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39"/>
      <c r="Q21" s="1261" t="str">
        <f t="shared" si="8"/>
        <v>环境状况</v>
      </c>
      <c r="R21" s="666" t="s">
        <v>14</v>
      </c>
      <c r="S21" s="667">
        <f>F21</f>
        <v>100</v>
      </c>
      <c r="T21" s="666" t="s">
        <v>14</v>
      </c>
      <c r="U21" s="667">
        <f>H21</f>
        <v>100</v>
      </c>
      <c r="V21" s="666" t="s">
        <v>14</v>
      </c>
      <c r="W21" s="667">
        <f>J21</f>
        <v>100</v>
      </c>
      <c r="X21" s="1263"/>
      <c r="Y21" s="3439"/>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7"/>
      <c r="M22" s="2482"/>
      <c r="N22" s="2482"/>
      <c r="O22" s="2537"/>
      <c r="P22" s="3439"/>
      <c r="Q22" s="1261"/>
      <c r="R22" s="666"/>
      <c r="S22" s="667"/>
      <c r="T22" s="666"/>
      <c r="U22" s="667"/>
      <c r="V22" s="666"/>
      <c r="W22" s="667"/>
      <c r="X22" s="1263"/>
      <c r="Y22" s="3439"/>
      <c r="Z22" s="1262"/>
      <c r="AA22" s="1262">
        <v>1</v>
      </c>
      <c r="AB22" s="1262">
        <v>1</v>
      </c>
      <c r="AC22" s="1262">
        <v>1</v>
      </c>
    </row>
    <row r="23" spans="1:29" s="101" customFormat="1" ht="42.75">
      <c r="A23" s="442"/>
      <c r="B23" s="556" t="s">
        <v>1775</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4"/>
      <c r="N23" s="2434"/>
      <c r="O23" s="2535"/>
      <c r="P23" s="3439"/>
      <c r="Q23" s="529" t="str">
        <f t="shared" si="8"/>
        <v>公共配套设施</v>
      </c>
      <c r="R23" s="663" t="s">
        <v>14</v>
      </c>
      <c r="S23" s="664">
        <f>F23</f>
        <v>100</v>
      </c>
      <c r="T23" s="663" t="s">
        <v>14</v>
      </c>
      <c r="U23" s="664">
        <f>H23</f>
        <v>100</v>
      </c>
      <c r="V23" s="663" t="s">
        <v>14</v>
      </c>
      <c r="W23" s="664">
        <f>J23</f>
        <v>100</v>
      </c>
      <c r="X23" s="665"/>
      <c r="Y23" s="3439"/>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3"/>
      <c r="M24" s="2434"/>
      <c r="N24" s="2434"/>
      <c r="O24" s="2535"/>
      <c r="P24" s="3439"/>
      <c r="Q24" s="529"/>
      <c r="R24" s="663"/>
      <c r="S24" s="664"/>
      <c r="T24" s="663"/>
      <c r="U24" s="664"/>
      <c r="V24" s="663"/>
      <c r="W24" s="664"/>
      <c r="X24" s="665"/>
      <c r="Y24" s="3439"/>
      <c r="Z24" s="50"/>
      <c r="AA24" s="50">
        <v>1</v>
      </c>
      <c r="AB24" s="50">
        <v>1</v>
      </c>
      <c r="AC24" s="50">
        <v>1</v>
      </c>
    </row>
    <row r="25" spans="1:29" s="101" customFormat="1" ht="28.5">
      <c r="A25" s="442"/>
      <c r="B25" s="556" t="s">
        <v>1776</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4"/>
      <c r="N25" s="2434"/>
      <c r="O25" s="2535"/>
      <c r="P25" s="3439"/>
      <c r="Q25" s="529" t="str">
        <f>B25</f>
        <v>基础设施水平</v>
      </c>
      <c r="R25" s="663" t="s">
        <v>14</v>
      </c>
      <c r="S25" s="664">
        <f>F25</f>
        <v>100</v>
      </c>
      <c r="T25" s="663" t="s">
        <v>14</v>
      </c>
      <c r="U25" s="664">
        <f>H25</f>
        <v>100</v>
      </c>
      <c r="V25" s="663" t="s">
        <v>14</v>
      </c>
      <c r="W25" s="664">
        <f>J25</f>
        <v>100</v>
      </c>
      <c r="X25" s="665"/>
      <c r="Y25" s="3439"/>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3"/>
      <c r="M26" s="2434"/>
      <c r="N26" s="2434"/>
      <c r="O26" s="2535"/>
      <c r="P26" s="3439"/>
      <c r="Q26" s="529"/>
      <c r="R26" s="663"/>
      <c r="S26" s="664"/>
      <c r="T26" s="663"/>
      <c r="U26" s="664"/>
      <c r="V26" s="663"/>
      <c r="W26" s="664"/>
      <c r="X26" s="665"/>
      <c r="Y26" s="3439"/>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39"/>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39"/>
      <c r="Z27" s="1262" t="str">
        <f t="shared" ref="Z27:Z40" si="12">Q27</f>
        <v>临街状况</v>
      </c>
      <c r="AA27" s="1262">
        <f t="shared" si="3"/>
        <v>1</v>
      </c>
      <c r="AB27" s="1262">
        <f t="shared" si="4"/>
        <v>1</v>
      </c>
      <c r="AC27" s="1262">
        <f t="shared" si="5"/>
        <v>1</v>
      </c>
    </row>
    <row r="28" spans="1:29" ht="27">
      <c r="A28" s="366"/>
      <c r="B28" s="556" t="s">
        <v>1812</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39"/>
      <c r="Q28" s="1261" t="str">
        <f t="shared" si="8"/>
        <v>毗邻道路的类型与等级</v>
      </c>
      <c r="R28" s="666" t="s">
        <v>14</v>
      </c>
      <c r="S28" s="667">
        <f t="shared" si="9"/>
        <v>100</v>
      </c>
      <c r="T28" s="666" t="s">
        <v>14</v>
      </c>
      <c r="U28" s="667">
        <f t="shared" si="10"/>
        <v>100</v>
      </c>
      <c r="V28" s="666" t="s">
        <v>14</v>
      </c>
      <c r="W28" s="667">
        <f t="shared" si="11"/>
        <v>100</v>
      </c>
      <c r="X28" s="1263"/>
      <c r="Y28" s="3439"/>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7"/>
      <c r="M29" s="2482"/>
      <c r="N29" s="2482"/>
      <c r="O29" s="2537"/>
      <c r="P29" s="3439"/>
      <c r="Q29" s="1261"/>
      <c r="R29" s="666"/>
      <c r="S29" s="667"/>
      <c r="T29" s="666"/>
      <c r="U29" s="667"/>
      <c r="V29" s="666"/>
      <c r="W29" s="667"/>
      <c r="X29" s="1263"/>
      <c r="Y29" s="3439"/>
      <c r="Z29" s="1262"/>
      <c r="AA29" s="1262">
        <v>1</v>
      </c>
      <c r="AB29" s="1262">
        <v>1</v>
      </c>
      <c r="AC29" s="1262">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39"/>
      <c r="Q30" s="1261" t="str">
        <f t="shared" si="8"/>
        <v>土地级别</v>
      </c>
      <c r="R30" s="666" t="s">
        <v>14</v>
      </c>
      <c r="S30" s="667">
        <f t="shared" si="9"/>
        <v>100</v>
      </c>
      <c r="T30" s="666" t="s">
        <v>14</v>
      </c>
      <c r="U30" s="667">
        <f t="shared" si="10"/>
        <v>100</v>
      </c>
      <c r="V30" s="666" t="s">
        <v>14</v>
      </c>
      <c r="W30" s="667">
        <f t="shared" si="11"/>
        <v>100</v>
      </c>
      <c r="X30" s="1263"/>
      <c r="Y30" s="3439"/>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39"/>
      <c r="Q31" s="1261">
        <f t="shared" si="8"/>
        <v>111</v>
      </c>
      <c r="R31" s="666" t="s">
        <v>14</v>
      </c>
      <c r="S31" s="667">
        <f t="shared" si="9"/>
        <v>100</v>
      </c>
      <c r="T31" s="666" t="s">
        <v>14</v>
      </c>
      <c r="U31" s="667">
        <f t="shared" si="10"/>
        <v>100</v>
      </c>
      <c r="V31" s="666" t="s">
        <v>14</v>
      </c>
      <c r="W31" s="667">
        <f t="shared" si="11"/>
        <v>100</v>
      </c>
      <c r="X31" s="1263"/>
      <c r="Y31" s="3439"/>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463" t="s">
        <v>1696</v>
      </c>
      <c r="Q32" s="1261">
        <f t="shared" si="8"/>
        <v>111</v>
      </c>
      <c r="R32" s="666" t="s">
        <v>14</v>
      </c>
      <c r="S32" s="667">
        <f t="shared" si="9"/>
        <v>100</v>
      </c>
      <c r="T32" s="666" t="s">
        <v>14</v>
      </c>
      <c r="U32" s="667">
        <f t="shared" si="10"/>
        <v>100</v>
      </c>
      <c r="V32" s="666" t="s">
        <v>14</v>
      </c>
      <c r="W32" s="667">
        <f t="shared" si="11"/>
        <v>100</v>
      </c>
      <c r="X32" s="1263"/>
      <c r="Y32" s="3443" t="s">
        <v>1696</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43"/>
      <c r="Q33" s="1261">
        <f t="shared" si="8"/>
        <v>111</v>
      </c>
      <c r="R33" s="668" t="s">
        <v>14</v>
      </c>
      <c r="S33" s="669">
        <f t="shared" si="9"/>
        <v>100</v>
      </c>
      <c r="T33" s="668" t="s">
        <v>14</v>
      </c>
      <c r="U33" s="669">
        <f t="shared" si="10"/>
        <v>100</v>
      </c>
      <c r="V33" s="668" t="s">
        <v>14</v>
      </c>
      <c r="W33" s="669">
        <f t="shared" si="11"/>
        <v>100</v>
      </c>
      <c r="X33" s="670"/>
      <c r="Y33" s="3443"/>
      <c r="Z33" s="671">
        <f t="shared" si="12"/>
        <v>111</v>
      </c>
      <c r="AA33" s="1262">
        <f t="shared" si="3"/>
        <v>1</v>
      </c>
      <c r="AB33" s="1262">
        <f t="shared" si="4"/>
        <v>1</v>
      </c>
      <c r="AC33" s="1262">
        <f t="shared" si="5"/>
        <v>1</v>
      </c>
    </row>
    <row r="34" spans="1:31" ht="15">
      <c r="A34" s="378" t="s">
        <v>1694</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43"/>
      <c r="Q34" s="1261" t="str">
        <f>B34</f>
        <v>宗地面积</v>
      </c>
      <c r="R34" s="666" t="s">
        <v>14</v>
      </c>
      <c r="S34" s="667" t="e">
        <f t="shared" si="9"/>
        <v>#N/A</v>
      </c>
      <c r="T34" s="666" t="s">
        <v>14</v>
      </c>
      <c r="U34" s="667" t="e">
        <f t="shared" si="10"/>
        <v>#N/A</v>
      </c>
      <c r="V34" s="666" t="s">
        <v>14</v>
      </c>
      <c r="W34" s="667" t="e">
        <f t="shared" si="11"/>
        <v>#N/A</v>
      </c>
      <c r="X34" s="1263"/>
      <c r="Y34" s="3443"/>
      <c r="Z34" s="1262" t="str">
        <f t="shared" si="12"/>
        <v>宗地面积</v>
      </c>
      <c r="AA34" s="1262" t="e">
        <f t="shared" si="3"/>
        <v>#N/A</v>
      </c>
      <c r="AB34" s="1262" t="e">
        <f t="shared" si="4"/>
        <v>#N/A</v>
      </c>
      <c r="AC34" s="1262" t="e">
        <f t="shared" si="5"/>
        <v>#N/A</v>
      </c>
    </row>
    <row r="35" spans="1:31" ht="15">
      <c r="A35" s="408"/>
      <c r="B35" s="363" t="s">
        <v>1872</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7"/>
      <c r="M35" s="2482"/>
      <c r="N35" s="2482"/>
      <c r="O35" s="2537"/>
      <c r="P35" s="3443"/>
      <c r="Q35" s="1261" t="str">
        <f t="shared" ref="Q35:Q40" si="13">B35</f>
        <v>宗地形状</v>
      </c>
      <c r="R35" s="666" t="s">
        <v>14</v>
      </c>
      <c r="S35" s="667">
        <f t="shared" si="9"/>
        <v>100</v>
      </c>
      <c r="T35" s="666" t="s">
        <v>14</v>
      </c>
      <c r="U35" s="667">
        <f t="shared" si="10"/>
        <v>100</v>
      </c>
      <c r="V35" s="666" t="s">
        <v>14</v>
      </c>
      <c r="W35" s="667">
        <f t="shared" si="11"/>
        <v>100</v>
      </c>
      <c r="X35" s="1263"/>
      <c r="Y35" s="3443"/>
      <c r="Z35" s="1262" t="str">
        <f t="shared" si="12"/>
        <v>宗地形状</v>
      </c>
      <c r="AA35" s="1262">
        <f t="shared" si="3"/>
        <v>1</v>
      </c>
      <c r="AB35" s="1262">
        <f t="shared" si="4"/>
        <v>1</v>
      </c>
      <c r="AC35" s="1262">
        <f t="shared" si="5"/>
        <v>1</v>
      </c>
    </row>
    <row r="36" spans="1:31" s="101" customFormat="1" ht="15">
      <c r="A36" s="409"/>
      <c r="B36" s="363" t="s">
        <v>1874</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443"/>
      <c r="Q36" s="1261" t="str">
        <f t="shared" si="13"/>
        <v>宗地开发程度</v>
      </c>
      <c r="R36" s="663" t="s">
        <v>14</v>
      </c>
      <c r="S36" s="664">
        <f t="shared" si="9"/>
        <v>100</v>
      </c>
      <c r="T36" s="663" t="s">
        <v>14</v>
      </c>
      <c r="U36" s="664">
        <f t="shared" si="10"/>
        <v>100</v>
      </c>
      <c r="V36" s="663" t="s">
        <v>14</v>
      </c>
      <c r="W36" s="664">
        <f t="shared" si="11"/>
        <v>100</v>
      </c>
      <c r="X36" s="665"/>
      <c r="Y36" s="3443"/>
      <c r="Z36" s="50" t="str">
        <f t="shared" si="12"/>
        <v>宗地开发程度</v>
      </c>
      <c r="AA36" s="50">
        <f t="shared" si="3"/>
        <v>1</v>
      </c>
      <c r="AB36" s="50">
        <f t="shared" si="4"/>
        <v>1</v>
      </c>
      <c r="AC36" s="50">
        <f t="shared" si="5"/>
        <v>1</v>
      </c>
    </row>
    <row r="37" spans="1:31" ht="15">
      <c r="A37" s="408"/>
      <c r="B37" s="363" t="s">
        <v>1875</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7"/>
      <c r="M37" s="2482"/>
      <c r="N37" s="2482"/>
      <c r="O37" s="2537"/>
      <c r="P37" s="3443" t="s">
        <v>1696</v>
      </c>
      <c r="Q37" s="1261" t="str">
        <f t="shared" si="13"/>
        <v>工程地质条件</v>
      </c>
      <c r="R37" s="666" t="s">
        <v>14</v>
      </c>
      <c r="S37" s="667">
        <f t="shared" si="9"/>
        <v>100</v>
      </c>
      <c r="T37" s="666" t="s">
        <v>14</v>
      </c>
      <c r="U37" s="667">
        <f t="shared" si="10"/>
        <v>100</v>
      </c>
      <c r="V37" s="666" t="s">
        <v>14</v>
      </c>
      <c r="W37" s="667">
        <f t="shared" si="11"/>
        <v>100</v>
      </c>
      <c r="X37" s="1263"/>
      <c r="Y37" s="3443" t="s">
        <v>1696</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43"/>
      <c r="Q38" s="1261">
        <f t="shared" si="13"/>
        <v>111</v>
      </c>
      <c r="R38" s="666" t="s">
        <v>14</v>
      </c>
      <c r="S38" s="667">
        <f t="shared" si="9"/>
        <v>100</v>
      </c>
      <c r="T38" s="666" t="s">
        <v>14</v>
      </c>
      <c r="U38" s="667">
        <f t="shared" si="10"/>
        <v>100</v>
      </c>
      <c r="V38" s="666" t="s">
        <v>14</v>
      </c>
      <c r="W38" s="667">
        <f t="shared" si="11"/>
        <v>100</v>
      </c>
      <c r="X38" s="1263"/>
      <c r="Y38" s="3443"/>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43"/>
      <c r="Q39" s="1261">
        <f t="shared" si="13"/>
        <v>111</v>
      </c>
      <c r="R39" s="666" t="s">
        <v>14</v>
      </c>
      <c r="S39" s="667">
        <f t="shared" si="9"/>
        <v>100</v>
      </c>
      <c r="T39" s="666" t="s">
        <v>14</v>
      </c>
      <c r="U39" s="667">
        <f t="shared" si="10"/>
        <v>100</v>
      </c>
      <c r="V39" s="666" t="s">
        <v>14</v>
      </c>
      <c r="W39" s="667">
        <f t="shared" si="11"/>
        <v>100</v>
      </c>
      <c r="X39" s="1263"/>
      <c r="Y39" s="3443"/>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43"/>
      <c r="Q40" s="1261">
        <f t="shared" si="13"/>
        <v>111</v>
      </c>
      <c r="R40" s="668" t="s">
        <v>14</v>
      </c>
      <c r="S40" s="669">
        <f t="shared" si="9"/>
        <v>100</v>
      </c>
      <c r="T40" s="668" t="s">
        <v>14</v>
      </c>
      <c r="U40" s="669">
        <f t="shared" si="10"/>
        <v>100</v>
      </c>
      <c r="V40" s="668" t="s">
        <v>14</v>
      </c>
      <c r="W40" s="669">
        <f t="shared" si="11"/>
        <v>100</v>
      </c>
      <c r="X40" s="670"/>
      <c r="Y40" s="3443"/>
      <c r="Z40" s="671">
        <f t="shared" si="12"/>
        <v>111</v>
      </c>
      <c r="AA40" s="1262">
        <f t="shared" si="3"/>
        <v>1</v>
      </c>
      <c r="AB40" s="1262">
        <f t="shared" si="4"/>
        <v>1</v>
      </c>
      <c r="AC40" s="1262">
        <f t="shared" si="5"/>
        <v>1</v>
      </c>
    </row>
    <row r="41" spans="1:31" ht="15">
      <c r="A41" s="415" t="s">
        <v>1841</v>
      </c>
      <c r="B41" s="1825" t="s">
        <v>1919</v>
      </c>
      <c r="C41" s="601" t="s">
        <v>0</v>
      </c>
      <c r="D41" s="417"/>
      <c r="E41" s="418"/>
      <c r="F41" s="419"/>
      <c r="G41" s="420"/>
      <c r="H41" s="421"/>
      <c r="I41" s="418"/>
      <c r="J41" s="421"/>
      <c r="K41" s="673"/>
      <c r="L41" s="2489"/>
      <c r="M41" s="2482"/>
      <c r="N41" s="2482"/>
      <c r="O41" s="2482"/>
      <c r="P41" s="3437" t="str">
        <f>A41</f>
        <v>成交单价</v>
      </c>
      <c r="Q41" s="3437"/>
      <c r="R41" s="3432">
        <f>E41</f>
        <v>0</v>
      </c>
      <c r="S41" s="3432"/>
      <c r="T41" s="3432">
        <f>G41</f>
        <v>0</v>
      </c>
      <c r="U41" s="3432"/>
      <c r="V41" s="3432">
        <f>I41</f>
        <v>0</v>
      </c>
      <c r="W41" s="3432"/>
      <c r="X41" s="384"/>
      <c r="Y41" s="672"/>
      <c r="Z41" s="384"/>
      <c r="AA41" s="384"/>
      <c r="AB41" s="384"/>
      <c r="AC41" s="384"/>
    </row>
    <row r="42" spans="1:31" ht="15.75" thickBot="1">
      <c r="A42" s="422" t="s">
        <v>1790</v>
      </c>
      <c r="B42" s="602"/>
      <c r="C42" s="425" t="e">
        <f>R43</f>
        <v>#DIV/0!</v>
      </c>
      <c r="D42" s="2136" t="s">
        <v>2135</v>
      </c>
      <c r="E42" s="425" t="e">
        <f>R42</f>
        <v>#DIV/0!</v>
      </c>
      <c r="F42" s="2137"/>
      <c r="G42" s="424" t="e">
        <f>T42</f>
        <v>#DIV/0!</v>
      </c>
      <c r="H42" s="2137"/>
      <c r="I42" s="425" t="e">
        <f>V42</f>
        <v>#DIV/0!</v>
      </c>
      <c r="J42" s="2137"/>
      <c r="K42" s="2139">
        <f>F42+H42+J42</f>
        <v>0</v>
      </c>
      <c r="L42" s="2489"/>
      <c r="M42" s="2482"/>
      <c r="N42" s="2482"/>
      <c r="O42" s="2482"/>
      <c r="P42" s="3437" t="str">
        <f>A42</f>
        <v>比较价值（元/平方米）</v>
      </c>
      <c r="Q42" s="3437"/>
      <c r="R42" s="3465" t="e">
        <f>ROUND(PRODUCT(R41,AA7:AA40),0)</f>
        <v>#DIV/0!</v>
      </c>
      <c r="S42" s="3465"/>
      <c r="T42" s="3465" t="e">
        <f>ROUND(PRODUCT(T41,AB7:AB40),0)</f>
        <v>#DIV/0!</v>
      </c>
      <c r="U42" s="3465"/>
      <c r="V42" s="3465" t="e">
        <f>ROUND(PRODUCT(V41,AC7:AC40),0)</f>
        <v>#DIV/0!</v>
      </c>
      <c r="W42" s="3465"/>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89"/>
      <c r="M43" s="2482"/>
      <c r="N43" s="2482"/>
      <c r="O43" s="2482"/>
      <c r="P43" s="3434" t="str">
        <f>A43</f>
        <v>估价对象XX用房的比较价值（楼面单价，元/平方米）</v>
      </c>
      <c r="Q43" s="3435"/>
      <c r="R43" s="3466" t="e">
        <f>ROUND(IF(D42="简单平均",AVERAGE(R42:W42),R42*F42+T42*H42+V42*J42),0)</f>
        <v>#DIV/0!</v>
      </c>
      <c r="S43" s="3466"/>
      <c r="T43" s="3466"/>
      <c r="U43" s="3466"/>
      <c r="V43" s="3466"/>
      <c r="W43" s="3466"/>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1878</v>
      </c>
      <c r="B50" s="604" t="s">
        <v>1879</v>
      </c>
      <c r="C50" s="1826" t="s">
        <v>1880</v>
      </c>
      <c r="D50" s="1827" t="s">
        <v>1881</v>
      </c>
      <c r="E50" s="605" t="s">
        <v>1882</v>
      </c>
      <c r="F50" s="606" t="s">
        <v>1883</v>
      </c>
      <c r="G50" s="3420" t="s">
        <v>1884</v>
      </c>
      <c r="H50" s="3467"/>
      <c r="I50" s="1262" t="s">
        <v>1920</v>
      </c>
      <c r="J50" s="1262">
        <f>项目基本情况!F35</f>
        <v>0</v>
      </c>
      <c r="K50" s="1829" t="s">
        <v>1886</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1887</v>
      </c>
      <c r="B51" s="608" t="e">
        <f>C43</f>
        <v>#DIV/0!</v>
      </c>
      <c r="C51" s="609">
        <v>1</v>
      </c>
      <c r="D51" s="889">
        <v>1</v>
      </c>
      <c r="E51" s="609">
        <f>'数据-汇总表'!E8+'数据-汇总表'!E9</f>
        <v>141.37</v>
      </c>
      <c r="F51" s="610" t="e">
        <f t="shared" ref="F51:F60" si="14">ROUND(B51*E51/10000,0)</f>
        <v>#DIV/0!</v>
      </c>
      <c r="G51" s="3419"/>
      <c r="H51" s="3437"/>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1888</v>
      </c>
      <c r="B52" s="209" t="e">
        <f>ROUND($C$43*C52*D52,0)</f>
        <v>#DIV/0!</v>
      </c>
      <c r="C52" s="162">
        <f t="shared" ref="C52:C60" si="15">IF($C$50="北京市系数",I52,J52)</f>
        <v>0</v>
      </c>
      <c r="D52" s="890">
        <v>0.25</v>
      </c>
      <c r="E52" s="613"/>
      <c r="F52" s="610" t="e">
        <f t="shared" si="14"/>
        <v>#DIV/0!</v>
      </c>
      <c r="G52" s="2744" t="s">
        <v>1889</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1890</v>
      </c>
      <c r="B53" s="209" t="e">
        <f t="shared" ref="B53:B60" si="16">ROUND($C$43*C53*D53,0)</f>
        <v>#DIV/0!</v>
      </c>
      <c r="C53" s="162">
        <f t="shared" si="15"/>
        <v>0</v>
      </c>
      <c r="D53" s="890">
        <v>0.25</v>
      </c>
      <c r="E53" s="613"/>
      <c r="F53" s="610" t="e">
        <f t="shared" si="14"/>
        <v>#DIV/0!</v>
      </c>
      <c r="G53" s="2745"/>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1891</v>
      </c>
      <c r="B54" s="209" t="e">
        <f t="shared" si="16"/>
        <v>#DIV/0!</v>
      </c>
      <c r="C54" s="162">
        <f t="shared" si="15"/>
        <v>0</v>
      </c>
      <c r="D54" s="890">
        <v>0.25</v>
      </c>
      <c r="E54" s="613"/>
      <c r="F54" s="610" t="e">
        <f t="shared" si="14"/>
        <v>#DIV/0!</v>
      </c>
      <c r="G54" s="2745"/>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6"/>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1892</v>
      </c>
      <c r="B56" s="209" t="e">
        <f t="shared" si="16"/>
        <v>#DIV/0!</v>
      </c>
      <c r="C56" s="162">
        <f t="shared" si="15"/>
        <v>0</v>
      </c>
      <c r="D56" s="890">
        <v>0.25</v>
      </c>
      <c r="E56" s="208">
        <f>'数据-汇总表'!E11</f>
        <v>0</v>
      </c>
      <c r="F56" s="610" t="e">
        <f t="shared" si="14"/>
        <v>#DIV/0!</v>
      </c>
      <c r="G56" s="1830" t="s">
        <v>1893</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1894</v>
      </c>
      <c r="B57" s="209" t="e">
        <f t="shared" si="16"/>
        <v>#DIV/0!</v>
      </c>
      <c r="C57" s="162">
        <f t="shared" si="15"/>
        <v>0</v>
      </c>
      <c r="D57" s="890">
        <v>0.25</v>
      </c>
      <c r="E57" s="208">
        <f>'数据-汇总表'!E12</f>
        <v>0</v>
      </c>
      <c r="F57" s="610" t="e">
        <f t="shared" si="14"/>
        <v>#DIV/0!</v>
      </c>
      <c r="G57" s="838" t="s">
        <v>1895</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1896</v>
      </c>
      <c r="B58" s="209" t="e">
        <f t="shared" si="16"/>
        <v>#DIV/0!</v>
      </c>
      <c r="C58" s="162">
        <f t="shared" si="15"/>
        <v>0.15</v>
      </c>
      <c r="D58" s="890">
        <v>0.25</v>
      </c>
      <c r="E58" s="208">
        <f>'数据-汇总表'!E13</f>
        <v>0</v>
      </c>
      <c r="F58" s="610" t="e">
        <f t="shared" si="14"/>
        <v>#DIV/0!</v>
      </c>
      <c r="G58" s="838" t="s">
        <v>1897</v>
      </c>
      <c r="H58" s="833" t="str">
        <f>IF(G58="商业",项目基本情况!B37,IF(G58="办公",项目基本情况!C37,IF(G58="住宅",项目基本情况!D37,项目基本情况!E37)))</f>
        <v>六级</v>
      </c>
      <c r="I58" s="726">
        <f>SUMIF(修正!A57:A68,H58,修正!G57:G68)</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1898</v>
      </c>
      <c r="B59" s="209" t="e">
        <f t="shared" si="16"/>
        <v>#DIV/0!</v>
      </c>
      <c r="C59" s="162">
        <f t="shared" si="15"/>
        <v>0</v>
      </c>
      <c r="D59" s="890">
        <v>0.25</v>
      </c>
      <c r="E59" s="208">
        <f>'数据-汇总表'!E14</f>
        <v>0</v>
      </c>
      <c r="F59" s="610" t="e">
        <f t="shared" si="14"/>
        <v>#DIV/0!</v>
      </c>
      <c r="G59" s="1830" t="s">
        <v>1889</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1899</v>
      </c>
      <c r="B60" s="209" t="e">
        <f t="shared" si="16"/>
        <v>#DIV/0!</v>
      </c>
      <c r="C60" s="162">
        <f t="shared" si="15"/>
        <v>0</v>
      </c>
      <c r="D60" s="890">
        <v>0.25</v>
      </c>
      <c r="E60" s="208">
        <f>'数据-汇总表'!E15</f>
        <v>0</v>
      </c>
      <c r="F60" s="610" t="e">
        <f t="shared" si="14"/>
        <v>#DIV/0!</v>
      </c>
      <c r="G60" s="1831" t="s">
        <v>1893</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2024-10-1</v>
      </c>
      <c r="D63" s="655">
        <f>EDATE(C63,-3)</f>
        <v>45474</v>
      </c>
      <c r="E63" s="655">
        <f>EDATE(D63,-3)</f>
        <v>45383</v>
      </c>
      <c r="F63" s="655">
        <f t="shared" ref="F63:O63" si="17">EDATE(E63,-3)</f>
        <v>45292</v>
      </c>
      <c r="G63" s="655">
        <f t="shared" si="17"/>
        <v>45200</v>
      </c>
      <c r="H63" s="655">
        <f t="shared" si="17"/>
        <v>45108</v>
      </c>
      <c r="I63" s="655">
        <f t="shared" si="17"/>
        <v>45017</v>
      </c>
      <c r="J63" s="655">
        <f t="shared" si="17"/>
        <v>44927</v>
      </c>
      <c r="K63" s="655">
        <f t="shared" si="17"/>
        <v>44835</v>
      </c>
      <c r="L63" s="655">
        <f t="shared" si="17"/>
        <v>44743</v>
      </c>
      <c r="M63" s="655">
        <f t="shared" si="17"/>
        <v>44652</v>
      </c>
      <c r="N63" s="655">
        <f t="shared" si="17"/>
        <v>44562</v>
      </c>
      <c r="O63" s="655">
        <f t="shared" si="17"/>
        <v>44470</v>
      </c>
      <c r="P63" s="2482"/>
      <c r="Q63" s="2482"/>
      <c r="R63" s="2482"/>
      <c r="S63" s="2482"/>
      <c r="T63" s="2482"/>
      <c r="U63" s="2482"/>
      <c r="V63" s="2482"/>
      <c r="W63" s="2482"/>
      <c r="X63" s="2482"/>
      <c r="Y63" s="2482"/>
      <c r="Z63" s="2482"/>
      <c r="AA63" s="2482"/>
      <c r="AB63" s="2482"/>
      <c r="AC63" s="2482"/>
      <c r="AD63" s="2482"/>
      <c r="AE63" s="2482"/>
    </row>
    <row r="64" spans="1:31" ht="21.75" thickBot="1">
      <c r="A64" s="657" t="s">
        <v>1795</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1901</v>
      </c>
      <c r="B65" s="1045"/>
      <c r="C65" s="1099" t="str">
        <f>YEAR(C63)&amp;"-"&amp;ROUNDUP(MONTH(C63)/3,0)</f>
        <v>2024-4</v>
      </c>
      <c r="D65" s="1099" t="str">
        <f t="shared" ref="D65:O65" si="18">YEAR(D63)&amp;"-"&amp;ROUNDUP(MONTH(D63)/3,0)</f>
        <v>2024-3</v>
      </c>
      <c r="E65" s="1099" t="str">
        <f t="shared" si="18"/>
        <v>2024-2</v>
      </c>
      <c r="F65" s="1099" t="str">
        <f t="shared" si="18"/>
        <v>2024-1</v>
      </c>
      <c r="G65" s="1099" t="str">
        <f t="shared" si="18"/>
        <v>2023-4</v>
      </c>
      <c r="H65" s="1099" t="str">
        <f t="shared" si="18"/>
        <v>2023-3</v>
      </c>
      <c r="I65" s="1099" t="str">
        <f t="shared" si="18"/>
        <v>2023-2</v>
      </c>
      <c r="J65" s="1099" t="str">
        <f t="shared" si="18"/>
        <v>2023-1</v>
      </c>
      <c r="K65" s="1099" t="str">
        <f t="shared" si="18"/>
        <v>2022-4</v>
      </c>
      <c r="L65" s="1099" t="str">
        <f t="shared" si="18"/>
        <v>2022-3</v>
      </c>
      <c r="M65" s="1099" t="str">
        <f t="shared" si="18"/>
        <v>2022-2</v>
      </c>
      <c r="N65" s="1099" t="str">
        <f t="shared" si="18"/>
        <v>2022-1</v>
      </c>
      <c r="O65" s="1099" t="str">
        <f t="shared" si="18"/>
        <v>2021-4</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1921</v>
      </c>
      <c r="B66" s="279" t="str">
        <f>"北京市平均增长率"&amp;TEXT(基准地价修正!P28,"0.00%")</f>
        <v>北京市平均增长率0.00%</v>
      </c>
      <c r="C66" s="529">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1714</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1773</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1717</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1826</v>
      </c>
      <c r="C83" s="503" t="s">
        <v>1719</v>
      </c>
      <c r="D83" s="503" t="s">
        <v>1720</v>
      </c>
      <c r="E83" s="503" t="s">
        <v>1721</v>
      </c>
      <c r="F83" s="503" t="s">
        <v>1722</v>
      </c>
      <c r="G83" s="503" t="s">
        <v>1723</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1724</v>
      </c>
      <c r="C85" s="508" t="s">
        <v>1719</v>
      </c>
      <c r="D85" s="508" t="s">
        <v>1720</v>
      </c>
      <c r="E85" s="508" t="s">
        <v>1721</v>
      </c>
      <c r="F85" s="508" t="s">
        <v>1722</v>
      </c>
      <c r="G85" s="508" t="s">
        <v>1723</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1904</v>
      </c>
      <c r="C87" s="503" t="s">
        <v>1719</v>
      </c>
      <c r="D87" s="503" t="s">
        <v>1720</v>
      </c>
      <c r="E87" s="503" t="s">
        <v>1721</v>
      </c>
      <c r="F87" s="503" t="s">
        <v>1722</v>
      </c>
      <c r="G87" s="503" t="s">
        <v>1723</v>
      </c>
      <c r="H87" s="508"/>
      <c r="I87" s="508"/>
      <c r="J87" s="508"/>
      <c r="K87" s="508"/>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1905</v>
      </c>
      <c r="C89" s="503" t="s">
        <v>1719</v>
      </c>
      <c r="D89" s="503" t="s">
        <v>1720</v>
      </c>
      <c r="E89" s="503" t="s">
        <v>1721</v>
      </c>
      <c r="F89" s="503" t="s">
        <v>1722</v>
      </c>
      <c r="G89" s="503" t="s">
        <v>1723</v>
      </c>
      <c r="H89" s="508"/>
      <c r="I89" s="508"/>
      <c r="J89" s="508"/>
      <c r="K89" s="508"/>
      <c r="L89" s="508"/>
      <c r="M89" s="546"/>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1775</v>
      </c>
      <c r="C91" s="503" t="s">
        <v>1719</v>
      </c>
      <c r="D91" s="503" t="s">
        <v>1720</v>
      </c>
      <c r="E91" s="503" t="s">
        <v>1721</v>
      </c>
      <c r="F91" s="503" t="s">
        <v>1722</v>
      </c>
      <c r="G91" s="503" t="s">
        <v>1723</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1812</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1870</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1910</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1911</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1913</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1914</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475" t="s">
        <v>2081</v>
      </c>
      <c r="D1" s="3476"/>
      <c r="E1" s="3476"/>
      <c r="F1" s="3476"/>
      <c r="G1" s="3476"/>
      <c r="H1" s="3476"/>
      <c r="I1" s="3476"/>
      <c r="J1" s="3476"/>
      <c r="K1" s="3476"/>
      <c r="L1" s="3476"/>
      <c r="M1" s="3476"/>
      <c r="N1" s="3476"/>
      <c r="O1" s="3476"/>
      <c r="P1" s="3476"/>
      <c r="Q1" s="3476"/>
      <c r="R1" s="3476"/>
      <c r="S1" s="3477"/>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2084</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2085</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2086</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2090</v>
      </c>
      <c r="B17" s="1982"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2092</v>
      </c>
      <c r="E19" s="1251"/>
      <c r="F19" s="1251"/>
      <c r="G19" s="1251"/>
      <c r="H19" s="995"/>
      <c r="I19" s="150"/>
      <c r="J19" s="150"/>
      <c r="K19" s="150"/>
      <c r="L19" s="150"/>
      <c r="M19" s="150"/>
      <c r="N19" s="150"/>
      <c r="O19" s="150"/>
      <c r="P19" s="150"/>
      <c r="Q19" s="150"/>
      <c r="R19" s="150"/>
      <c r="S19" s="120"/>
    </row>
    <row r="20" spans="1:45" ht="16.5" thickBot="1">
      <c r="A20" s="631" t="s">
        <v>2093</v>
      </c>
      <c r="B20" s="285" t="e">
        <f ca="1">IF(D20="——",S22,S22-F20)</f>
        <v>#REF!</v>
      </c>
      <c r="C20" s="150"/>
      <c r="D20" s="1984"/>
      <c r="E20" s="1252"/>
      <c r="F20" s="928" t="e">
        <f ca="1">SUMIF(INDIRECT("'"&amp;H20&amp;"'"&amp;"!A:A"),"承租人权益价值",INDIRECT("'"&amp;H20&amp;"'"&amp;"!c:c"))</f>
        <v>#REF!</v>
      </c>
      <c r="G20" s="928" t="s">
        <v>2094</v>
      </c>
      <c r="H20" s="1985"/>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472" t="s">
        <v>27</v>
      </c>
      <c r="D22" s="3473"/>
      <c r="E22" s="3473"/>
      <c r="F22" s="3473"/>
      <c r="G22" s="3473"/>
      <c r="H22" s="3473"/>
      <c r="I22" s="3473"/>
      <c r="J22" s="3473"/>
      <c r="K22" s="3473"/>
      <c r="L22" s="3473"/>
      <c r="M22" s="3473"/>
      <c r="N22" s="3473"/>
      <c r="O22" s="3473"/>
      <c r="P22" s="3473"/>
      <c r="Q22" s="3474"/>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2078</v>
      </c>
      <c r="B1" s="4"/>
      <c r="C1" s="4"/>
      <c r="D1" s="4"/>
      <c r="E1" s="4"/>
      <c r="F1" s="2539"/>
      <c r="G1" s="2539"/>
      <c r="H1" s="2539"/>
      <c r="I1" s="2539"/>
      <c r="J1" s="2539"/>
      <c r="K1" s="2539"/>
      <c r="L1" s="2539"/>
      <c r="M1" s="2539"/>
      <c r="N1" s="2539"/>
      <c r="O1" s="2539"/>
      <c r="P1" s="2539"/>
    </row>
    <row r="2" spans="1:16" ht="15.75">
      <c r="A2" s="1979" t="s">
        <v>2070</v>
      </c>
      <c r="B2" s="2382">
        <f ca="1">SUMIF(B6:B13,"&lt;&gt;#ref!",B6:B13)</f>
        <v>0</v>
      </c>
      <c r="C2" s="1979" t="s">
        <v>2071</v>
      </c>
      <c r="D2" s="1979" t="s">
        <v>2072</v>
      </c>
      <c r="E2" s="2392">
        <f ca="1">SUMIF(E6:E13,"&lt;&gt;#ref!",E6:E13)</f>
        <v>141.37</v>
      </c>
      <c r="F2" s="2539"/>
      <c r="G2" s="2539"/>
      <c r="H2" s="2539"/>
      <c r="I2" s="2539"/>
      <c r="J2" s="2539"/>
      <c r="K2" s="2539"/>
      <c r="L2" s="2539"/>
      <c r="M2" s="2539"/>
      <c r="N2" s="2539"/>
      <c r="O2" s="2539"/>
      <c r="P2" s="2539"/>
    </row>
    <row r="3" spans="1:16" ht="15.75">
      <c r="A3" s="1979" t="s">
        <v>2073</v>
      </c>
      <c r="B3" s="2382">
        <f ca="1">ROUND(B2*10000/E2,0)</f>
        <v>0</v>
      </c>
      <c r="C3" s="1979" t="s">
        <v>2079</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2074</v>
      </c>
      <c r="B5" s="2390" t="s">
        <v>2075</v>
      </c>
      <c r="C5" s="1980"/>
      <c r="D5" s="2539"/>
      <c r="E5" s="2391" t="s">
        <v>2076</v>
      </c>
      <c r="F5" s="2539"/>
      <c r="G5" s="2539"/>
      <c r="H5" s="2539"/>
      <c r="I5" s="2539"/>
      <c r="J5" s="2539"/>
      <c r="K5" s="2539"/>
      <c r="L5" s="2539"/>
      <c r="M5" s="2539"/>
      <c r="N5" s="2539"/>
      <c r="O5" s="2539"/>
      <c r="P5" s="2539"/>
    </row>
    <row r="6" spans="1:16" ht="15.75">
      <c r="A6" s="2389" t="s">
        <v>2077</v>
      </c>
      <c r="B6" s="2382">
        <f ca="1">SUMIF(INDIRECT("'"&amp;A6&amp;"'"&amp;"!A:A"),"总价",INDIRECT("'"&amp;A6&amp;"'"&amp;"!B:B"))</f>
        <v>0</v>
      </c>
      <c r="C6" s="1979" t="s">
        <v>2071</v>
      </c>
      <c r="D6" s="2539"/>
      <c r="E6" s="2392">
        <f ca="1">SUMIF(INDIRECT("'"&amp;A6&amp;"'"&amp;"!C:C"),"建筑面积",INDIRECT("'"&amp;A6&amp;"'"&amp;"!D:D"))</f>
        <v>141.37</v>
      </c>
      <c r="F6" s="2539"/>
      <c r="G6" s="2539"/>
      <c r="H6" s="2539"/>
      <c r="I6" s="2539"/>
      <c r="J6" s="2539"/>
      <c r="K6" s="2539"/>
      <c r="L6" s="2539"/>
      <c r="M6" s="2539"/>
      <c r="N6" s="2539"/>
      <c r="O6" s="2539"/>
      <c r="P6" s="2539"/>
    </row>
    <row r="7" spans="1:16" ht="15.75">
      <c r="A7" s="2389"/>
      <c r="B7" s="2382" t="e">
        <f ca="1">SUMIF(INDIRECT("'"&amp;A7&amp;"'"&amp;"!A:A"),"总价",INDIRECT("'"&amp;A7&amp;"'"&amp;"!B:B"))</f>
        <v>#REF!</v>
      </c>
      <c r="C7" s="1979" t="s">
        <v>2071</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2071</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2071</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2071</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2071</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2071</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2071</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45583</v>
      </c>
      <c r="D1" s="1215" t="s">
        <v>603</v>
      </c>
      <c r="E1" s="1210">
        <f>'数据-取费表'!B22</f>
        <v>2</v>
      </c>
      <c r="F1" s="1215" t="s">
        <v>604</v>
      </c>
      <c r="G1" s="1211">
        <f ca="1">INDIRECT("d"&amp;$K$1)/100</f>
        <v>3.6499999999999998E-2</v>
      </c>
      <c r="H1" s="1215" t="s">
        <v>634</v>
      </c>
      <c r="I1" s="1211">
        <f ca="1">F4/100</f>
        <v>1.4999999999999999E-2</v>
      </c>
      <c r="J1" s="1216">
        <f>IF(C1&gt;C13,0,MATCH(C1,C$13:C$109,-1))+IF(SUMIF(C13:C109,C1,D13:D109)=0,13,12)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3.65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3.65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3.65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3.65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4.3</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69">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2308</v>
      </c>
      <c r="C21" s="1205">
        <v>43697</v>
      </c>
      <c r="D21" s="2568">
        <v>4.25</v>
      </c>
      <c r="E21" s="2568">
        <v>4.25</v>
      </c>
      <c r="F21" s="2568">
        <v>4.25</v>
      </c>
      <c r="G21" s="2568">
        <v>4.25</v>
      </c>
      <c r="H21" s="2568">
        <v>4.8499999999999996</v>
      </c>
      <c r="I21" s="2568"/>
      <c r="J21" s="2568"/>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70"/>
      <c r="B22" s="2571"/>
      <c r="C22" s="2572">
        <v>42301</v>
      </c>
      <c r="D22" s="2573">
        <v>4.3499999999999996</v>
      </c>
      <c r="E22" s="2573">
        <v>4.3499999999999996</v>
      </c>
      <c r="F22" s="2573">
        <v>4.75</v>
      </c>
      <c r="G22" s="2573">
        <v>4.75</v>
      </c>
      <c r="H22" s="2573">
        <v>4.9000000000000004</v>
      </c>
      <c r="I22" s="2573"/>
      <c r="J22" s="2573"/>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C115"/>
  <sheetViews>
    <sheetView workbookViewId="0">
      <selection activeCell="AB19" sqref="AB19"/>
    </sheetView>
  </sheetViews>
  <sheetFormatPr defaultRowHeight="13.5"/>
  <cols>
    <col min="1" max="1" width="9" style="3142"/>
    <col min="2" max="2" width="34.25" style="3142" customWidth="1"/>
    <col min="3" max="3" width="14.375" style="3142" customWidth="1"/>
    <col min="4" max="5" width="9.5" style="3142" bestFit="1" customWidth="1"/>
    <col min="6" max="6" width="13.625" style="3142" customWidth="1"/>
    <col min="7" max="10" width="9.5" style="3142" bestFit="1" customWidth="1"/>
    <col min="11" max="11" width="11" style="3142" customWidth="1"/>
    <col min="12" max="12" width="11.625" style="3142" bestFit="1" customWidth="1"/>
    <col min="13" max="13" width="6.875" style="3142" customWidth="1"/>
    <col min="14" max="16" width="9" style="3142"/>
    <col min="17" max="17" width="15.5" style="3142" customWidth="1"/>
    <col min="18" max="18" width="9" style="3142"/>
    <col min="19" max="19" width="10.5" style="3142" bestFit="1" customWidth="1"/>
    <col min="20" max="20" width="9.5" style="3142" bestFit="1" customWidth="1"/>
    <col min="21" max="21" width="10.5" style="3142" bestFit="1" customWidth="1"/>
    <col min="22" max="23" width="9" style="3142"/>
    <col min="24" max="24" width="10.125" style="3142" customWidth="1"/>
    <col min="25" max="16384" width="9" style="3142"/>
  </cols>
  <sheetData>
    <row r="1" spans="1:15">
      <c r="B1" s="1446" t="s">
        <v>3376</v>
      </c>
      <c r="C1" s="1446" t="s">
        <v>669</v>
      </c>
      <c r="D1" s="1446" t="s">
        <v>3377</v>
      </c>
      <c r="E1" s="1446" t="s">
        <v>3378</v>
      </c>
      <c r="F1" s="1446" t="s">
        <v>3443</v>
      </c>
      <c r="G1" s="1446" t="s">
        <v>3379</v>
      </c>
      <c r="H1" s="1446" t="s">
        <v>3380</v>
      </c>
      <c r="I1" s="1446" t="s">
        <v>3381</v>
      </c>
      <c r="J1" s="1446" t="s">
        <v>3382</v>
      </c>
      <c r="K1" s="1446" t="s">
        <v>3383</v>
      </c>
      <c r="L1" s="1446" t="s">
        <v>3384</v>
      </c>
      <c r="M1" s="1446" t="s">
        <v>3390</v>
      </c>
      <c r="N1" s="1446" t="s">
        <v>3391</v>
      </c>
      <c r="O1" s="1446" t="s">
        <v>3422</v>
      </c>
    </row>
    <row r="2" spans="1:15" ht="24.75" customHeight="1">
      <c r="A2" s="3147">
        <v>1</v>
      </c>
      <c r="B2" s="1446" t="s">
        <v>3480</v>
      </c>
      <c r="C2" s="1446" t="s">
        <v>3481</v>
      </c>
      <c r="D2" s="1446" t="s">
        <v>3421</v>
      </c>
      <c r="E2" s="3142">
        <v>75.099999999999994</v>
      </c>
      <c r="F2" s="3178" t="s">
        <v>3458</v>
      </c>
      <c r="G2" s="1446">
        <v>19</v>
      </c>
      <c r="H2" s="3142">
        <v>11</v>
      </c>
      <c r="I2" s="1446">
        <v>2001</v>
      </c>
      <c r="J2" s="3142">
        <v>32091</v>
      </c>
      <c r="K2" s="3142">
        <v>32124</v>
      </c>
      <c r="L2" s="3152">
        <v>45576</v>
      </c>
      <c r="M2" s="3178" t="s">
        <v>3430</v>
      </c>
      <c r="N2" s="3178" t="s">
        <v>3465</v>
      </c>
      <c r="O2" s="1446" t="s">
        <v>3423</v>
      </c>
    </row>
    <row r="3" spans="1:15" ht="34.5" customHeight="1">
      <c r="A3" s="3138">
        <v>2</v>
      </c>
      <c r="B3" s="1446" t="s">
        <v>3483</v>
      </c>
      <c r="C3" s="1446" t="s">
        <v>3481</v>
      </c>
      <c r="D3" s="1446" t="s">
        <v>3421</v>
      </c>
      <c r="E3" s="3142">
        <v>98.68</v>
      </c>
      <c r="F3" s="3178" t="s">
        <v>3466</v>
      </c>
      <c r="G3" s="1446">
        <v>17</v>
      </c>
      <c r="H3" s="3142">
        <v>15</v>
      </c>
      <c r="I3" s="1446">
        <v>2001</v>
      </c>
      <c r="J3" s="3142">
        <v>31212</v>
      </c>
      <c r="K3" s="1446">
        <v>31258</v>
      </c>
      <c r="L3" s="3152">
        <v>45563</v>
      </c>
      <c r="M3" s="3178" t="s">
        <v>3433</v>
      </c>
      <c r="N3" s="3178" t="s">
        <v>3491</v>
      </c>
      <c r="O3" s="1446" t="s">
        <v>3423</v>
      </c>
    </row>
    <row r="4" spans="1:15">
      <c r="A4" s="3142">
        <v>3</v>
      </c>
      <c r="B4" s="1446" t="s">
        <v>3493</v>
      </c>
      <c r="C4" s="1446" t="s">
        <v>3481</v>
      </c>
      <c r="D4" s="1446" t="s">
        <v>3421</v>
      </c>
      <c r="E4" s="3142">
        <v>75.510000000000005</v>
      </c>
      <c r="F4" s="3178" t="s">
        <v>3458</v>
      </c>
      <c r="G4" s="1446">
        <v>17</v>
      </c>
      <c r="H4" s="3142">
        <v>6</v>
      </c>
      <c r="I4" s="1446">
        <v>2001</v>
      </c>
      <c r="J4" s="3142">
        <v>32843</v>
      </c>
      <c r="K4" s="1446">
        <v>32845</v>
      </c>
      <c r="L4" s="3152">
        <v>45554</v>
      </c>
      <c r="M4" s="3178" t="s">
        <v>3430</v>
      </c>
      <c r="N4" s="3178" t="s">
        <v>3465</v>
      </c>
      <c r="O4" s="1446" t="s">
        <v>3423</v>
      </c>
    </row>
    <row r="6" spans="1:15">
      <c r="A6" s="3147"/>
    </row>
    <row r="7" spans="1:15" ht="43.5" customHeight="1">
      <c r="A7" s="3138"/>
    </row>
    <row r="14" spans="1:15" ht="24.75" customHeight="1"/>
    <row r="15" spans="1:15" ht="24.75" customHeight="1"/>
    <row r="16" spans="1:15" ht="24.75" customHeight="1"/>
    <row r="17" spans="7:29" ht="24.75" customHeight="1"/>
    <row r="18" spans="7:29" ht="24.75" customHeight="1">
      <c r="Z18" s="3142">
        <v>2024.5</v>
      </c>
      <c r="AA18" s="1446" t="s">
        <v>3428</v>
      </c>
      <c r="AB18" s="3189" t="s">
        <v>3498</v>
      </c>
      <c r="AC18" s="3142">
        <v>425</v>
      </c>
    </row>
    <row r="19" spans="7:29" ht="24.75" customHeight="1"/>
    <row r="20" spans="7:29" ht="24.75" customHeight="1"/>
    <row r="21" spans="7:29" ht="24.75" customHeight="1"/>
    <row r="22" spans="7:29" ht="24.75" customHeight="1"/>
    <row r="23" spans="7:29" ht="24.75" customHeight="1"/>
    <row r="24" spans="7:29" ht="24.75" customHeight="1"/>
    <row r="25" spans="7:29" ht="24.75" customHeight="1"/>
    <row r="26" spans="7:29" ht="24.75" customHeight="1"/>
    <row r="27" spans="7:29" ht="24.75" customHeight="1"/>
    <row r="28" spans="7:29" ht="24.75" customHeight="1"/>
    <row r="29" spans="7:29" ht="24.75" customHeight="1"/>
    <row r="30" spans="7:29" ht="24.75" customHeight="1"/>
    <row r="31" spans="7:29" ht="24.75" customHeight="1">
      <c r="G31" s="3142">
        <v>91</v>
      </c>
      <c r="H31" s="3142">
        <v>5200</v>
      </c>
      <c r="I31" s="3177">
        <f>ROUND(H31/G31,2)</f>
        <v>57.14</v>
      </c>
    </row>
    <row r="32" spans="7:29" ht="24.75" customHeight="1">
      <c r="G32" s="3142">
        <v>129</v>
      </c>
      <c r="H32" s="3142">
        <v>8000</v>
      </c>
      <c r="I32" s="3177">
        <f t="shared" ref="I32:I44" si="0">ROUND(H32/G32,2)</f>
        <v>62.02</v>
      </c>
    </row>
    <row r="33" spans="7:10" ht="24.75" customHeight="1">
      <c r="G33" s="3142">
        <v>112.52</v>
      </c>
      <c r="H33" s="3142">
        <v>5000</v>
      </c>
      <c r="I33" s="3177">
        <f t="shared" si="0"/>
        <v>44.44</v>
      </c>
    </row>
    <row r="34" spans="7:10" ht="24.75" customHeight="1">
      <c r="G34" s="3142">
        <v>100.83</v>
      </c>
      <c r="H34" s="3142">
        <v>5300</v>
      </c>
      <c r="I34" s="3177">
        <f t="shared" si="0"/>
        <v>52.56</v>
      </c>
    </row>
    <row r="35" spans="7:10" ht="24.75" customHeight="1">
      <c r="G35" s="3142">
        <v>106.67</v>
      </c>
      <c r="H35" s="3142">
        <v>5800</v>
      </c>
      <c r="I35" s="3177">
        <f t="shared" si="0"/>
        <v>54.37</v>
      </c>
    </row>
    <row r="36" spans="7:10" ht="24.75" customHeight="1">
      <c r="G36" s="3142">
        <v>91</v>
      </c>
      <c r="H36" s="3142">
        <v>5100</v>
      </c>
      <c r="I36" s="3177">
        <f t="shared" si="0"/>
        <v>56.04</v>
      </c>
    </row>
    <row r="37" spans="7:10" ht="24.75" customHeight="1">
      <c r="G37" s="3142">
        <v>91</v>
      </c>
      <c r="H37" s="3142">
        <v>4900</v>
      </c>
      <c r="I37" s="3177">
        <f t="shared" si="0"/>
        <v>53.85</v>
      </c>
    </row>
    <row r="38" spans="7:10">
      <c r="G38" s="3142">
        <v>201.4</v>
      </c>
      <c r="H38" s="3142">
        <v>8500</v>
      </c>
      <c r="I38" s="3177">
        <f t="shared" si="0"/>
        <v>42.2</v>
      </c>
    </row>
    <row r="39" spans="7:10">
      <c r="G39" s="3142">
        <v>106.67</v>
      </c>
      <c r="H39" s="3142">
        <v>5300</v>
      </c>
      <c r="I39" s="3177">
        <f t="shared" si="0"/>
        <v>49.69</v>
      </c>
    </row>
    <row r="40" spans="7:10">
      <c r="G40" s="3142">
        <v>141.56</v>
      </c>
      <c r="H40" s="3142">
        <v>7150</v>
      </c>
      <c r="I40" s="3177">
        <f t="shared" si="0"/>
        <v>50.51</v>
      </c>
    </row>
    <row r="41" spans="7:10">
      <c r="G41" s="3142">
        <v>102.89</v>
      </c>
      <c r="H41" s="3142">
        <v>5300</v>
      </c>
      <c r="I41" s="3142">
        <f t="shared" si="0"/>
        <v>51.51</v>
      </c>
    </row>
    <row r="42" spans="7:10">
      <c r="G42" s="3142">
        <v>203.92</v>
      </c>
      <c r="H42" s="3142">
        <v>8500</v>
      </c>
      <c r="I42" s="3142">
        <f t="shared" si="0"/>
        <v>41.68</v>
      </c>
    </row>
    <row r="43" spans="7:10">
      <c r="G43" s="3142">
        <v>119</v>
      </c>
      <c r="H43" s="3142">
        <v>5600</v>
      </c>
      <c r="I43" s="3142">
        <f t="shared" si="0"/>
        <v>47.06</v>
      </c>
    </row>
    <row r="44" spans="7:10">
      <c r="G44" s="3142">
        <v>98.88</v>
      </c>
      <c r="H44" s="3142">
        <v>5600</v>
      </c>
      <c r="I44" s="3142">
        <f t="shared" si="0"/>
        <v>56.63</v>
      </c>
    </row>
    <row r="46" spans="7:10">
      <c r="I46" s="3177">
        <f>AVERAGE(I31,I33:I44)</f>
        <v>50.590769230769226</v>
      </c>
      <c r="J46" s="3142">
        <f>I46*'数据-基础表'!I13</f>
        <v>7152.0170461538455</v>
      </c>
    </row>
    <row r="114" spans="2:11">
      <c r="B114" s="1154"/>
      <c r="C114" s="1154"/>
      <c r="D114" s="1154"/>
      <c r="E114" s="1154"/>
      <c r="F114" s="1154"/>
      <c r="G114" s="1154"/>
      <c r="H114" s="1154"/>
      <c r="I114" s="1154"/>
      <c r="J114" s="1154"/>
      <c r="K114" s="1154"/>
    </row>
    <row r="115" spans="2:11">
      <c r="B115" s="1154"/>
      <c r="C115" s="1154"/>
      <c r="D115" s="1154"/>
      <c r="E115" s="1154"/>
      <c r="F115" s="1154"/>
      <c r="G115" s="1154"/>
      <c r="H115" s="1154"/>
      <c r="I115" s="1154"/>
      <c r="J115" s="1154"/>
      <c r="K115" s="1154"/>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16">
        <f ca="1">ROUND(IF(D2="——",C52/10000,C52/10000-E2),4)</f>
        <v>65.938900000000004</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4664</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21206</v>
      </c>
      <c r="D5" s="202" t="s">
        <v>1469</v>
      </c>
      <c r="E5" s="203" t="s">
        <v>1470</v>
      </c>
      <c r="F5" s="203" t="s">
        <v>1471</v>
      </c>
      <c r="G5" s="204"/>
    </row>
    <row r="6" spans="1:8" s="205" customFormat="1" ht="13.5" customHeight="1">
      <c r="A6" s="731" t="s">
        <v>1472</v>
      </c>
      <c r="B6" s="206" t="s">
        <v>1473</v>
      </c>
      <c r="C6" s="207">
        <f>基准地价修正!C33*基准地价修正!D33</f>
        <v>0</v>
      </c>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21206</v>
      </c>
      <c r="D8" s="213"/>
      <c r="E8" s="211"/>
      <c r="F8" s="212"/>
      <c r="G8" s="1712" t="s">
        <v>3409</v>
      </c>
    </row>
    <row r="9" spans="1:8" s="205" customFormat="1" ht="13.5" customHeight="1">
      <c r="A9" s="732" t="s">
        <v>355</v>
      </c>
      <c r="B9" s="215" t="s">
        <v>1478</v>
      </c>
      <c r="C9" s="216">
        <f ca="1">ROUND(D9*E9,0)</f>
        <v>21206</v>
      </c>
      <c r="D9" s="794">
        <f ca="1">IF(B1="",'数据-汇总表'!E5,IF(INDIRECT("'数据-取费表'!c"&amp;$G$1)="住宅",INDIRECT("'数据-取费表'!k"&amp;$G$1),0))</f>
        <v>141.37</v>
      </c>
      <c r="E9" s="216">
        <f>'数据-取费表'!B27</f>
        <v>150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190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141.37</v>
      </c>
      <c r="E19" s="202">
        <f>'数据-取费表'!B31</f>
        <v>200</v>
      </c>
      <c r="F19" s="222"/>
      <c r="G19" s="1712" t="s">
        <v>3410</v>
      </c>
    </row>
    <row r="20" spans="1:7" s="205" customFormat="1" ht="13.5" customHeight="1">
      <c r="A20" s="246" t="s">
        <v>1574</v>
      </c>
      <c r="B20" s="201" t="s">
        <v>1575</v>
      </c>
      <c r="C20" s="223">
        <f ca="1">ROUND((C5+C19)*F20,0)</f>
        <v>424</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2082</v>
      </c>
      <c r="D22" s="226">
        <f ca="1">C26</f>
        <v>1E-3</v>
      </c>
      <c r="E22" s="227" t="s">
        <v>1579</v>
      </c>
      <c r="F22" s="228">
        <f ca="1">'数据-取费表'!B40</f>
        <v>4.7500000000000001E-2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2062</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20</v>
      </c>
      <c r="D25" s="229"/>
      <c r="E25" s="232"/>
      <c r="F25" s="230"/>
      <c r="G25" s="233" t="s">
        <v>1588</v>
      </c>
    </row>
    <row r="26" spans="1:7" s="205" customFormat="1">
      <c r="A26" s="733" t="s">
        <v>350</v>
      </c>
      <c r="B26" s="206" t="s">
        <v>1511</v>
      </c>
      <c r="C26" s="229">
        <f ca="1">ROUND(IF('数据-取费表'!B22&lt;=1,F21*F22*'数据-取费表'!B22/2,F21*(POWER((1+F22),'数据-取费表'!B22/2)-1)),4)</f>
        <v>1E-3</v>
      </c>
      <c r="D26" s="229"/>
      <c r="E26" s="232"/>
      <c r="F26" s="230"/>
      <c r="G26" s="234"/>
    </row>
    <row r="27" spans="1:7" s="205" customFormat="1" ht="24.75">
      <c r="A27" s="246" t="s">
        <v>1512</v>
      </c>
      <c r="B27" s="235" t="s">
        <v>1513</v>
      </c>
      <c r="C27" s="236">
        <f ca="1">C28</f>
        <v>4326</v>
      </c>
      <c r="D27" s="226">
        <f ca="1">C29</f>
        <v>4.0000000000000001E-3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ROUND((C5+C19+C20)*F27,0)</f>
        <v>4326</v>
      </c>
      <c r="D28" s="226"/>
      <c r="E28" s="227"/>
      <c r="F28" s="237"/>
      <c r="G28" s="238"/>
    </row>
    <row r="29" spans="1:7" s="205" customFormat="1" ht="13.5" customHeight="1">
      <c r="A29" s="733" t="s">
        <v>347</v>
      </c>
      <c r="B29" s="239" t="s">
        <v>1517</v>
      </c>
      <c r="C29" s="229">
        <f ca="1">ROUND(C21*F27,4)</f>
        <v>4.0000000000000001E-3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30390</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570075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494795</v>
      </c>
      <c r="D34" s="208"/>
      <c r="E34" s="211"/>
      <c r="F34" s="248"/>
      <c r="G34" s="210"/>
    </row>
    <row r="35" spans="1:7" ht="13.5" customHeight="1">
      <c r="A35" s="733" t="s">
        <v>351</v>
      </c>
      <c r="B35" s="206" t="s">
        <v>1527</v>
      </c>
      <c r="C35" s="211">
        <f ca="1">ROUND(C34*F35,0)</f>
        <v>14844</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24740</v>
      </c>
      <c r="D36" s="211"/>
      <c r="E36" s="211"/>
      <c r="F36" s="250">
        <f>'数据-取费表'!B34</f>
        <v>0.05</v>
      </c>
      <c r="G36" s="251" t="s">
        <v>1530</v>
      </c>
    </row>
    <row r="37" spans="1:7" s="249" customFormat="1" ht="13.5" customHeight="1">
      <c r="A37" s="733" t="s">
        <v>353</v>
      </c>
      <c r="B37" s="206" t="s">
        <v>1531</v>
      </c>
      <c r="C37" s="240">
        <f ca="1">ROUND(E37*D37,0)</f>
        <v>28274</v>
      </c>
      <c r="D37" s="208">
        <f ca="1">D19</f>
        <v>141.37</v>
      </c>
      <c r="E37" s="240">
        <f>'数据-取费表'!B35</f>
        <v>200</v>
      </c>
      <c r="F37" s="250"/>
      <c r="G37" s="252"/>
    </row>
    <row r="38" spans="1:7" ht="13.5" customHeight="1">
      <c r="A38" s="733" t="s">
        <v>354</v>
      </c>
      <c r="B38" s="206" t="s">
        <v>1533</v>
      </c>
      <c r="C38" s="211">
        <f ca="1">ROUND(C34*F38,0)</f>
        <v>7422</v>
      </c>
      <c r="D38" s="211"/>
      <c r="E38" s="211"/>
      <c r="F38" s="250">
        <f>'数据-取费表'!B36</f>
        <v>1.4999999999999999E-2</v>
      </c>
      <c r="G38" s="210" t="s">
        <v>1528</v>
      </c>
    </row>
    <row r="39" spans="1:7" s="205" customFormat="1" ht="13.5" customHeight="1">
      <c r="A39" s="246" t="s">
        <v>1534</v>
      </c>
      <c r="B39" s="201" t="s">
        <v>1535</v>
      </c>
      <c r="C39" s="223">
        <f ca="1">ROUND(C33*F20,0)</f>
        <v>11402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27621</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27079</v>
      </c>
      <c r="D42" s="229"/>
      <c r="E42" s="229"/>
      <c r="F42" s="230"/>
      <c r="G42" s="3372" t="s">
        <v>1591</v>
      </c>
    </row>
    <row r="43" spans="1:7" ht="13.5" customHeight="1">
      <c r="A43" s="733" t="s">
        <v>347</v>
      </c>
      <c r="B43" s="206" t="s">
        <v>1545</v>
      </c>
      <c r="C43" s="229">
        <f ca="1">ROUND(IF('数据-取费表'!B22&lt;=1,C39*F22*'数据-取费表'!B20/2,C39*(POWER((1+F22),'数据-取费表'!B20/2)-1)),0)</f>
        <v>542</v>
      </c>
      <c r="D43" s="229"/>
      <c r="E43" s="229"/>
      <c r="F43" s="230"/>
      <c r="G43" s="3373"/>
    </row>
    <row r="44" spans="1:7" ht="13.5" customHeight="1">
      <c r="A44" s="733" t="s">
        <v>348</v>
      </c>
      <c r="B44" s="206" t="s">
        <v>1546</v>
      </c>
      <c r="C44" s="229">
        <f ca="1">ROUND(IF('数据-取费表'!B22&lt;=1,C40*F22*'数据-取费表'!B20/2,C40*(POWER((1+F22),'数据-取费表'!B20/2)-1)),4)</f>
        <v>1E-3</v>
      </c>
      <c r="D44" s="229"/>
      <c r="E44" s="229"/>
      <c r="F44" s="230"/>
      <c r="G44" s="3374"/>
    </row>
    <row r="45" spans="1:7" s="205" customFormat="1" ht="13.5" customHeight="1">
      <c r="A45" s="246" t="s">
        <v>1547</v>
      </c>
      <c r="B45" s="235" t="s">
        <v>1513</v>
      </c>
      <c r="C45" s="236">
        <f ca="1">C46</f>
        <v>116295</v>
      </c>
      <c r="D45" s="226">
        <f ca="1">C47</f>
        <v>4.0000000000000001E-3</v>
      </c>
      <c r="E45" s="227" t="s">
        <v>1539</v>
      </c>
      <c r="F45" s="237">
        <f ca="1">F27</f>
        <v>0.2</v>
      </c>
      <c r="G45" s="238" t="s">
        <v>1548</v>
      </c>
    </row>
    <row r="46" spans="1:7" s="205" customFormat="1" ht="13.5" customHeight="1">
      <c r="A46" s="733" t="s">
        <v>346</v>
      </c>
      <c r="B46" s="239" t="s">
        <v>1549</v>
      </c>
      <c r="C46" s="240">
        <f ca="1">ROUND((C33+C39)*F27,0)</f>
        <v>116295</v>
      </c>
      <c r="D46" s="254"/>
      <c r="E46" s="227"/>
      <c r="F46" s="237"/>
      <c r="G46" s="238"/>
    </row>
    <row r="47" spans="1:7" s="205" customFormat="1" ht="13.5" customHeight="1">
      <c r="A47" s="733" t="s">
        <v>347</v>
      </c>
      <c r="B47" s="239" t="s">
        <v>1550</v>
      </c>
      <c r="C47" s="229">
        <f ca="1">ROUND(C40*F27,4)</f>
        <v>4.0000000000000001E-3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786249</v>
      </c>
      <c r="D49" s="223"/>
      <c r="E49" s="223"/>
      <c r="F49" s="255"/>
      <c r="G49" s="225" t="s">
        <v>1554</v>
      </c>
    </row>
    <row r="50" spans="1:7" s="249" customFormat="1">
      <c r="A50" s="246" t="s">
        <v>1555</v>
      </c>
      <c r="B50" s="201" t="s">
        <v>1556</v>
      </c>
      <c r="C50" s="223"/>
      <c r="D50" s="223"/>
      <c r="E50" s="223"/>
      <c r="F50" s="255">
        <f>IF('数据-取费表'!B24=0,'数据-取费表'!N16,1)</f>
        <v>0.8</v>
      </c>
      <c r="G50" s="238"/>
    </row>
    <row r="51" spans="1:7" ht="16.5" customHeight="1">
      <c r="A51" s="246" t="s">
        <v>1558</v>
      </c>
      <c r="B51" s="201" t="s">
        <v>1593</v>
      </c>
      <c r="C51" s="223">
        <f ca="1">ROUND(C49*F50,0)</f>
        <v>628999</v>
      </c>
      <c r="D51" s="223"/>
      <c r="E51" s="223"/>
      <c r="F51" s="255"/>
      <c r="G51" s="225" t="s">
        <v>1560</v>
      </c>
    </row>
    <row r="52" spans="1:7" s="199" customFormat="1" ht="16.5" thickBot="1">
      <c r="A52" s="256" t="s">
        <v>1561</v>
      </c>
      <c r="B52" s="257"/>
      <c r="C52" s="258">
        <f ca="1">C31+C51</f>
        <v>659389</v>
      </c>
      <c r="D52" s="257"/>
      <c r="E52" s="257"/>
      <c r="F52" s="257"/>
      <c r="G52" s="259"/>
    </row>
    <row r="55" spans="1:7" ht="15">
      <c r="B55" s="261" t="s">
        <v>1562</v>
      </c>
      <c r="C55" s="262"/>
    </row>
    <row r="56" spans="1:7">
      <c r="B56" s="264" t="s">
        <v>802</v>
      </c>
      <c r="C56" s="266">
        <f ca="1">1-C57</f>
        <v>4.6000000000000041E-2</v>
      </c>
    </row>
    <row r="57" spans="1:7">
      <c r="B57" s="264" t="s">
        <v>803</v>
      </c>
      <c r="C57" s="265">
        <f ca="1">ROUND(C51/C52,3)</f>
        <v>0.95399999999999996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1923</v>
      </c>
      <c r="B1" s="188"/>
      <c r="C1" s="192" t="s">
        <v>1924</v>
      </c>
      <c r="D1" s="332">
        <f>SUM(D33:D34,D37:D42)</f>
        <v>141.37</v>
      </c>
      <c r="E1" s="1837"/>
      <c r="F1" s="1837"/>
      <c r="G1" s="1837"/>
      <c r="H1" s="1837"/>
      <c r="I1" s="1837"/>
      <c r="J1" s="1837"/>
      <c r="K1" s="1055"/>
      <c r="L1" s="1838" t="s">
        <v>1925</v>
      </c>
      <c r="M1" s="809">
        <f>SUMPRODUCT((区片价!B5:B9=I2)*(区片价!C3:G3=E2)*(区片价!C5:G9))</f>
        <v>0</v>
      </c>
      <c r="N1" s="812">
        <f>SUMPRODUCT((因素修正幅度!B5:B9=I2)*(因素修正幅度!C3:G3=E2)*(因素修正幅度!C5:G9))</f>
        <v>0</v>
      </c>
      <c r="O1" s="1839"/>
      <c r="P1" s="1839"/>
      <c r="Q1" s="1055"/>
      <c r="R1" s="1127" t="s">
        <v>1926</v>
      </c>
      <c r="S1" s="1127" t="s">
        <v>1927</v>
      </c>
      <c r="T1" s="1127" t="s">
        <v>1928</v>
      </c>
      <c r="U1" s="1127" t="s">
        <v>1929</v>
      </c>
      <c r="V1" s="1127" t="s">
        <v>1930</v>
      </c>
      <c r="W1" s="1131"/>
      <c r="X1" s="1131"/>
      <c r="Y1" s="1131"/>
      <c r="Z1" s="1131"/>
      <c r="AA1" s="1131"/>
      <c r="AB1" s="1131"/>
      <c r="AC1" s="1132"/>
      <c r="AD1" s="1133"/>
      <c r="AE1" s="1133"/>
      <c r="AF1" s="1133"/>
      <c r="AG1" s="1133"/>
      <c r="AH1" s="1133"/>
      <c r="AI1" s="1133"/>
      <c r="AJ1" s="1134"/>
    </row>
    <row r="2" spans="1:36" ht="15.75">
      <c r="A2" s="192" t="s">
        <v>1931</v>
      </c>
      <c r="B2" s="195">
        <f>C30</f>
        <v>0</v>
      </c>
      <c r="C2" s="1841" t="s">
        <v>1932</v>
      </c>
      <c r="D2" s="161" t="s">
        <v>1933</v>
      </c>
      <c r="E2" s="3114" t="s">
        <v>3375</v>
      </c>
      <c r="F2" s="161" t="s">
        <v>1934</v>
      </c>
      <c r="G2" s="162" t="str">
        <f>IF(E2="商业",项目基本情况!B37,IF(E2="办公",项目基本情况!C37,IF(E2="住宅",项目基本情况!D37,IF(E2="工业",项目基本情况!E37,项目基本情况!F37))))</f>
        <v>六级</v>
      </c>
      <c r="H2" s="161" t="s">
        <v>1935</v>
      </c>
      <c r="I2" s="162" t="str">
        <f>IF(E2="商业",项目基本情况!B38,IF(E2="办公",项目基本情况!C38,IF(E2="住宅",项目基本情况!D38,IF(E2="工业",项目基本情况!E38,项目基本情况!F38))))</f>
        <v>Ⅵ-昌3</v>
      </c>
      <c r="J2" s="1837"/>
      <c r="K2" s="1055"/>
      <c r="L2" s="1842" t="s">
        <v>1936</v>
      </c>
      <c r="M2" s="810">
        <f>SUMPRODUCT((区片价!B10:B29=I2)*(区片价!C3:G3=E2)*(区片价!C10:G29))</f>
        <v>0</v>
      </c>
      <c r="N2" s="812">
        <f>SUMPRODUCT((因素修正幅度!B10:B29=I2)*(因素修正幅度!C3:G3=E2)*(因素修正幅度!C10:G29))</f>
        <v>0</v>
      </c>
      <c r="O2" s="1055"/>
      <c r="P2" s="1055"/>
      <c r="Q2" s="1055"/>
      <c r="R2" s="1127">
        <v>1</v>
      </c>
      <c r="S2" s="3057">
        <f>ROUND(SUMPRODUCT((B106:B110=R2)*(C105:N105=G2)*(C106:N110)),4)</f>
        <v>1.5019</v>
      </c>
      <c r="T2" s="3057">
        <f t="shared" ref="T2:T16" si="0">ROUND($C$5*$C$22*$C$23*$C$24*S2*$C$28,0)</f>
        <v>0</v>
      </c>
      <c r="U2" s="1128"/>
      <c r="V2" s="3057">
        <f>ROUND(T2*U2/10000,0)</f>
        <v>0</v>
      </c>
      <c r="W2" s="1131"/>
      <c r="X2" s="1131"/>
      <c r="Y2" s="1131"/>
      <c r="Z2" s="1131"/>
      <c r="AA2" s="1131"/>
      <c r="AB2" s="1131"/>
      <c r="AC2" s="1132"/>
      <c r="AD2" s="1133"/>
      <c r="AE2" s="1133"/>
      <c r="AF2" s="1133"/>
      <c r="AG2" s="1133"/>
      <c r="AH2" s="1133"/>
      <c r="AI2" s="1133"/>
      <c r="AJ2" s="1134"/>
    </row>
    <row r="3" spans="1:36" ht="15.75">
      <c r="A3" s="194" t="s">
        <v>1937</v>
      </c>
      <c r="B3" s="195">
        <f>ROUND(B2*10000/D1,0)</f>
        <v>0</v>
      </c>
      <c r="C3" s="1841" t="s">
        <v>1938</v>
      </c>
      <c r="D3" s="161" t="s">
        <v>1939</v>
      </c>
      <c r="E3" s="3112" t="s">
        <v>3404</v>
      </c>
      <c r="F3" s="1843" t="s">
        <v>3405</v>
      </c>
      <c r="G3" s="707">
        <f>IF(F3="宗地容积率",'数据-汇总表'!I4,IF(F3="估价对象容积率",'数据-汇总表'!I6,'数据-汇总表'!I7))</f>
        <v>2.5</v>
      </c>
      <c r="H3" s="161" t="s">
        <v>1940</v>
      </c>
      <c r="I3" s="728"/>
      <c r="J3" s="1837" t="s">
        <v>1941</v>
      </c>
      <c r="K3" s="1055"/>
      <c r="L3" s="1842" t="s">
        <v>1942</v>
      </c>
      <c r="M3" s="810">
        <f>SUMPRODUCT((区片价!B30:B54=I2)*(区片价!C3:G3=E2)*(区片价!C30:G54))</f>
        <v>0</v>
      </c>
      <c r="N3" s="812">
        <f>SUMPRODUCT((因素修正幅度!B30:B54=I2)*(因素修正幅度!C3:G3=E2)*(因素修正幅度!C30:G54))</f>
        <v>0</v>
      </c>
      <c r="O3" s="1055"/>
      <c r="P3" s="1055"/>
      <c r="Q3" s="1055"/>
      <c r="R3" s="1127">
        <v>2</v>
      </c>
      <c r="S3" s="3057">
        <f>ROUND(SUMPRODUCT((B106:B110=R3)*(C105:N105=G2)*(C106:N110)),4)</f>
        <v>1.1838</v>
      </c>
      <c r="T3" s="3057">
        <f t="shared" si="0"/>
        <v>0</v>
      </c>
      <c r="U3" s="1128"/>
      <c r="V3" s="3057">
        <f t="shared" ref="V3:V16" si="1">ROUND(T3*U3/10000,0)</f>
        <v>0</v>
      </c>
      <c r="W3" s="1131"/>
      <c r="X3" s="1131"/>
      <c r="Y3" s="1131"/>
      <c r="Z3" s="1131"/>
      <c r="AA3" s="1131"/>
      <c r="AB3" s="1131"/>
      <c r="AC3" s="1132"/>
      <c r="AD3" s="1133"/>
      <c r="AE3" s="1133"/>
      <c r="AF3" s="1133"/>
      <c r="AG3" s="1133"/>
      <c r="AH3" s="1133"/>
      <c r="AI3" s="1133"/>
      <c r="AJ3" s="1134"/>
    </row>
    <row r="4" spans="1:36" ht="15.75">
      <c r="A4" s="3485"/>
      <c r="B4" s="3486"/>
      <c r="C4" s="3486"/>
      <c r="D4" s="3487"/>
      <c r="E4" s="3487"/>
      <c r="F4" s="3487"/>
      <c r="G4" s="3487"/>
      <c r="H4" s="3487"/>
      <c r="I4" s="3487"/>
      <c r="J4" s="3488"/>
      <c r="K4" s="1055"/>
      <c r="L4" s="1842" t="s">
        <v>1943</v>
      </c>
      <c r="M4" s="810">
        <f>SUMPRODUCT((区片价!B55:B86=I2)*(区片价!C3:G3=E2)*(区片价!C55:G86))</f>
        <v>0</v>
      </c>
      <c r="N4" s="812">
        <f>SUMPRODUCT((因素修正幅度!B55:B86=I2)*(因素修正幅度!C3:G3=E2)*(因素修正幅度!C55:G86))</f>
        <v>0</v>
      </c>
      <c r="O4" s="1055"/>
      <c r="P4" s="1055"/>
      <c r="Q4" s="1055"/>
      <c r="R4" s="1127">
        <v>3</v>
      </c>
      <c r="S4" s="3057">
        <f>ROUND(SUMPRODUCT((B106:B110=R4)*(C105:N105=G2)*(C106:N110)),4)</f>
        <v>1.0004999999999999</v>
      </c>
      <c r="T4" s="3057">
        <f t="shared" si="0"/>
        <v>0</v>
      </c>
      <c r="U4" s="1128"/>
      <c r="V4" s="3057">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1944</v>
      </c>
      <c r="C5" s="708">
        <f>ROUND(IF(E2="商业",C6*C7*C17+C20,(IF(E2="住宅",C6*C13*C17+C20,IF(E2="办公",C6*C12*C17+C20,C6+C20)))),0)</f>
        <v>12821</v>
      </c>
      <c r="D5" s="1250">
        <f>ROUND(C6*C17+C20,0)</f>
        <v>12210</v>
      </c>
      <c r="E5" s="1250"/>
      <c r="F5" s="1846"/>
      <c r="G5" s="1847"/>
      <c r="H5" s="1847"/>
      <c r="I5" s="1847"/>
      <c r="J5" s="1848"/>
      <c r="K5" s="1849"/>
      <c r="L5" s="1842" t="s">
        <v>1945</v>
      </c>
      <c r="M5" s="810">
        <f>SUMPRODUCT((区片价!B87:B126=I2)*(区片价!C3:G3=E2)*(区片价!C87:G126))</f>
        <v>0</v>
      </c>
      <c r="N5" s="812">
        <f>SUMPRODUCT((因素修正幅度!B87:B126=I2)*(因素修正幅度!C3:G3=E2)*(因素修正幅度!C87:G126))</f>
        <v>0</v>
      </c>
      <c r="O5" s="1055"/>
      <c r="P5" s="1055"/>
      <c r="Q5" s="1055"/>
      <c r="R5" s="1127">
        <v>4</v>
      </c>
      <c r="S5" s="3057">
        <f>ROUND(SUMPRODUCT((B106:B110=R5)*(C105:N105=G2)*(C106:N110)),4)</f>
        <v>0.88239999999999996</v>
      </c>
      <c r="T5" s="3057">
        <f t="shared" si="0"/>
        <v>0</v>
      </c>
      <c r="U5" s="1128"/>
      <c r="V5" s="3057">
        <f t="shared" si="1"/>
        <v>0</v>
      </c>
      <c r="W5" s="1131"/>
      <c r="X5" s="1131"/>
      <c r="Y5" s="1131"/>
      <c r="Z5" s="1131"/>
      <c r="AA5" s="1131"/>
      <c r="AB5" s="1131"/>
      <c r="AC5" s="1850"/>
      <c r="AD5" s="1851"/>
      <c r="AE5" s="1851"/>
      <c r="AF5" s="1851"/>
      <c r="AG5" s="1851"/>
      <c r="AH5" s="1851"/>
      <c r="AI5" s="1851"/>
      <c r="AJ5" s="1852"/>
    </row>
    <row r="6" spans="1:36" ht="15.75" thickBot="1">
      <c r="A6" s="1854" t="s">
        <v>1946</v>
      </c>
      <c r="B6" s="1855" t="s">
        <v>1947</v>
      </c>
      <c r="C6" s="709">
        <f>SUMIF(L1:L12,G2,M1:M12)</f>
        <v>12210</v>
      </c>
      <c r="D6" s="1856"/>
      <c r="E6" s="1857"/>
      <c r="F6" s="1857"/>
      <c r="G6" s="1858"/>
      <c r="H6" s="1858"/>
      <c r="I6" s="1858"/>
      <c r="J6" s="1859"/>
      <c r="K6" s="1290"/>
      <c r="L6" s="1842" t="s">
        <v>1948</v>
      </c>
      <c r="M6" s="810">
        <f>SUMPRODUCT((区片价!B127:B189=I2)*(区片价!C3:G3=E2)*(区片价!C127:G189))</f>
        <v>12210</v>
      </c>
      <c r="N6" s="812">
        <f>SUMPRODUCT((因素修正幅度!B127:B189=I2)*(因素修正幅度!C3:G3=E2)*(因素修正幅度!C127:G189))</f>
        <v>0.11700000000000001</v>
      </c>
      <c r="O6" s="1055"/>
      <c r="P6" s="1055"/>
      <c r="Q6" s="1055"/>
      <c r="R6" s="1127">
        <v>5</v>
      </c>
      <c r="S6" s="3057">
        <f>ROUND(SUMPRODUCT((B106:B110=R6)*(C105:N105=G2)*(C106:N110)),4)</f>
        <v>0.84799999999999998</v>
      </c>
      <c r="T6" s="3057">
        <f t="shared" si="0"/>
        <v>0</v>
      </c>
      <c r="U6" s="1128"/>
      <c r="V6" s="3057">
        <f t="shared" si="1"/>
        <v>0</v>
      </c>
      <c r="W6" s="1131"/>
      <c r="X6" s="1131"/>
      <c r="Y6" s="1131"/>
      <c r="Z6" s="1131"/>
      <c r="AA6" s="1131"/>
      <c r="AB6" s="1131"/>
      <c r="AC6" s="1850"/>
      <c r="AD6" s="1851"/>
      <c r="AE6" s="1851"/>
      <c r="AF6" s="1851"/>
      <c r="AG6" s="1851"/>
      <c r="AH6" s="1851"/>
      <c r="AI6" s="1851"/>
      <c r="AJ6" s="1852"/>
    </row>
    <row r="7" spans="1:36" ht="24.75" thickBot="1">
      <c r="A7" s="3006" t="s">
        <v>3237</v>
      </c>
      <c r="B7" s="1860" t="s">
        <v>1949</v>
      </c>
      <c r="C7" s="710" t="e">
        <f>IF(C8="不临65条商业街",1,ROUND(1+(1.6*E8+1.2*E9+0.8*E10+0.4*E11)*C9,4))</f>
        <v>#DIV/0!</v>
      </c>
      <c r="D7" s="1861" t="s">
        <v>1950</v>
      </c>
      <c r="E7" s="729"/>
      <c r="F7" s="1862"/>
      <c r="G7" s="1863"/>
      <c r="H7" s="1863"/>
      <c r="I7" s="1863"/>
      <c r="J7" s="1864"/>
      <c r="K7" s="1290"/>
      <c r="L7" s="1842" t="s">
        <v>1951</v>
      </c>
      <c r="M7" s="810">
        <f>SUMPRODUCT((区片价!B190:B233=I2)*(区片价!C3:G3=E2)*(区片价!C190:G233))</f>
        <v>0</v>
      </c>
      <c r="N7" s="812">
        <f>SUMPRODUCT((因素修正幅度!B190:B233=I2)*(因素修正幅度!C3:G3=E2)*(因素修正幅度!C190:G233))</f>
        <v>0</v>
      </c>
      <c r="O7" s="1055"/>
      <c r="P7" s="1055"/>
      <c r="Q7" s="1055"/>
      <c r="R7" s="1127">
        <v>6</v>
      </c>
      <c r="S7" s="3111"/>
      <c r="T7" s="3057">
        <f t="shared" si="0"/>
        <v>0</v>
      </c>
      <c r="U7" s="1128"/>
      <c r="V7" s="3057">
        <f t="shared" si="1"/>
        <v>0</v>
      </c>
      <c r="W7" s="1265" t="s">
        <v>1952</v>
      </c>
      <c r="X7" s="1129" t="str">
        <f>G2</f>
        <v>六级</v>
      </c>
      <c r="Y7" s="1129" t="s">
        <v>1953</v>
      </c>
      <c r="Z7" s="1130">
        <f>G3</f>
        <v>2.5</v>
      </c>
      <c r="AA7" s="1131"/>
      <c r="AB7" s="1131"/>
      <c r="AC7" s="1132"/>
      <c r="AD7" s="1133"/>
      <c r="AE7" s="1133"/>
      <c r="AF7" s="1133"/>
      <c r="AG7" s="1133"/>
      <c r="AH7" s="1133"/>
      <c r="AI7" s="1133"/>
      <c r="AJ7" s="1134"/>
    </row>
    <row r="8" spans="1:36" ht="15">
      <c r="A8" s="3003"/>
      <c r="B8" s="161" t="s">
        <v>1954</v>
      </c>
      <c r="C8" s="1865"/>
      <c r="D8" s="711" t="s">
        <v>112</v>
      </c>
      <c r="E8" s="712" t="e">
        <f>ROUND(C11/E7,4)</f>
        <v>#DIV/0!</v>
      </c>
      <c r="F8" s="1866" t="s">
        <v>1955</v>
      </c>
      <c r="G8" s="1867"/>
      <c r="H8" s="1867"/>
      <c r="I8" s="1867"/>
      <c r="J8" s="1868"/>
      <c r="K8" s="1055"/>
      <c r="L8" s="1842" t="s">
        <v>1956</v>
      </c>
      <c r="M8" s="810">
        <f>SUMPRODUCT((区片价!B234:B276=I2)*(区片价!C3:G3=E2)*(区片价!C234:G276))</f>
        <v>0</v>
      </c>
      <c r="N8" s="812">
        <f>SUMPRODUCT((因素修正幅度!B234:B276=I2)*(因素修正幅度!C3:G3=E2)*(因素修正幅度!C234:G276))</f>
        <v>0</v>
      </c>
      <c r="O8" s="1055"/>
      <c r="P8" s="1055"/>
      <c r="Q8" s="1055"/>
      <c r="R8" s="1127">
        <v>7</v>
      </c>
      <c r="S8" s="1128"/>
      <c r="T8" s="3057">
        <f t="shared" si="0"/>
        <v>0</v>
      </c>
      <c r="U8" s="1128"/>
      <c r="V8" s="3057">
        <f t="shared" si="1"/>
        <v>0</v>
      </c>
      <c r="W8" s="3482" t="s">
        <v>1957</v>
      </c>
      <c r="X8" s="3483"/>
      <c r="Y8" s="1135" t="s">
        <v>1958</v>
      </c>
      <c r="Z8" s="1135" t="s">
        <v>1959</v>
      </c>
      <c r="AA8" s="1135" t="s">
        <v>1960</v>
      </c>
      <c r="AB8" s="1135" t="s">
        <v>1961</v>
      </c>
      <c r="AC8" s="1135" t="s">
        <v>1962</v>
      </c>
      <c r="AD8" s="1135" t="s">
        <v>1963</v>
      </c>
      <c r="AE8" s="1135" t="s">
        <v>1964</v>
      </c>
      <c r="AF8" s="1135" t="s">
        <v>1965</v>
      </c>
      <c r="AG8" s="1135" t="s">
        <v>1966</v>
      </c>
      <c r="AH8" s="1135" t="s">
        <v>1967</v>
      </c>
      <c r="AI8" s="1135" t="s">
        <v>1968</v>
      </c>
      <c r="AJ8" s="1135" t="s">
        <v>1969</v>
      </c>
    </row>
    <row r="9" spans="1:36" ht="15">
      <c r="A9" s="3003"/>
      <c r="B9" s="161" t="s">
        <v>1970</v>
      </c>
      <c r="C9" s="713">
        <f>SUMIF(修正!C71:C138,C8,修正!E71:E138)</f>
        <v>0</v>
      </c>
      <c r="D9" s="162" t="s">
        <v>113</v>
      </c>
      <c r="E9" s="162" t="e">
        <f>ROUND(C11/E7,4)</f>
        <v>#DIV/0!</v>
      </c>
      <c r="F9" s="1866" t="s">
        <v>1971</v>
      </c>
      <c r="G9" s="1867"/>
      <c r="H9" s="1867"/>
      <c r="I9" s="1867"/>
      <c r="J9" s="1868"/>
      <c r="K9" s="1055"/>
      <c r="L9" s="1842" t="s">
        <v>1972</v>
      </c>
      <c r="M9" s="810">
        <f>SUMPRODUCT((区片价!B277:B326=I2)*(区片价!C3:G3=E2)*(区片价!C277:G326))</f>
        <v>0</v>
      </c>
      <c r="N9" s="812">
        <f>SUMPRODUCT((因素修正幅度!B277:B326=I2)*(因素修正幅度!C3:G3=E2)*(因素修正幅度!C277:G326))</f>
        <v>0</v>
      </c>
      <c r="O9" s="1055"/>
      <c r="P9" s="1055"/>
      <c r="Q9" s="1055"/>
      <c r="R9" s="1127">
        <v>8</v>
      </c>
      <c r="S9" s="1128"/>
      <c r="T9" s="3057">
        <f t="shared" si="0"/>
        <v>0</v>
      </c>
      <c r="U9" s="1128"/>
      <c r="V9" s="3057">
        <f t="shared" si="1"/>
        <v>0</v>
      </c>
      <c r="W9" s="3484"/>
      <c r="X9" s="3058" t="s">
        <v>3268</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1973</v>
      </c>
      <c r="C10" s="162">
        <f>SUMIF(修正!C71:C138,C8,修正!F71:F138)</f>
        <v>0</v>
      </c>
      <c r="D10" s="162" t="s">
        <v>114</v>
      </c>
      <c r="E10" s="162" t="e">
        <f>ROUND(C11/E7,4)</f>
        <v>#DIV/0!</v>
      </c>
      <c r="F10" s="1866" t="s">
        <v>1974</v>
      </c>
      <c r="G10" s="1867"/>
      <c r="H10" s="1867"/>
      <c r="I10" s="1867"/>
      <c r="J10" s="1868"/>
      <c r="K10" s="1055"/>
      <c r="L10" s="1842" t="s">
        <v>1975</v>
      </c>
      <c r="M10" s="810">
        <f>SUMPRODUCT((区片价!B327:B357=I2)*(区片价!C3:G3=E2)*(区片价!C327:G357))</f>
        <v>0</v>
      </c>
      <c r="N10" s="812">
        <f>SUMPRODUCT((因素修正幅度!B327:B357=I2)*(因素修正幅度!C3:G3=E2)*(因素修正幅度!C327:G357))</f>
        <v>0</v>
      </c>
      <c r="O10" s="1055"/>
      <c r="P10" s="1055"/>
      <c r="Q10" s="1055"/>
      <c r="R10" s="1127">
        <v>9</v>
      </c>
      <c r="S10" s="1128"/>
      <c r="T10" s="3057">
        <f t="shared" si="0"/>
        <v>0</v>
      </c>
      <c r="U10" s="1128"/>
      <c r="V10" s="3057">
        <f t="shared" si="1"/>
        <v>0</v>
      </c>
      <c r="W10" s="3484"/>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9" t="s">
        <v>1976</v>
      </c>
      <c r="C11" s="714">
        <f>C10/4</f>
        <v>0</v>
      </c>
      <c r="D11" s="714" t="s">
        <v>115</v>
      </c>
      <c r="E11" s="714" t="e">
        <f>ROUND(C11/E7,4)</f>
        <v>#DIV/0!</v>
      </c>
      <c r="F11" s="1870" t="s">
        <v>1977</v>
      </c>
      <c r="G11" s="1871"/>
      <c r="H11" s="1871"/>
      <c r="I11" s="1871"/>
      <c r="J11" s="1872"/>
      <c r="K11" s="1055"/>
      <c r="L11" s="1842" t="s">
        <v>1978</v>
      </c>
      <c r="M11" s="810">
        <f>SUMPRODUCT((区片价!B358:B377=I2)*(区片价!C3:G3=E2)*(区片价!C358:G377))</f>
        <v>0</v>
      </c>
      <c r="N11" s="812">
        <f>SUMPRODUCT((因素修正幅度!B358:B377=I2)*(因素修正幅度!C3:G3=E2)*(因素修正幅度!C358:G377))</f>
        <v>0</v>
      </c>
      <c r="O11" s="1055"/>
      <c r="P11" s="1055"/>
      <c r="Q11" s="1055"/>
      <c r="R11" s="1127">
        <v>10</v>
      </c>
      <c r="S11" s="1128"/>
      <c r="T11" s="3057">
        <f t="shared" si="0"/>
        <v>0</v>
      </c>
      <c r="U11" s="1128"/>
      <c r="V11" s="3057">
        <f t="shared" si="1"/>
        <v>0</v>
      </c>
      <c r="W11" s="1131"/>
      <c r="X11" s="1131"/>
      <c r="Y11" s="1131"/>
      <c r="Z11" s="1131"/>
      <c r="AA11" s="1131"/>
      <c r="AB11" s="1131"/>
      <c r="AC11" s="1132"/>
      <c r="AD11" s="2548"/>
      <c r="AE11" s="2548"/>
      <c r="AF11" s="2548"/>
      <c r="AG11" s="2548"/>
      <c r="AH11" s="2548"/>
      <c r="AI11" s="2548"/>
      <c r="AJ11" s="2549"/>
    </row>
    <row r="12" spans="1:36" ht="25.5" thickBot="1">
      <c r="A12" s="3006" t="s">
        <v>3238</v>
      </c>
      <c r="B12" s="3007" t="s">
        <v>3239</v>
      </c>
      <c r="C12" s="3008"/>
      <c r="D12" s="3009" t="s">
        <v>3240</v>
      </c>
      <c r="E12" s="3010" t="s">
        <v>3241</v>
      </c>
      <c r="F12" s="3011"/>
      <c r="G12" s="3012"/>
      <c r="H12" s="3012"/>
      <c r="I12" s="3012"/>
      <c r="J12" s="3013"/>
      <c r="K12" s="1055"/>
      <c r="L12" s="1791" t="s">
        <v>1981</v>
      </c>
      <c r="M12" s="811">
        <f>SUMPRODUCT((区片价!B378:B384=I2)*(区片价!C3:G3=E2)*(区片价!C378:G384))</f>
        <v>0</v>
      </c>
      <c r="N12" s="812">
        <f>SUMPRODUCT((因素修正幅度!B378:B384=I2)*(因素修正幅度!C3:G3=E2)*(因素修正幅度!C378:G384))</f>
        <v>0</v>
      </c>
      <c r="O12" s="1055"/>
      <c r="P12" s="1055"/>
      <c r="Q12" s="1055"/>
      <c r="R12" s="1127">
        <v>11</v>
      </c>
      <c r="S12" s="1128"/>
      <c r="T12" s="3057">
        <f t="shared" si="0"/>
        <v>0</v>
      </c>
      <c r="U12" s="1128"/>
      <c r="V12" s="3057">
        <f t="shared" si="1"/>
        <v>0</v>
      </c>
      <c r="W12" s="1131"/>
      <c r="X12" s="1131"/>
      <c r="Y12" s="1131"/>
      <c r="Z12" s="1131"/>
      <c r="AA12" s="1131"/>
      <c r="AB12" s="1131"/>
      <c r="AC12" s="1132"/>
      <c r="AD12" s="2548"/>
      <c r="AE12" s="2548"/>
      <c r="AF12" s="2548"/>
      <c r="AG12" s="2548"/>
      <c r="AH12" s="2548"/>
      <c r="AI12" s="2548"/>
      <c r="AJ12" s="2549"/>
    </row>
    <row r="13" spans="1:36" ht="15.75" thickBot="1">
      <c r="A13" s="3006" t="s">
        <v>3242</v>
      </c>
      <c r="B13" s="1873" t="s">
        <v>1979</v>
      </c>
      <c r="C13" s="710">
        <f>ROUND(C16*D16*E16*F16*G16*H16*I16*J16,4)</f>
        <v>1.05</v>
      </c>
      <c r="D13" s="1874" t="s">
        <v>1980</v>
      </c>
      <c r="E13" s="1875"/>
      <c r="F13" s="1875"/>
      <c r="G13" s="1876"/>
      <c r="H13" s="1876"/>
      <c r="I13" s="1876"/>
      <c r="J13" s="1877"/>
      <c r="K13" s="1055"/>
      <c r="L13" s="3"/>
      <c r="M13" s="4"/>
      <c r="N13" s="3004"/>
      <c r="O13" s="1055"/>
      <c r="P13" s="1055"/>
      <c r="Q13" s="1055"/>
      <c r="R13" s="1127">
        <v>12</v>
      </c>
      <c r="S13" s="1128"/>
      <c r="T13" s="3057">
        <f t="shared" si="0"/>
        <v>0</v>
      </c>
      <c r="U13" s="1128"/>
      <c r="V13" s="3057">
        <f t="shared" si="1"/>
        <v>0</v>
      </c>
      <c r="W13" s="1131"/>
      <c r="X13" s="1131"/>
      <c r="Y13" s="1131"/>
      <c r="Z13" s="1131"/>
      <c r="AA13" s="1131"/>
      <c r="AB13" s="1131"/>
      <c r="AC13" s="1132"/>
      <c r="AD13" s="2548"/>
      <c r="AE13" s="2548"/>
      <c r="AF13" s="2548"/>
      <c r="AG13" s="2548"/>
      <c r="AH13" s="2548"/>
      <c r="AI13" s="2548"/>
      <c r="AJ13" s="2549"/>
    </row>
    <row r="14" spans="1:36" ht="15">
      <c r="A14" s="3002"/>
      <c r="B14" s="1878" t="s">
        <v>1982</v>
      </c>
      <c r="C14" s="1879" t="s">
        <v>1983</v>
      </c>
      <c r="D14" s="1259" t="s">
        <v>1984</v>
      </c>
      <c r="E14" s="27" t="s">
        <v>1985</v>
      </c>
      <c r="F14" s="3014" t="s">
        <v>3243</v>
      </c>
      <c r="G14" s="3014" t="s">
        <v>3243</v>
      </c>
      <c r="H14" s="3014" t="s">
        <v>3243</v>
      </c>
      <c r="I14" s="3014" t="s">
        <v>3243</v>
      </c>
      <c r="J14" s="3014" t="s">
        <v>3243</v>
      </c>
      <c r="K14" s="1055"/>
      <c r="L14" s="1055"/>
      <c r="M14" s="1055"/>
      <c r="N14" s="1055"/>
      <c r="O14" s="1055"/>
      <c r="P14" s="1055"/>
      <c r="Q14" s="1055"/>
      <c r="R14" s="1127">
        <v>13</v>
      </c>
      <c r="S14" s="1128"/>
      <c r="T14" s="3057">
        <f t="shared" si="0"/>
        <v>0</v>
      </c>
      <c r="U14" s="1128"/>
      <c r="V14" s="3057">
        <f t="shared" si="1"/>
        <v>0</v>
      </c>
      <c r="W14" s="1131"/>
      <c r="X14" s="1131"/>
      <c r="Y14" s="1131"/>
      <c r="Z14" s="1131"/>
      <c r="AA14" s="1131"/>
      <c r="AB14" s="1131"/>
      <c r="AC14" s="1132"/>
      <c r="AD14" s="2548"/>
      <c r="AE14" s="2548"/>
      <c r="AF14" s="2548"/>
      <c r="AG14" s="2548"/>
      <c r="AH14" s="2548"/>
      <c r="AI14" s="2548"/>
      <c r="AJ14" s="2549"/>
    </row>
    <row r="15" spans="1:36" ht="15">
      <c r="A15" s="3002"/>
      <c r="B15" s="1880"/>
      <c r="C15" s="1881" t="s">
        <v>3401</v>
      </c>
      <c r="D15" s="1882" t="s">
        <v>3401</v>
      </c>
      <c r="E15" s="1883" t="s">
        <v>3402</v>
      </c>
      <c r="F15" s="1468" t="s">
        <v>3244</v>
      </c>
      <c r="G15" s="1923"/>
      <c r="H15" s="3015"/>
      <c r="I15" s="3016"/>
      <c r="J15" s="3017"/>
      <c r="K15" s="1055"/>
      <c r="L15" s="1055"/>
      <c r="M15" s="1055"/>
      <c r="N15" s="1055"/>
      <c r="O15" s="1055"/>
      <c r="P15" s="1055"/>
      <c r="Q15" s="1055"/>
      <c r="R15" s="1127">
        <v>14</v>
      </c>
      <c r="S15" s="1128"/>
      <c r="T15" s="3057">
        <f t="shared" si="0"/>
        <v>0</v>
      </c>
      <c r="U15" s="1128"/>
      <c r="V15" s="3057">
        <f t="shared" si="1"/>
        <v>0</v>
      </c>
      <c r="W15" s="1131"/>
      <c r="X15" s="1131"/>
      <c r="Y15" s="1131"/>
      <c r="Z15" s="1131"/>
      <c r="AA15" s="1131"/>
      <c r="AB15" s="1131"/>
      <c r="AC15" s="1132"/>
      <c r="AD15" s="2548"/>
      <c r="AE15" s="2548"/>
      <c r="AF15" s="2548"/>
      <c r="AG15" s="2548"/>
      <c r="AH15" s="2548"/>
      <c r="AI15" s="2548"/>
      <c r="AJ15" s="2549"/>
    </row>
    <row r="16" spans="1:36" ht="15.75" thickBot="1">
      <c r="A16" s="3002"/>
      <c r="B16" s="3020" t="s">
        <v>1986</v>
      </c>
      <c r="C16" s="3018">
        <v>1</v>
      </c>
      <c r="D16" s="3018">
        <v>1</v>
      </c>
      <c r="E16" s="3018">
        <v>1.05</v>
      </c>
      <c r="F16" s="3018">
        <v>1</v>
      </c>
      <c r="G16" s="3018">
        <v>1</v>
      </c>
      <c r="H16" s="3018">
        <v>1</v>
      </c>
      <c r="I16" s="3018">
        <v>1</v>
      </c>
      <c r="J16" s="3019">
        <v>1</v>
      </c>
      <c r="K16" s="1055"/>
      <c r="L16" s="1839"/>
      <c r="M16" s="1839"/>
      <c r="N16" s="1839"/>
      <c r="O16" s="1839"/>
      <c r="P16" s="1839"/>
      <c r="Q16" s="1055"/>
      <c r="R16" s="1127">
        <v>15</v>
      </c>
      <c r="S16" s="1128"/>
      <c r="T16" s="3057">
        <f t="shared" si="0"/>
        <v>0</v>
      </c>
      <c r="U16" s="1128"/>
      <c r="V16" s="3057">
        <f t="shared" si="1"/>
        <v>0</v>
      </c>
      <c r="W16" s="1131"/>
      <c r="X16" s="1131"/>
      <c r="Y16" s="1131"/>
      <c r="Z16" s="1131"/>
      <c r="AA16" s="1131"/>
      <c r="AB16" s="1131"/>
      <c r="AC16" s="1132"/>
      <c r="AD16" s="2548"/>
      <c r="AE16" s="2548"/>
      <c r="AF16" s="2548"/>
      <c r="AG16" s="2548"/>
      <c r="AH16" s="2548"/>
      <c r="AI16" s="2548"/>
      <c r="AJ16" s="2549"/>
    </row>
    <row r="17" spans="1:37">
      <c r="A17" s="3029" t="s">
        <v>3245</v>
      </c>
      <c r="B17" s="3021" t="s">
        <v>3246</v>
      </c>
      <c r="C17" s="3030">
        <f>ROUND(IF(OR(E2="工业",E2="公共服务"),1,IF(AND(E18=0,E19=0),1,IF(AND(E18=J24,E19=G19),0.8,IF(E19=0,1+E17*(-0.2),1+E17*G17*(-0.2))))),4)</f>
        <v>1</v>
      </c>
      <c r="D17" s="3022" t="s">
        <v>3247</v>
      </c>
      <c r="E17" s="3030">
        <f>ROUND(G18/I18,2)</f>
        <v>0</v>
      </c>
      <c r="F17" s="3022" t="s">
        <v>3250</v>
      </c>
      <c r="G17" s="3030" t="e">
        <f>ROUND(E19/G19,2)</f>
        <v>#DIV/0!</v>
      </c>
      <c r="H17" s="3030"/>
      <c r="I17" s="3030"/>
      <c r="J17" s="3031"/>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2"/>
      <c r="B18" s="2304"/>
      <c r="C18" s="3028"/>
      <c r="D18" s="3023" t="s">
        <v>3248</v>
      </c>
      <c r="E18" s="2351"/>
      <c r="F18" s="3024" t="s">
        <v>3251</v>
      </c>
      <c r="G18" s="3028">
        <f>ROUND(1-(1/(POWER(1+G24,E18))),4)</f>
        <v>0</v>
      </c>
      <c r="H18" s="3024" t="s">
        <v>3253</v>
      </c>
      <c r="I18" s="3028">
        <f>ROUND(1-(1/(POWER(1+G24,J24))),4)</f>
        <v>0.96709999999999996</v>
      </c>
      <c r="J18" s="3033"/>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7"/>
    </row>
    <row r="19" spans="1:37" s="1853" customFormat="1" ht="15" thickBot="1">
      <c r="A19" s="3034"/>
      <c r="B19" s="3035"/>
      <c r="C19" s="3036"/>
      <c r="D19" s="3036" t="s">
        <v>3249</v>
      </c>
      <c r="E19" s="3037"/>
      <c r="F19" s="3038" t="s">
        <v>3252</v>
      </c>
      <c r="G19" s="3037"/>
      <c r="H19" s="3036"/>
      <c r="I19" s="3036"/>
      <c r="J19" s="3039"/>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50"/>
      <c r="AH19" s="1975"/>
      <c r="AI19" s="560"/>
      <c r="AJ19" s="560"/>
      <c r="AK19" s="1894"/>
    </row>
    <row r="20" spans="1:37" s="1853" customFormat="1" ht="14.25">
      <c r="A20" s="3489" t="s">
        <v>3254</v>
      </c>
      <c r="B20" s="158" t="s">
        <v>1991</v>
      </c>
      <c r="C20" s="3025">
        <f>ROUND(IF(F21="与级别开发程度一致",0,(G21-E21)/C21),0)</f>
        <v>0</v>
      </c>
      <c r="D20" s="3040" t="s">
        <v>1995</v>
      </c>
      <c r="E20" s="3041"/>
      <c r="F20" s="3495" t="s">
        <v>1992</v>
      </c>
      <c r="G20" s="3496"/>
      <c r="H20" s="3026"/>
      <c r="I20" s="3026"/>
      <c r="J20" s="3027"/>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3" customFormat="1" ht="26.25" thickBot="1">
      <c r="A21" s="3490"/>
      <c r="B21" s="1997" t="s">
        <v>1994</v>
      </c>
      <c r="C21" s="1998">
        <f>IF(E3="M4科研用地",SUMPRODUCT((修正!A2:A7=E3)*(修正!B1:M1=G2)*(修正!B2:M7)),SUMPRODUCT((修正!A2:A7=E2)*(修正!B1:M1=G2)*(修正!B2:M7)))</f>
        <v>2.5</v>
      </c>
      <c r="D21" s="178" t="str">
        <f>IF(OR(G2="八级",G2="九级",G2="十级",G2="十一级",G2="十二级"),"五通一平","七通一平")</f>
        <v>七通一平</v>
      </c>
      <c r="E21" s="1988">
        <f>SUMPRODUCT((修正!B1:M1=G2)*(修正!B17:M17))</f>
        <v>315</v>
      </c>
      <c r="F21" s="1989" t="s">
        <v>3403</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3" customFormat="1" ht="15.75" thickBot="1">
      <c r="A22" s="1991" t="s">
        <v>363</v>
      </c>
      <c r="B22" s="1992" t="s">
        <v>1997</v>
      </c>
      <c r="C22" s="1993">
        <f>SUMIF(修正!C20:C51,E3,修正!E20:E51)</f>
        <v>1</v>
      </c>
      <c r="D22" s="1994"/>
      <c r="E22" s="1995"/>
      <c r="F22" s="1995"/>
      <c r="G22" s="1995"/>
      <c r="H22" s="1995"/>
      <c r="I22" s="1995"/>
      <c r="J22" s="1996"/>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6.25" thickBot="1">
      <c r="A23" s="1887" t="s">
        <v>364</v>
      </c>
      <c r="B23" s="1888" t="s">
        <v>1998</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1" t="s">
        <v>1999</v>
      </c>
      <c r="E23" s="716">
        <v>44197</v>
      </c>
      <c r="F23" s="1891" t="s">
        <v>2000</v>
      </c>
      <c r="G23" s="717">
        <f>'数据-取费表'!B2</f>
        <v>45583</v>
      </c>
      <c r="H23" s="3042" t="s">
        <v>3256</v>
      </c>
      <c r="I23" s="3043" t="str">
        <f>IF(H23="季度增幅（自定义）",SUMIF(N25:N28,E2,O25:O28),"")</f>
        <v/>
      </c>
      <c r="J23" s="3135" t="s">
        <v>3255</v>
      </c>
      <c r="K23" s="1060"/>
      <c r="L23" s="1892" t="s">
        <v>2001</v>
      </c>
      <c r="M23" s="1239">
        <f>ROUND(SUMIF(地价!B2:G2,E2,地价!B16:G16),0)</f>
        <v>687</v>
      </c>
      <c r="N23" s="1893" t="s">
        <v>2002</v>
      </c>
      <c r="O23" s="718">
        <f>ROUNDDOWN(DATEDIF(E23,G23,"M")/3,0)</f>
        <v>15</v>
      </c>
      <c r="P23" s="1056"/>
      <c r="Q23" s="2547"/>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2003</v>
      </c>
      <c r="C24" s="719">
        <f>ROUND(POWER(1+G24,J24-I24)*(POWER(1+G24,I24)-1)/(POWER(1+G24,J24)-1),4)</f>
        <v>1</v>
      </c>
      <c r="D24" s="1897" t="s">
        <v>2004</v>
      </c>
      <c r="E24" s="1246">
        <f>存贷款利率!E22/100</f>
        <v>4.3499999999999997E-2</v>
      </c>
      <c r="F24" s="1897" t="s">
        <v>1996</v>
      </c>
      <c r="G24" s="723">
        <f>SUMIF(M30:Q30,E2,M33:Q33)</f>
        <v>0.05</v>
      </c>
      <c r="H24" s="1897" t="s">
        <v>2005</v>
      </c>
      <c r="I24" s="724">
        <f>SUMIF('数据-取费表'!C6:C15,E2,'数据-取费表'!F6:F15)/COUNTIF('数据-取费表'!C6:C15,E2)</f>
        <v>70</v>
      </c>
      <c r="J24" s="725">
        <f>IF(E2="住宅",70,IF(E2="商业",40,50))</f>
        <v>70</v>
      </c>
      <c r="K24" s="1060"/>
      <c r="L24" s="1898" t="s">
        <v>2006</v>
      </c>
      <c r="M24" s="1240">
        <f>ROUND(SUMPRODUCT((地价!A4:A16=YEAR(G23)&amp;"-"&amp;ROUNDUP(MONTH(G23)/3,0))*(地价!B2:G2=E2)*(地价!B4:G16)),0)</f>
        <v>0</v>
      </c>
      <c r="N24" s="1899" t="s">
        <v>2007</v>
      </c>
      <c r="O24" s="1900" t="s">
        <v>2008</v>
      </c>
      <c r="P24" s="1901" t="s">
        <v>2009</v>
      </c>
      <c r="Q24" s="1839"/>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5">
      <c r="A25" s="1902" t="s">
        <v>366</v>
      </c>
      <c r="B25" s="1903" t="s">
        <v>3335</v>
      </c>
      <c r="C25" s="460">
        <f>IF(B25="容积率修正",IF(G3&lt;10,D26,J26),C27)</f>
        <v>1</v>
      </c>
      <c r="D25" s="1904"/>
      <c r="E25" s="1904"/>
      <c r="F25" s="1904"/>
      <c r="G25" s="1904"/>
      <c r="H25" s="1904"/>
      <c r="I25" s="1904"/>
      <c r="J25" s="1905"/>
      <c r="K25" s="1060"/>
      <c r="L25" s="2547"/>
      <c r="M25" s="2547"/>
      <c r="N25" s="1906" t="s">
        <v>2010</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2011</v>
      </c>
      <c r="B26" s="1907" t="s">
        <v>2012</v>
      </c>
      <c r="C26" s="1907" t="s">
        <v>3257</v>
      </c>
      <c r="D26" s="1261">
        <f>IF(E26=G26,F26,IF(G3&lt;10,ROUND(F26+(H26-F26)*(G3-E26)/(G26-E26),4),"——"))</f>
        <v>1</v>
      </c>
      <c r="E26" s="707">
        <f>ROUNDDOWN(G3,1)</f>
        <v>2.5</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2.5</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7" t="s">
        <v>3258</v>
      </c>
      <c r="J26" s="373" t="str">
        <f>IF(G3&gt;=10,D115,"——")</f>
        <v>——</v>
      </c>
      <c r="K26" s="1060"/>
      <c r="L26" s="2547"/>
      <c r="M26" s="2547"/>
      <c r="N26" s="1906" t="s">
        <v>2013</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2014</v>
      </c>
      <c r="B27" s="1908" t="s">
        <v>2015</v>
      </c>
      <c r="C27" s="790">
        <f>ROUND(IF(I3&lt;6,SUMPRODUCT((B106:B110=I3)*(C105:N105=G2)*(C106:N110)),SUMIF(C105:N105,G2,C112:N112)),4)</f>
        <v>0</v>
      </c>
      <c r="D27" s="1837"/>
      <c r="E27" s="1837"/>
      <c r="F27" s="1909"/>
      <c r="G27" s="1910"/>
      <c r="H27" s="1911"/>
      <c r="I27" s="1912"/>
      <c r="J27" s="1913"/>
      <c r="K27" s="1055"/>
      <c r="L27" s="1839"/>
      <c r="M27" s="1839"/>
      <c r="N27" s="1906" t="s">
        <v>2016</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2017</v>
      </c>
      <c r="C28" s="715">
        <f>SUMIF(A47:A101,E2,B47:B101)</f>
        <v>1.0448999999999999</v>
      </c>
      <c r="D28" s="1889"/>
      <c r="E28" s="1914"/>
      <c r="F28" s="1914"/>
      <c r="G28" s="1914"/>
      <c r="H28" s="1914"/>
      <c r="I28" s="1914"/>
      <c r="J28" s="1915"/>
      <c r="K28" s="1060"/>
      <c r="L28" s="2547"/>
      <c r="M28" s="2547"/>
      <c r="N28" s="1916" t="s">
        <v>2018</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2019</v>
      </c>
      <c r="C29" s="720"/>
      <c r="D29" s="1863"/>
      <c r="E29" s="1863"/>
      <c r="F29" s="1918"/>
      <c r="G29" s="1863"/>
      <c r="H29" s="1863"/>
      <c r="I29" s="1863"/>
      <c r="J29" s="1864"/>
      <c r="K29" s="1055"/>
      <c r="L29" s="1839"/>
      <c r="M29" s="1839"/>
      <c r="N29" s="2544" t="s">
        <v>2020</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2021</v>
      </c>
      <c r="C30" s="2140">
        <f>IF(B25="容积率修正",E33+SUM(E37:E42),SUM(V2:V16)+SUM(E37:E42))</f>
        <v>0</v>
      </c>
      <c r="D30" s="1920"/>
      <c r="E30" s="1837"/>
      <c r="F30" s="1921"/>
      <c r="G30" s="1837"/>
      <c r="H30" s="1837"/>
      <c r="I30" s="1837"/>
      <c r="J30" s="1922"/>
      <c r="K30" s="1055"/>
      <c r="L30" s="3049" t="s">
        <v>1933</v>
      </c>
      <c r="M30" s="3050" t="s">
        <v>1987</v>
      </c>
      <c r="N30" s="3050" t="s">
        <v>1988</v>
      </c>
      <c r="O30" s="3050" t="s">
        <v>1989</v>
      </c>
      <c r="P30" s="3050" t="s">
        <v>1990</v>
      </c>
      <c r="Q30" s="3053" t="s">
        <v>3262</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2022</v>
      </c>
      <c r="C31" s="721">
        <f>E34+SUM(I37:I42)</f>
        <v>0</v>
      </c>
      <c r="D31" s="1924"/>
      <c r="E31" s="1925"/>
      <c r="F31" s="1926"/>
      <c r="G31" s="1925"/>
      <c r="H31" s="1925"/>
      <c r="I31" s="1925"/>
      <c r="J31" s="1927"/>
      <c r="K31" s="1055"/>
      <c r="L31" s="3051" t="s">
        <v>1993</v>
      </c>
      <c r="M31" s="161">
        <v>0.25</v>
      </c>
      <c r="N31" s="161">
        <v>0.2</v>
      </c>
      <c r="O31" s="161">
        <v>0.15</v>
      </c>
      <c r="P31" s="161">
        <v>0.1</v>
      </c>
      <c r="Q31" s="3046">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2023</v>
      </c>
      <c r="C32" s="1930" t="s">
        <v>2024</v>
      </c>
      <c r="D32" s="1930" t="s">
        <v>2025</v>
      </c>
      <c r="E32" s="1931" t="s">
        <v>2026</v>
      </c>
      <c r="F32" s="1932"/>
      <c r="G32" s="1876"/>
      <c r="H32" s="1876"/>
      <c r="I32" s="1876"/>
      <c r="J32" s="1877"/>
      <c r="K32" s="1055"/>
      <c r="L32" s="3052" t="s">
        <v>1996</v>
      </c>
      <c r="M32" s="2350">
        <f>ROUND($E$24*(1+M31),3)</f>
        <v>5.3999999999999999E-2</v>
      </c>
      <c r="N32" s="2350">
        <f>ROUND($E$24*(1+N31),3)</f>
        <v>5.1999999999999998E-2</v>
      </c>
      <c r="O32" s="2350">
        <f>ROUND($E$24*(1+O31),3)</f>
        <v>0.05</v>
      </c>
      <c r="P32" s="2350">
        <f>ROUND($E$24*(1+P31),3)</f>
        <v>4.8000000000000001E-2</v>
      </c>
      <c r="Q32" s="3054">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2027</v>
      </c>
      <c r="C33" s="166">
        <f>ROUND(C5*C22*C23*C24*C25*C28,0)</f>
        <v>0</v>
      </c>
      <c r="D33" s="1935">
        <f>'数据-汇总表'!F19</f>
        <v>141.37</v>
      </c>
      <c r="E33" s="726">
        <f>ROUND(C33*D33/10000,0)</f>
        <v>0</v>
      </c>
      <c r="F33" s="3044" t="s">
        <v>3260</v>
      </c>
      <c r="G33" s="1936"/>
      <c r="H33" s="1936"/>
      <c r="I33" s="1936"/>
      <c r="J33" s="1937"/>
      <c r="K33" s="1055"/>
      <c r="L33" s="3047" t="s">
        <v>3263</v>
      </c>
      <c r="M33" s="3048">
        <v>5.5E-2</v>
      </c>
      <c r="N33" s="3048">
        <v>5.5E-2</v>
      </c>
      <c r="O33" s="3048">
        <v>0.05</v>
      </c>
      <c r="P33" s="3048">
        <v>0.05</v>
      </c>
      <c r="Q33" s="3048">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2028</v>
      </c>
      <c r="C34" s="178">
        <f>ROUND(IF(E2="工业",C33*M42,IF(B25="楼层修正",SUM(V2:V16)*M41*10000/D34,C33*M41)),0)</f>
        <v>0</v>
      </c>
      <c r="D34" s="1940"/>
      <c r="E34" s="726">
        <f>ROUND(IF(B25="楼层修正",SUM(V2:V16)*M40,C34*D34/10000),0)</f>
        <v>0</v>
      </c>
      <c r="F34" s="1941" t="s">
        <v>2029</v>
      </c>
      <c r="G34" s="1942"/>
      <c r="H34" s="1942"/>
      <c r="I34" s="1942"/>
      <c r="J34" s="1943"/>
      <c r="K34" s="1055"/>
      <c r="L34" s="3047" t="s">
        <v>3264</v>
      </c>
      <c r="M34" s="3048">
        <v>6.5000000000000002E-2</v>
      </c>
      <c r="N34" s="3048">
        <v>6.5000000000000002E-2</v>
      </c>
      <c r="O34" s="3048">
        <v>0.06</v>
      </c>
      <c r="P34" s="3048">
        <v>0.06</v>
      </c>
      <c r="Q34" s="3048">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2030</v>
      </c>
      <c r="C35" s="3045" t="s">
        <v>3261</v>
      </c>
      <c r="D35" s="1876"/>
      <c r="E35" s="1946"/>
      <c r="F35" s="1946"/>
      <c r="G35" s="1874" t="s">
        <v>2031</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2024</v>
      </c>
      <c r="D36" s="432" t="s">
        <v>2025</v>
      </c>
      <c r="E36" s="432" t="s">
        <v>2026</v>
      </c>
      <c r="F36" s="332" t="s">
        <v>2032</v>
      </c>
      <c r="G36" s="1949" t="s">
        <v>2024</v>
      </c>
      <c r="H36" s="1949" t="s">
        <v>2025</v>
      </c>
      <c r="I36" s="1949" t="s">
        <v>2026</v>
      </c>
      <c r="J36" s="234"/>
      <c r="K36" s="1959" t="s">
        <v>3265</v>
      </c>
      <c r="L36" s="3136">
        <f ca="1">'数据-取费表'!B40</f>
        <v>4.7500000000000001E-2</v>
      </c>
      <c r="M36" s="2360">
        <f ca="1">ROUND($L$36*(1+M31),3)</f>
        <v>5.8999999999999997E-2</v>
      </c>
      <c r="N36" s="2360">
        <f ca="1">ROUND($L$36*(1+N31),3)</f>
        <v>5.7000000000000002E-2</v>
      </c>
      <c r="O36" s="2360">
        <f ca="1">ROUND($L$36*(1+O31),3)</f>
        <v>5.5E-2</v>
      </c>
      <c r="P36" s="2360">
        <f ca="1">ROUND($L$36*(1+P31),3)</f>
        <v>5.1999999999999998E-2</v>
      </c>
      <c r="Q36" s="2360">
        <f ca="1">ROUND($L$36*(1+Q31),3)</f>
        <v>5.5E-2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493"/>
      <c r="B37" s="1950" t="s">
        <v>2033</v>
      </c>
      <c r="C37" s="166">
        <f>ROUND(D5*C22*C23*C24*C28*F37,0)</f>
        <v>0</v>
      </c>
      <c r="D37" s="1935"/>
      <c r="E37" s="162">
        <f t="shared" ref="E37:E42" si="3">ROUND(C37*D37/10000,0)</f>
        <v>0</v>
      </c>
      <c r="F37" s="162">
        <f>SUMIF(修正!A57:A68,G2,修正!B57:B68)</f>
        <v>0.6</v>
      </c>
      <c r="G37" s="162">
        <f>ROUND(IF(E2="工业",C37*$M$42,C37*$M$41),0)</f>
        <v>0</v>
      </c>
      <c r="H37" s="162">
        <f t="shared" ref="H37:H42" si="4">D37</f>
        <v>0</v>
      </c>
      <c r="I37" s="162">
        <f t="shared" ref="I37:I42" si="5">ROUND(G37*H37/10000,0)</f>
        <v>0</v>
      </c>
      <c r="J37" s="2748"/>
      <c r="K37" s="3055" t="s">
        <v>3266</v>
      </c>
      <c r="L37" s="1959">
        <f ca="1">L36+K38</f>
        <v>5.2499999999999998E-2</v>
      </c>
      <c r="M37" s="2360">
        <f ca="1">ROUND($L$37*(1+M31),3)</f>
        <v>6.6000000000000003E-2</v>
      </c>
      <c r="N37" s="2360">
        <f ca="1">ROUND($L$37*(1+N31),3)</f>
        <v>6.3E-2</v>
      </c>
      <c r="O37" s="2360">
        <f ca="1">ROUND($L$37*(1+O31),3)</f>
        <v>0.06</v>
      </c>
      <c r="P37" s="2360">
        <f ca="1">ROUND($L$37*(1+P31),3)</f>
        <v>5.8000000000000003E-2</v>
      </c>
      <c r="Q37" s="2360">
        <f ca="1">ROUND($L$37*(1+Q31),3)</f>
        <v>0.06</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494"/>
      <c r="B38" s="1879" t="s">
        <v>2034</v>
      </c>
      <c r="C38" s="166">
        <f>ROUND(D5*C22*C23*C24*C28*F38,0)</f>
        <v>0</v>
      </c>
      <c r="D38" s="1935"/>
      <c r="E38" s="162">
        <f t="shared" si="3"/>
        <v>0</v>
      </c>
      <c r="F38" s="162">
        <f>SUMIF(修正!A57:A68,G2,修正!C57:C68)</f>
        <v>0.3</v>
      </c>
      <c r="G38" s="162">
        <f>ROUND(IF(E2="工业",C38*$M$42,C38*$M$41),0)</f>
        <v>0</v>
      </c>
      <c r="H38" s="162">
        <f t="shared" si="4"/>
        <v>0</v>
      </c>
      <c r="I38" s="162">
        <f t="shared" si="5"/>
        <v>0</v>
      </c>
      <c r="J38" s="2747"/>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494"/>
      <c r="B39" s="1879" t="s">
        <v>3259</v>
      </c>
      <c r="C39" s="166">
        <f>ROUND(D5*C22*C23*C24*C28*F39,0)</f>
        <v>0</v>
      </c>
      <c r="D39" s="1935"/>
      <c r="E39" s="162">
        <f t="shared" si="3"/>
        <v>0</v>
      </c>
      <c r="F39" s="162">
        <f>SUMIF(修正!A57:A68,G2,修正!D57:D68)</f>
        <v>0.25</v>
      </c>
      <c r="G39" s="162">
        <f>ROUND(IF(E2="工业",C39*$M$42,C39*$M$41),0)</f>
        <v>0</v>
      </c>
      <c r="H39" s="162">
        <f t="shared" si="4"/>
        <v>0</v>
      </c>
      <c r="I39" s="162">
        <f t="shared" si="5"/>
        <v>0</v>
      </c>
      <c r="J39" s="2747"/>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2035</v>
      </c>
      <c r="C40" s="162">
        <f>ROUND(D5*C22*C23*C24*C28*F40,0)</f>
        <v>0</v>
      </c>
      <c r="D40" s="1935"/>
      <c r="E40" s="162">
        <f t="shared" si="3"/>
        <v>0</v>
      </c>
      <c r="F40" s="166">
        <f>SUMIF(修正!A57:A68,G2,修正!E57:E68)</f>
        <v>0.25</v>
      </c>
      <c r="G40" s="162">
        <f>ROUND(IF(E2="工业",C40*$M$42,C40*$M$41),0)</f>
        <v>0</v>
      </c>
      <c r="H40" s="162">
        <f t="shared" si="4"/>
        <v>0</v>
      </c>
      <c r="I40" s="162">
        <f t="shared" si="5"/>
        <v>0</v>
      </c>
      <c r="J40" s="938"/>
      <c r="L40" s="1952" t="s">
        <v>2036</v>
      </c>
      <c r="M40" s="1953"/>
      <c r="Z40" s="1056"/>
      <c r="AA40" s="1056"/>
      <c r="AB40" s="1056"/>
      <c r="AC40" s="1056"/>
      <c r="AD40" s="1056"/>
      <c r="AE40" s="1056"/>
      <c r="AF40" s="1056"/>
      <c r="AG40" s="1056"/>
      <c r="AH40" s="1056"/>
      <c r="AI40" s="1056"/>
      <c r="AJ40" s="1056"/>
    </row>
    <row r="41" spans="1:37" s="1055" customFormat="1">
      <c r="A41" s="1951"/>
      <c r="B41" s="1879" t="s">
        <v>2037</v>
      </c>
      <c r="C41" s="162">
        <f>ROUND(D5*C22*C23*C44*C28*F41,0)</f>
        <v>0</v>
      </c>
      <c r="D41" s="1935"/>
      <c r="E41" s="162">
        <f t="shared" si="3"/>
        <v>0</v>
      </c>
      <c r="F41" s="166">
        <f>SUMIF(修正!A57:A68,G2,修正!F57:F68)</f>
        <v>0.25</v>
      </c>
      <c r="G41" s="162">
        <f>ROUND(IF(E2="工业",C41*$M$42,C41*$M$41),0)</f>
        <v>0</v>
      </c>
      <c r="H41" s="162">
        <f t="shared" si="4"/>
        <v>0</v>
      </c>
      <c r="I41" s="162">
        <f t="shared" si="5"/>
        <v>0</v>
      </c>
      <c r="J41" s="938"/>
      <c r="L41" s="3056" t="s">
        <v>3267</v>
      </c>
      <c r="M41" s="1954">
        <v>0.25</v>
      </c>
      <c r="Z41" s="1056"/>
      <c r="AA41" s="1056"/>
      <c r="AB41" s="1056"/>
      <c r="AC41" s="1056"/>
      <c r="AD41" s="1056"/>
      <c r="AE41" s="1056"/>
      <c r="AF41" s="1056"/>
      <c r="AG41" s="1056"/>
      <c r="AH41" s="1056"/>
      <c r="AI41" s="1056"/>
      <c r="AJ41" s="1056"/>
    </row>
    <row r="42" spans="1:37" s="1055" customFormat="1" ht="13.5" thickBot="1">
      <c r="A42" s="1938"/>
      <c r="B42" s="1955" t="s">
        <v>2038</v>
      </c>
      <c r="C42" s="178">
        <f>ROUND(D5*C22*C23*C44*C28*F42,0)</f>
        <v>0</v>
      </c>
      <c r="D42" s="1940"/>
      <c r="E42" s="178">
        <f t="shared" si="3"/>
        <v>0</v>
      </c>
      <c r="F42" s="722">
        <f>SUMIF(修正!A57:A68,G2,修正!G57:G68)</f>
        <v>0.15</v>
      </c>
      <c r="G42" s="178">
        <f>ROUND(IF(E2="工业",C42*$M$42,C42*$M$41),0)</f>
        <v>0</v>
      </c>
      <c r="H42" s="178">
        <f t="shared" si="4"/>
        <v>0</v>
      </c>
      <c r="I42" s="178">
        <f t="shared" si="5"/>
        <v>0</v>
      </c>
      <c r="J42" s="1956"/>
      <c r="L42" s="1957" t="s">
        <v>1990</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2119</v>
      </c>
      <c r="C44" s="332">
        <f>ROUND(POWER(1+E44,H44-G44)*(POWER(1+E44,G44)-1)/(POWER(1+E44,H44)-1),4)</f>
        <v>0</v>
      </c>
      <c r="D44" s="162" t="s">
        <v>1996</v>
      </c>
      <c r="E44" s="1986">
        <f>G24</f>
        <v>0.05</v>
      </c>
      <c r="F44" s="162" t="s">
        <v>2005</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2039</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hidden="1">
      <c r="A48" s="1962" t="s">
        <v>2040</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hidden="1">
      <c r="A49" s="1965" t="s">
        <v>2041</v>
      </c>
      <c r="B49" s="1260" t="s">
        <v>2042</v>
      </c>
      <c r="C49" s="1260" t="s">
        <v>2043</v>
      </c>
      <c r="D49" s="1260" t="s">
        <v>2044</v>
      </c>
      <c r="E49" s="700" t="s">
        <v>2045</v>
      </c>
      <c r="F49" s="1966" t="s">
        <v>2046</v>
      </c>
      <c r="G49" s="1260" t="s">
        <v>310</v>
      </c>
      <c r="H49" s="1967" t="s">
        <v>2047</v>
      </c>
      <c r="I49" s="1260" t="s">
        <v>2048</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8.25" hidden="1">
      <c r="A50" s="1965" t="s">
        <v>2049</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2">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51" hidden="1">
      <c r="A51" s="1965" t="s">
        <v>2050</v>
      </c>
      <c r="B51" s="1260" t="str">
        <f>估价对象房地状况!C18</f>
        <v>周边有301路、432路、530路、620路等多条公交线路及地铁17号线天通苑东站，综合评价交通便捷度较好</v>
      </c>
      <c r="C51" s="1882"/>
      <c r="D51" s="1001">
        <f t="shared" si="6"/>
        <v>0</v>
      </c>
      <c r="E51" s="702"/>
      <c r="F51" s="1673"/>
      <c r="G51" s="999"/>
      <c r="H51" s="1002" t="str">
        <f t="shared" si="7"/>
        <v>——</v>
      </c>
      <c r="I51" s="3062">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hidden="1">
      <c r="A52" s="3064" t="s">
        <v>3269</v>
      </c>
      <c r="B52" s="1260">
        <f>估价对象房地状况!C19</f>
        <v>0</v>
      </c>
      <c r="C52" s="1882"/>
      <c r="D52" s="1001">
        <f t="shared" si="6"/>
        <v>0</v>
      </c>
      <c r="E52" s="702"/>
      <c r="F52" s="1673"/>
      <c r="G52" s="999"/>
      <c r="H52" s="1002" t="str">
        <f t="shared" si="7"/>
        <v>——</v>
      </c>
      <c r="I52" s="3062">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36.75" hidden="1">
      <c r="A53" s="1965" t="s">
        <v>2051</v>
      </c>
      <c r="B53" s="1969" t="s">
        <v>2052</v>
      </c>
      <c r="C53" s="1882"/>
      <c r="D53" s="1001">
        <f t="shared" si="6"/>
        <v>0</v>
      </c>
      <c r="E53" s="702"/>
      <c r="F53" s="1673"/>
      <c r="G53" s="999"/>
      <c r="H53" s="1002" t="str">
        <f t="shared" si="7"/>
        <v>——</v>
      </c>
      <c r="I53" s="3062">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hidden="1">
      <c r="A54" s="1965" t="s">
        <v>2053</v>
      </c>
      <c r="B54" s="1260">
        <f>估价对象房地状况!C24</f>
        <v>0</v>
      </c>
      <c r="C54" s="1882"/>
      <c r="D54" s="1001">
        <f t="shared" si="6"/>
        <v>0</v>
      </c>
      <c r="E54" s="702"/>
      <c r="F54" s="1673"/>
      <c r="G54" s="999"/>
      <c r="H54" s="1002" t="str">
        <f t="shared" si="7"/>
        <v>——</v>
      </c>
      <c r="I54" s="3062">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hidden="1">
      <c r="A55" s="1965" t="s">
        <v>2054</v>
      </c>
      <c r="B55" s="1970" t="s">
        <v>2055</v>
      </c>
      <c r="C55" s="1882"/>
      <c r="D55" s="1001">
        <f t="shared" si="6"/>
        <v>0</v>
      </c>
      <c r="E55" s="702"/>
      <c r="F55" s="1673"/>
      <c r="G55" s="999"/>
      <c r="H55" s="1002" t="str">
        <f t="shared" si="7"/>
        <v>——</v>
      </c>
      <c r="I55" s="3062">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65.75" hidden="1">
      <c r="A56" s="1971" t="s">
        <v>2056</v>
      </c>
      <c r="B56" s="1238" t="str">
        <f>估价对象房地状况!C21</f>
        <v>银行：中国农业银行、中国建设银行、中国邮政储蓄银行等金融机构；
医院：天通苑中医医院、天通苑东二区社区卫生服务站等医疗机构；
学校：北京市朝阳外国语学校(高中部)、天通苑小学、昌平区育树家幼儿园等教育机构；
商业：国泰百货(天通苑店)、龙德广场等商业设施；
综合评价公共服务设施齐备度较好。</v>
      </c>
      <c r="C56" s="1882"/>
      <c r="D56" s="1001">
        <f t="shared" si="6"/>
        <v>0</v>
      </c>
      <c r="E56" s="702"/>
      <c r="F56" s="1673"/>
      <c r="G56" s="999"/>
      <c r="H56" s="1002" t="str">
        <f t="shared" si="7"/>
        <v>——</v>
      </c>
      <c r="I56" s="3062">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hidden="1">
      <c r="A57" s="1971" t="s">
        <v>2057</v>
      </c>
      <c r="B57" s="1260" t="str">
        <f>估价对象房地状况!C22</f>
        <v>估价对象所在区域基础设施水平</v>
      </c>
      <c r="C57" s="1882"/>
      <c r="D57" s="1001">
        <f t="shared" si="6"/>
        <v>0</v>
      </c>
      <c r="E57" s="702"/>
      <c r="F57" s="1673"/>
      <c r="G57" s="999"/>
      <c r="H57" s="1002" t="str">
        <f t="shared" si="7"/>
        <v>——</v>
      </c>
      <c r="I57" s="3062">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77.25" hidden="1" thickBot="1">
      <c r="A58" s="1972" t="s">
        <v>2058</v>
      </c>
      <c r="B58" s="1973" t="str">
        <f>估价对象房地状况!C20</f>
        <v>自然环境：清河营郊野公园、清河水系等自然景观；
人文环境：天通苑体育馆、天通苑文化艺术中心等人文场所；
综合评价环境状况较好。</v>
      </c>
      <c r="C58" s="1882"/>
      <c r="D58" s="1001">
        <f t="shared" si="6"/>
        <v>0</v>
      </c>
      <c r="E58" s="703"/>
      <c r="F58" s="1673"/>
      <c r="G58" s="999"/>
      <c r="H58" s="1002" t="str">
        <f t="shared" si="7"/>
        <v>——</v>
      </c>
      <c r="I58" s="3063">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hidden="1">
      <c r="A59" s="1962" t="s">
        <v>2059</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5" t="s">
        <v>2041</v>
      </c>
      <c r="B60" s="1260"/>
      <c r="C60" s="1260" t="s">
        <v>2043</v>
      </c>
      <c r="D60" s="1260" t="s">
        <v>2044</v>
      </c>
      <c r="E60" s="700" t="s">
        <v>2045</v>
      </c>
      <c r="F60" s="1966" t="s">
        <v>2060</v>
      </c>
      <c r="G60" s="1260" t="s">
        <v>310</v>
      </c>
      <c r="H60" s="1967" t="s">
        <v>2047</v>
      </c>
      <c r="I60" s="1260" t="s">
        <v>2048</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8.25" hidden="1">
      <c r="A61" s="1965" t="s">
        <v>2061</v>
      </c>
      <c r="B61" s="1968" t="str">
        <f>估价对象房地状况!C17</f>
        <v>估价对象位于XX商圈，周边办公楼项目较多，入驻率高，办公集聚程度较好</v>
      </c>
      <c r="C61" s="1882"/>
      <c r="D61" s="1001">
        <f t="shared" ref="D61:D69" si="11">SUMIF($J$60:$N$60,C61,J61:N61)</f>
        <v>0</v>
      </c>
      <c r="E61" s="701">
        <f>ROUND(SUM(D61:D69),4)</f>
        <v>0</v>
      </c>
      <c r="F61" s="1673" t="str">
        <f>IF(E2="办公",SUMIF(L1:L12,G2,N1:N12),"——")</f>
        <v>——</v>
      </c>
      <c r="G61" s="999"/>
      <c r="H61" s="1002" t="str">
        <f t="shared" ref="H61:H69" si="12">IFERROR(ROUNDDOWN($F$61*I61/2,4),"——")</f>
        <v>——</v>
      </c>
      <c r="I61" s="3062">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51" hidden="1">
      <c r="A62" s="1965" t="s">
        <v>2050</v>
      </c>
      <c r="B62" s="1260" t="str">
        <f>估价对象房地状况!C18</f>
        <v>周边有301路、432路、530路、620路等多条公交线路及地铁17号线天通苑东站，综合评价交通便捷度较好</v>
      </c>
      <c r="C62" s="1882"/>
      <c r="D62" s="1001">
        <f t="shared" si="11"/>
        <v>0</v>
      </c>
      <c r="E62" s="702"/>
      <c r="F62" s="1673"/>
      <c r="G62" s="999"/>
      <c r="H62" s="1002" t="str">
        <f t="shared" si="12"/>
        <v>——</v>
      </c>
      <c r="I62" s="3062">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hidden="1">
      <c r="A63" s="3064" t="s">
        <v>3269</v>
      </c>
      <c r="B63" s="1260">
        <f>估价对象房地状况!C19</f>
        <v>0</v>
      </c>
      <c r="C63" s="1882"/>
      <c r="D63" s="1001">
        <f t="shared" si="11"/>
        <v>0</v>
      </c>
      <c r="E63" s="702"/>
      <c r="F63" s="1673"/>
      <c r="G63" s="999"/>
      <c r="H63" s="1002" t="str">
        <f t="shared" si="12"/>
        <v>——</v>
      </c>
      <c r="I63" s="3062">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hidden="1">
      <c r="A64" s="1965" t="s">
        <v>2051</v>
      </c>
      <c r="B64" s="1969" t="s">
        <v>2052</v>
      </c>
      <c r="C64" s="1882"/>
      <c r="D64" s="1001">
        <f t="shared" si="11"/>
        <v>0</v>
      </c>
      <c r="E64" s="702"/>
      <c r="F64" s="1673"/>
      <c r="G64" s="999"/>
      <c r="H64" s="1002" t="str">
        <f t="shared" si="12"/>
        <v>——</v>
      </c>
      <c r="I64" s="3062">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hidden="1">
      <c r="A65" s="1965" t="s">
        <v>2053</v>
      </c>
      <c r="B65" s="1260">
        <f>估价对象房地状况!C24</f>
        <v>0</v>
      </c>
      <c r="C65" s="1882"/>
      <c r="D65" s="1001">
        <f t="shared" si="11"/>
        <v>0</v>
      </c>
      <c r="E65" s="702"/>
      <c r="F65" s="1673"/>
      <c r="G65" s="999"/>
      <c r="H65" s="1002" t="str">
        <f t="shared" si="12"/>
        <v>——</v>
      </c>
      <c r="I65" s="3062">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hidden="1">
      <c r="A66" s="1965" t="s">
        <v>2054</v>
      </c>
      <c r="B66" s="1970" t="s">
        <v>2055</v>
      </c>
      <c r="C66" s="1882"/>
      <c r="D66" s="1001">
        <f t="shared" si="11"/>
        <v>0</v>
      </c>
      <c r="E66" s="702"/>
      <c r="F66" s="1673"/>
      <c r="G66" s="999"/>
      <c r="H66" s="1002" t="str">
        <f t="shared" si="12"/>
        <v>——</v>
      </c>
      <c r="I66" s="3062">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165.75" hidden="1">
      <c r="A67" s="1965" t="s">
        <v>2056</v>
      </c>
      <c r="B67" s="1238" t="str">
        <f>估价对象房地状况!C21</f>
        <v>银行：中国农业银行、中国建设银行、中国邮政储蓄银行等金融机构；
医院：天通苑中医医院、天通苑东二区社区卫生服务站等医疗机构；
学校：北京市朝阳外国语学校(高中部)、天通苑小学、昌平区育树家幼儿园等教育机构；
商业：国泰百货(天通苑店)、龙德广场等商业设施；
综合评价公共服务设施齐备度较好。</v>
      </c>
      <c r="C67" s="1882"/>
      <c r="D67" s="1001">
        <f t="shared" si="11"/>
        <v>0</v>
      </c>
      <c r="E67" s="702"/>
      <c r="F67" s="1673"/>
      <c r="G67" s="999"/>
      <c r="H67" s="1002" t="str">
        <f t="shared" si="12"/>
        <v>——</v>
      </c>
      <c r="I67" s="3062">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hidden="1">
      <c r="A68" s="1965" t="s">
        <v>2057</v>
      </c>
      <c r="B68" s="1238" t="str">
        <f>估价对象房地状况!C22</f>
        <v>估价对象所在区域基础设施水平</v>
      </c>
      <c r="C68" s="1882"/>
      <c r="D68" s="1001">
        <f t="shared" si="11"/>
        <v>0</v>
      </c>
      <c r="E68" s="702"/>
      <c r="F68" s="1673"/>
      <c r="G68" s="999"/>
      <c r="H68" s="1002" t="str">
        <f t="shared" si="12"/>
        <v>——</v>
      </c>
      <c r="I68" s="3062">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77.25" hidden="1" thickBot="1">
      <c r="A69" s="1972" t="s">
        <v>2058</v>
      </c>
      <c r="B69" s="1974" t="str">
        <f>估价对象房地状况!C20</f>
        <v>自然环境：清河营郊野公园、清河水系等自然景观；
人文环境：天通苑体育馆、天通苑文化艺术中心等人文场所；
综合评价环境状况较好。</v>
      </c>
      <c r="C69" s="1882"/>
      <c r="D69" s="1001">
        <f t="shared" si="11"/>
        <v>0</v>
      </c>
      <c r="E69" s="703"/>
      <c r="F69" s="1673"/>
      <c r="G69" s="999"/>
      <c r="H69" s="1002" t="str">
        <f t="shared" si="12"/>
        <v>——</v>
      </c>
      <c r="I69" s="3063">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2" t="s">
        <v>2062</v>
      </c>
      <c r="B70" s="1963">
        <f>1+E72</f>
        <v>1.0448999999999999</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2041</v>
      </c>
      <c r="B71" s="1260"/>
      <c r="C71" s="1260" t="s">
        <v>2043</v>
      </c>
      <c r="D71" s="1260" t="s">
        <v>2044</v>
      </c>
      <c r="E71" s="700" t="s">
        <v>2045</v>
      </c>
      <c r="F71" s="1966" t="s">
        <v>2060</v>
      </c>
      <c r="G71" s="1260" t="s">
        <v>310</v>
      </c>
      <c r="H71" s="1967" t="s">
        <v>2047</v>
      </c>
      <c r="I71" s="1260" t="s">
        <v>2048</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38.25">
      <c r="A72" s="1965" t="s">
        <v>2063</v>
      </c>
      <c r="B72" s="1968" t="str">
        <f>估价对象房地状况!C15</f>
        <v>周边有天通东苑一区、天通东苑三区、天通苑六区等住宅小区，居住社区成熟度较好。</v>
      </c>
      <c r="C72" s="1882" t="s">
        <v>3406</v>
      </c>
      <c r="D72" s="1001">
        <f t="shared" ref="D72:D80" si="16">SUMIF($J$71:$N$71,C72,J72:N72)</f>
        <v>9.7999999999999997E-3</v>
      </c>
      <c r="E72" s="701">
        <f>ROUND(SUM(D72:D80),4)</f>
        <v>4.4900000000000002E-2</v>
      </c>
      <c r="F72" s="1673">
        <f>IF(E2="住宅",SUMIF(L1:L12,G2,N1:N12),"——")</f>
        <v>0.11700000000000001</v>
      </c>
      <c r="G72" s="999">
        <v>9.7999999999999997E-3</v>
      </c>
      <c r="H72" s="1002">
        <f t="shared" ref="H72:H80" si="17">IFERROR(ROUNDDOWN($F$72*I72/2,4),"——")</f>
        <v>1.17E-2</v>
      </c>
      <c r="I72" s="3062">
        <v>0.2</v>
      </c>
      <c r="J72" s="1000">
        <f t="shared" ref="J72:J80" si="18">K72+$G72</f>
        <v>1.9599999999999999E-2</v>
      </c>
      <c r="K72" s="1000">
        <f t="shared" ref="K72:K80" si="19">$L72+$G72</f>
        <v>9.7999999999999997E-3</v>
      </c>
      <c r="L72" s="1000">
        <v>0</v>
      </c>
      <c r="M72" s="1000">
        <f t="shared" ref="M72:N80" si="20">L72-$G72</f>
        <v>-9.7999999999999997E-3</v>
      </c>
      <c r="N72" s="1000">
        <f t="shared" si="20"/>
        <v>-1.9599999999999999E-2</v>
      </c>
      <c r="AA72" s="1056"/>
      <c r="AB72" s="1056"/>
      <c r="AC72" s="1056"/>
      <c r="AD72" s="1056"/>
      <c r="AE72" s="1056"/>
      <c r="AF72" s="1056"/>
      <c r="AG72" s="1056"/>
      <c r="AH72" s="1056"/>
      <c r="AI72" s="1056"/>
      <c r="AJ72" s="1056"/>
      <c r="AK72" s="1056"/>
    </row>
    <row r="73" spans="1:37" s="1055" customFormat="1" ht="51">
      <c r="A73" s="1965" t="s">
        <v>2050</v>
      </c>
      <c r="B73" s="1260" t="str">
        <f>估价对象房地状况!C18</f>
        <v>周边有301路、432路、530路、620路等多条公交线路及地铁17号线天通苑东站，综合评价交通便捷度较好</v>
      </c>
      <c r="C73" s="1882" t="s">
        <v>3406</v>
      </c>
      <c r="D73" s="1001">
        <f t="shared" si="16"/>
        <v>1.2699999999999999E-2</v>
      </c>
      <c r="E73" s="704"/>
      <c r="F73" s="1673"/>
      <c r="G73" s="999">
        <v>1.2699999999999999E-2</v>
      </c>
      <c r="H73" s="1002">
        <f t="shared" si="17"/>
        <v>1.52E-2</v>
      </c>
      <c r="I73" s="3062">
        <v>0.26</v>
      </c>
      <c r="J73" s="1000">
        <f t="shared" si="18"/>
        <v>2.5399999999999999E-2</v>
      </c>
      <c r="K73" s="1000">
        <f t="shared" si="19"/>
        <v>1.2699999999999999E-2</v>
      </c>
      <c r="L73" s="1000">
        <v>0</v>
      </c>
      <c r="M73" s="1000">
        <f t="shared" si="20"/>
        <v>-1.2699999999999999E-2</v>
      </c>
      <c r="N73" s="1000">
        <f t="shared" si="20"/>
        <v>-2.5399999999999999E-2</v>
      </c>
      <c r="AA73" s="1056"/>
      <c r="AB73" s="1056"/>
      <c r="AC73" s="1056"/>
      <c r="AD73" s="1056"/>
      <c r="AE73" s="1056"/>
      <c r="AF73" s="1056"/>
      <c r="AG73" s="1056"/>
      <c r="AH73" s="1056"/>
      <c r="AI73" s="1056"/>
      <c r="AJ73" s="1056"/>
      <c r="AK73" s="1056"/>
    </row>
    <row r="74" spans="1:37" s="1839" customFormat="1" ht="36">
      <c r="A74" s="3064" t="s">
        <v>3269</v>
      </c>
      <c r="B74" s="1260">
        <f>估价对象房地状况!C19</f>
        <v>0</v>
      </c>
      <c r="C74" s="1882" t="s">
        <v>3406</v>
      </c>
      <c r="D74" s="1001">
        <f t="shared" si="16"/>
        <v>4.8999999999999998E-3</v>
      </c>
      <c r="E74" s="704"/>
      <c r="F74" s="1673"/>
      <c r="G74" s="999">
        <v>4.8999999999999998E-3</v>
      </c>
      <c r="H74" s="1002">
        <f t="shared" si="17"/>
        <v>5.7999999999999996E-3</v>
      </c>
      <c r="I74" s="3062">
        <v>0.1</v>
      </c>
      <c r="J74" s="1000">
        <f t="shared" si="18"/>
        <v>9.7999999999999997E-3</v>
      </c>
      <c r="K74" s="1000">
        <f t="shared" si="19"/>
        <v>4.8999999999999998E-3</v>
      </c>
      <c r="L74" s="1000">
        <v>0</v>
      </c>
      <c r="M74" s="1000">
        <f t="shared" si="20"/>
        <v>-4.8999999999999998E-3</v>
      </c>
      <c r="N74" s="1000">
        <f t="shared" si="20"/>
        <v>-9.7999999999999997E-3</v>
      </c>
      <c r="O74" s="1055"/>
      <c r="P74" s="1055"/>
      <c r="Q74" s="1055"/>
      <c r="AA74" s="1975"/>
      <c r="AB74" s="1056"/>
      <c r="AC74" s="1056"/>
      <c r="AD74" s="1056"/>
      <c r="AE74" s="1056"/>
      <c r="AF74" s="1056"/>
      <c r="AG74" s="1056"/>
      <c r="AH74" s="1975"/>
      <c r="AI74" s="1975"/>
      <c r="AJ74" s="1975"/>
      <c r="AK74" s="1975"/>
    </row>
    <row r="75" spans="1:37" ht="14.25">
      <c r="A75" s="1965" t="s">
        <v>2064</v>
      </c>
      <c r="B75" s="1260">
        <f>估价对象房地状况!C24</f>
        <v>0</v>
      </c>
      <c r="C75" s="1882" t="s">
        <v>3407</v>
      </c>
      <c r="D75" s="1001">
        <f t="shared" si="16"/>
        <v>0</v>
      </c>
      <c r="E75" s="704"/>
      <c r="F75" s="1673"/>
      <c r="G75" s="999">
        <v>2.3999999999999998E-3</v>
      </c>
      <c r="H75" s="1002">
        <f t="shared" si="17"/>
        <v>2.8999999999999998E-3</v>
      </c>
      <c r="I75" s="3062">
        <v>0.05</v>
      </c>
      <c r="J75" s="1000">
        <f t="shared" si="18"/>
        <v>4.7999999999999996E-3</v>
      </c>
      <c r="K75" s="1000">
        <f t="shared" si="19"/>
        <v>2.3999999999999998E-3</v>
      </c>
      <c r="L75" s="1000">
        <v>0</v>
      </c>
      <c r="M75" s="1000">
        <f t="shared" si="20"/>
        <v>-2.3999999999999998E-3</v>
      </c>
      <c r="N75" s="1000">
        <f t="shared" si="20"/>
        <v>-4.7999999999999996E-3</v>
      </c>
      <c r="O75" s="1055"/>
      <c r="P75" s="1055"/>
      <c r="Q75" s="1839"/>
      <c r="Z75" s="1840"/>
      <c r="AA75" s="1890"/>
      <c r="AG75" s="1057"/>
      <c r="AK75" s="1890"/>
    </row>
    <row r="76" spans="1:37" ht="165.75">
      <c r="A76" s="1965" t="s">
        <v>2056</v>
      </c>
      <c r="B76" s="1238" t="str">
        <f>估价对象房地状况!C21</f>
        <v>银行：中国农业银行、中国建设银行、中国邮政储蓄银行等金融机构；
医院：天通苑中医医院、天通苑东二区社区卫生服务站等医疗机构；
学校：北京市朝阳外国语学校(高中部)、天通苑小学、昌平区育树家幼儿园等教育机构；
商业：国泰百货(天通苑店)、龙德广场等商业设施；
综合评价公共服务设施齐备度较好。</v>
      </c>
      <c r="C76" s="1882" t="s">
        <v>3406</v>
      </c>
      <c r="D76" s="1001">
        <f t="shared" si="16"/>
        <v>3.8999999999999998E-3</v>
      </c>
      <c r="E76" s="704"/>
      <c r="F76" s="1673"/>
      <c r="G76" s="999">
        <v>3.8999999999999998E-3</v>
      </c>
      <c r="H76" s="1002">
        <f t="shared" si="17"/>
        <v>4.5999999999999999E-3</v>
      </c>
      <c r="I76" s="3062">
        <v>0.08</v>
      </c>
      <c r="J76" s="1000">
        <f t="shared" si="18"/>
        <v>7.7999999999999996E-3</v>
      </c>
      <c r="K76" s="1000">
        <f t="shared" si="19"/>
        <v>3.8999999999999998E-3</v>
      </c>
      <c r="L76" s="1000">
        <v>0</v>
      </c>
      <c r="M76" s="1000">
        <f t="shared" si="20"/>
        <v>-3.8999999999999998E-3</v>
      </c>
      <c r="N76" s="1000">
        <f t="shared" si="20"/>
        <v>-7.7999999999999996E-3</v>
      </c>
      <c r="O76" s="1055"/>
      <c r="P76" s="1055"/>
      <c r="Z76" s="1840"/>
      <c r="AA76" s="1890"/>
      <c r="AG76" s="1057"/>
      <c r="AK76" s="1890"/>
    </row>
    <row r="77" spans="1:37" ht="25.5">
      <c r="A77" s="1965" t="s">
        <v>2057</v>
      </c>
      <c r="B77" s="1238" t="str">
        <f>估价对象房地状况!C22</f>
        <v>估价对象所在区域基础设施水平</v>
      </c>
      <c r="C77" s="1882" t="s">
        <v>3408</v>
      </c>
      <c r="D77" s="1001">
        <f t="shared" si="16"/>
        <v>8.8000000000000005E-3</v>
      </c>
      <c r="E77" s="704"/>
      <c r="F77" s="1673"/>
      <c r="G77" s="999">
        <v>4.4000000000000003E-3</v>
      </c>
      <c r="H77" s="1002">
        <f t="shared" si="17"/>
        <v>5.1999999999999998E-3</v>
      </c>
      <c r="I77" s="3062">
        <v>0.09</v>
      </c>
      <c r="J77" s="1000">
        <f t="shared" si="18"/>
        <v>8.8000000000000005E-3</v>
      </c>
      <c r="K77" s="1000">
        <f t="shared" si="19"/>
        <v>4.4000000000000003E-3</v>
      </c>
      <c r="L77" s="1000">
        <v>0</v>
      </c>
      <c r="M77" s="1000">
        <f t="shared" si="20"/>
        <v>-4.4000000000000003E-3</v>
      </c>
      <c r="N77" s="1000">
        <f t="shared" si="20"/>
        <v>-8.8000000000000005E-3</v>
      </c>
      <c r="O77" s="1055"/>
      <c r="P77" s="1055"/>
      <c r="Z77" s="1840"/>
      <c r="AA77" s="1890"/>
      <c r="AG77" s="1057"/>
      <c r="AK77" s="1890"/>
    </row>
    <row r="78" spans="1:37" ht="24">
      <c r="A78" s="1965" t="s">
        <v>2054</v>
      </c>
      <c r="B78" s="1970" t="s">
        <v>2055</v>
      </c>
      <c r="C78" s="1882" t="s">
        <v>3406</v>
      </c>
      <c r="D78" s="1001">
        <f t="shared" si="16"/>
        <v>2.3999999999999998E-3</v>
      </c>
      <c r="E78" s="704"/>
      <c r="F78" s="1673"/>
      <c r="G78" s="999">
        <v>2.3999999999999998E-3</v>
      </c>
      <c r="H78" s="1002">
        <f t="shared" si="17"/>
        <v>2.8999999999999998E-3</v>
      </c>
      <c r="I78" s="3062">
        <v>0.05</v>
      </c>
      <c r="J78" s="1000">
        <f t="shared" si="18"/>
        <v>4.7999999999999996E-3</v>
      </c>
      <c r="K78" s="1000">
        <f t="shared" si="19"/>
        <v>2.3999999999999998E-3</v>
      </c>
      <c r="L78" s="1000">
        <v>0</v>
      </c>
      <c r="M78" s="1000">
        <f t="shared" si="20"/>
        <v>-2.3999999999999998E-3</v>
      </c>
      <c r="N78" s="1000">
        <f t="shared" si="20"/>
        <v>-4.7999999999999996E-3</v>
      </c>
      <c r="O78" s="1839"/>
      <c r="P78" s="1839"/>
      <c r="Z78" s="1840"/>
      <c r="AA78" s="1890"/>
      <c r="AG78" s="1057"/>
      <c r="AK78" s="1890"/>
    </row>
    <row r="79" spans="1:37" ht="76.5">
      <c r="A79" s="1965" t="s">
        <v>2058</v>
      </c>
      <c r="B79" s="1968" t="str">
        <f>估价对象房地状况!C20</f>
        <v>自然环境：清河营郊野公园、清河水系等自然景观；
人文环境：天通苑体育馆、天通苑文化艺术中心等人文场所；
综合评价环境状况较好。</v>
      </c>
      <c r="C79" s="1882" t="s">
        <v>3407</v>
      </c>
      <c r="D79" s="1001">
        <f t="shared" si="16"/>
        <v>0</v>
      </c>
      <c r="E79" s="704"/>
      <c r="F79" s="1673"/>
      <c r="G79" s="999">
        <v>5.7999999999999996E-3</v>
      </c>
      <c r="H79" s="1002">
        <f t="shared" si="17"/>
        <v>7.0000000000000001E-3</v>
      </c>
      <c r="I79" s="3062">
        <v>0.12</v>
      </c>
      <c r="J79" s="1000">
        <f t="shared" si="18"/>
        <v>1.1599999999999999E-2</v>
      </c>
      <c r="K79" s="1000">
        <f t="shared" si="19"/>
        <v>5.7999999999999996E-3</v>
      </c>
      <c r="L79" s="1000">
        <v>0</v>
      </c>
      <c r="M79" s="1000">
        <f t="shared" si="20"/>
        <v>-5.7999999999999996E-3</v>
      </c>
      <c r="N79" s="1000">
        <f t="shared" si="20"/>
        <v>-1.1599999999999999E-2</v>
      </c>
      <c r="Z79" s="1840"/>
      <c r="AA79" s="1890"/>
      <c r="AG79" s="1057"/>
      <c r="AK79" s="1890"/>
    </row>
    <row r="80" spans="1:37" ht="24.75" thickBot="1">
      <c r="A80" s="1972" t="s">
        <v>2065</v>
      </c>
      <c r="B80" s="1976"/>
      <c r="C80" s="1882" t="s">
        <v>3406</v>
      </c>
      <c r="D80" s="1001">
        <f t="shared" si="16"/>
        <v>2.3999999999999998E-3</v>
      </c>
      <c r="E80" s="705"/>
      <c r="F80" s="1673"/>
      <c r="G80" s="999">
        <v>2.3999999999999998E-3</v>
      </c>
      <c r="H80" s="1002">
        <f t="shared" si="17"/>
        <v>2.8999999999999998E-3</v>
      </c>
      <c r="I80" s="3063">
        <v>0.05</v>
      </c>
      <c r="J80" s="1000">
        <f t="shared" si="18"/>
        <v>4.7999999999999996E-3</v>
      </c>
      <c r="K80" s="1000">
        <f t="shared" si="19"/>
        <v>2.3999999999999998E-3</v>
      </c>
      <c r="L80" s="1000">
        <v>0</v>
      </c>
      <c r="M80" s="1000">
        <f t="shared" si="20"/>
        <v>-2.3999999999999998E-3</v>
      </c>
      <c r="N80" s="1000">
        <f t="shared" si="20"/>
        <v>-4.7999999999999996E-3</v>
      </c>
      <c r="Z80" s="1840"/>
      <c r="AA80" s="1890"/>
      <c r="AG80" s="1057"/>
      <c r="AK80" s="1890"/>
    </row>
    <row r="81" spans="1:37" ht="15">
      <c r="A81" s="1962" t="s">
        <v>2066</v>
      </c>
      <c r="B81" s="1963">
        <f>1+E83</f>
        <v>1</v>
      </c>
      <c r="C81" s="698"/>
      <c r="D81" s="698"/>
      <c r="E81" s="699"/>
      <c r="F81" s="1964"/>
      <c r="G81" s="3"/>
      <c r="H81" s="3"/>
      <c r="I81" s="3"/>
      <c r="J81" s="4"/>
      <c r="K81" s="4"/>
      <c r="L81" s="4"/>
      <c r="M81" s="4"/>
      <c r="N81" s="4"/>
      <c r="Z81" s="1840"/>
      <c r="AA81" s="1890"/>
      <c r="AG81" s="1057"/>
      <c r="AK81" s="1890"/>
    </row>
    <row r="82" spans="1:37" ht="24.75">
      <c r="A82" s="1965" t="s">
        <v>2041</v>
      </c>
      <c r="B82" s="1260"/>
      <c r="C82" s="1260" t="s">
        <v>2043</v>
      </c>
      <c r="D82" s="1260" t="s">
        <v>2044</v>
      </c>
      <c r="E82" s="700" t="s">
        <v>2045</v>
      </c>
      <c r="F82" s="1966" t="s">
        <v>2060</v>
      </c>
      <c r="G82" s="1260" t="s">
        <v>310</v>
      </c>
      <c r="H82" s="1967" t="s">
        <v>2047</v>
      </c>
      <c r="I82" s="1260" t="s">
        <v>2048</v>
      </c>
      <c r="J82" s="529" t="s">
        <v>1719</v>
      </c>
      <c r="K82" s="529" t="s">
        <v>1720</v>
      </c>
      <c r="L82" s="529" t="s">
        <v>1721</v>
      </c>
      <c r="M82" s="529" t="s">
        <v>1722</v>
      </c>
      <c r="N82" s="529" t="s">
        <v>1723</v>
      </c>
      <c r="Z82" s="1840"/>
      <c r="AA82" s="1890"/>
      <c r="AG82" s="1057"/>
      <c r="AK82" s="1890"/>
    </row>
    <row r="83" spans="1:37" ht="38.25">
      <c r="A83" s="1965" t="s">
        <v>2067</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2">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2050</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2">
        <v>0.3</v>
      </c>
      <c r="J84" s="1000">
        <f t="shared" si="23"/>
        <v>0</v>
      </c>
      <c r="K84" s="1000">
        <f t="shared" si="24"/>
        <v>0</v>
      </c>
      <c r="L84" s="1000">
        <v>0</v>
      </c>
      <c r="M84" s="1000">
        <f t="shared" si="25"/>
        <v>0</v>
      </c>
      <c r="N84" s="1000">
        <f t="shared" si="25"/>
        <v>0</v>
      </c>
      <c r="Z84" s="1840"/>
      <c r="AA84" s="1890"/>
      <c r="AG84" s="1057"/>
      <c r="AK84" s="1890"/>
    </row>
    <row r="85" spans="1:37" ht="36">
      <c r="A85" s="3064" t="s">
        <v>3270</v>
      </c>
      <c r="B85" s="1260">
        <f>估价对象房地状况!G17</f>
        <v>0</v>
      </c>
      <c r="C85" s="1882"/>
      <c r="D85" s="1001">
        <f t="shared" si="21"/>
        <v>0</v>
      </c>
      <c r="E85" s="704"/>
      <c r="F85" s="1673"/>
      <c r="G85" s="999"/>
      <c r="H85" s="1002" t="str">
        <f t="shared" si="22"/>
        <v>——</v>
      </c>
      <c r="I85" s="3062">
        <v>0.1</v>
      </c>
      <c r="J85" s="1000">
        <f t="shared" si="23"/>
        <v>0</v>
      </c>
      <c r="K85" s="1000">
        <f t="shared" si="24"/>
        <v>0</v>
      </c>
      <c r="L85" s="1000">
        <v>0</v>
      </c>
      <c r="M85" s="1000">
        <f t="shared" si="25"/>
        <v>0</v>
      </c>
      <c r="N85" s="1000">
        <f t="shared" si="25"/>
        <v>0</v>
      </c>
      <c r="Z85" s="1840"/>
      <c r="AA85" s="1890"/>
      <c r="AG85" s="1057"/>
      <c r="AK85" s="1890"/>
    </row>
    <row r="86" spans="1:37" ht="14.25">
      <c r="A86" s="1965" t="s">
        <v>2064</v>
      </c>
      <c r="B86" s="1260">
        <f>估价对象房地状况!G22</f>
        <v>0</v>
      </c>
      <c r="C86" s="1882"/>
      <c r="D86" s="1001">
        <f t="shared" si="21"/>
        <v>0</v>
      </c>
      <c r="E86" s="704"/>
      <c r="F86" s="1673"/>
      <c r="G86" s="999"/>
      <c r="H86" s="1002" t="str">
        <f t="shared" si="22"/>
        <v>——</v>
      </c>
      <c r="I86" s="3062">
        <v>0.05</v>
      </c>
      <c r="J86" s="1000">
        <f t="shared" si="23"/>
        <v>0</v>
      </c>
      <c r="K86" s="1000">
        <f t="shared" si="24"/>
        <v>0</v>
      </c>
      <c r="L86" s="1000">
        <v>0</v>
      </c>
      <c r="M86" s="1000">
        <f t="shared" si="25"/>
        <v>0</v>
      </c>
      <c r="N86" s="1000">
        <f t="shared" si="25"/>
        <v>0</v>
      </c>
      <c r="Z86" s="1840"/>
      <c r="AA86" s="1890"/>
      <c r="AG86" s="1057"/>
      <c r="AK86" s="1890"/>
    </row>
    <row r="87" spans="1:37" ht="25.5">
      <c r="A87" s="1965" t="s">
        <v>2056</v>
      </c>
      <c r="B87" s="1238" t="str">
        <f>估价对象房地状况!G19</f>
        <v>估价对象所在区域公共配套设施齐备情况</v>
      </c>
      <c r="C87" s="1882"/>
      <c r="D87" s="1001">
        <f t="shared" si="21"/>
        <v>0</v>
      </c>
      <c r="E87" s="704"/>
      <c r="F87" s="1673"/>
      <c r="G87" s="999"/>
      <c r="H87" s="1002" t="str">
        <f t="shared" si="22"/>
        <v>——</v>
      </c>
      <c r="I87" s="3062">
        <v>0.06</v>
      </c>
      <c r="J87" s="1000">
        <f t="shared" si="23"/>
        <v>0</v>
      </c>
      <c r="K87" s="1000">
        <f t="shared" si="24"/>
        <v>0</v>
      </c>
      <c r="L87" s="1000">
        <v>0</v>
      </c>
      <c r="M87" s="1000">
        <f t="shared" si="25"/>
        <v>0</v>
      </c>
      <c r="N87" s="1000">
        <f t="shared" si="25"/>
        <v>0</v>
      </c>
    </row>
    <row r="88" spans="1:37" ht="25.5">
      <c r="A88" s="1965" t="s">
        <v>2057</v>
      </c>
      <c r="B88" s="1238" t="str">
        <f>估价对象房地状况!G20</f>
        <v>估价对象所在区域基础设施水平</v>
      </c>
      <c r="C88" s="1882"/>
      <c r="D88" s="1001">
        <f t="shared" si="21"/>
        <v>0</v>
      </c>
      <c r="E88" s="704"/>
      <c r="F88" s="1673"/>
      <c r="G88" s="999"/>
      <c r="H88" s="1002" t="str">
        <f t="shared" si="22"/>
        <v>——</v>
      </c>
      <c r="I88" s="3062">
        <v>0.12</v>
      </c>
      <c r="J88" s="1000">
        <f t="shared" si="23"/>
        <v>0</v>
      </c>
      <c r="K88" s="1000">
        <f t="shared" si="24"/>
        <v>0</v>
      </c>
      <c r="L88" s="1000">
        <v>0</v>
      </c>
      <c r="M88" s="1000">
        <f t="shared" si="25"/>
        <v>0</v>
      </c>
      <c r="N88" s="1000">
        <f t="shared" si="25"/>
        <v>0</v>
      </c>
    </row>
    <row r="89" spans="1:37" ht="24">
      <c r="A89" s="1965" t="s">
        <v>2054</v>
      </c>
      <c r="B89" s="1970" t="s">
        <v>2068</v>
      </c>
      <c r="C89" s="1882"/>
      <c r="D89" s="1001">
        <f t="shared" si="21"/>
        <v>0</v>
      </c>
      <c r="E89" s="704"/>
      <c r="F89" s="1673"/>
      <c r="G89" s="999"/>
      <c r="H89" s="1002" t="str">
        <f t="shared" si="22"/>
        <v>——</v>
      </c>
      <c r="I89" s="3062">
        <v>0.06</v>
      </c>
      <c r="J89" s="1000">
        <f t="shared" si="23"/>
        <v>0</v>
      </c>
      <c r="K89" s="1000">
        <f t="shared" si="24"/>
        <v>0</v>
      </c>
      <c r="L89" s="1000">
        <v>0</v>
      </c>
      <c r="M89" s="1000">
        <f t="shared" si="25"/>
        <v>0</v>
      </c>
      <c r="N89" s="1000">
        <f t="shared" si="25"/>
        <v>0</v>
      </c>
    </row>
    <row r="90" spans="1:37" ht="39" thickBot="1">
      <c r="A90" s="1972" t="s">
        <v>2069</v>
      </c>
      <c r="B90" s="1977" t="str">
        <f>估价对象房地状况!G18</f>
        <v>该园区内是否有污染型企业，绿化情况，卫生条件，整体环境状况判断</v>
      </c>
      <c r="C90" s="1882"/>
      <c r="D90" s="1001">
        <f t="shared" si="21"/>
        <v>0</v>
      </c>
      <c r="E90" s="705"/>
      <c r="F90" s="1673"/>
      <c r="G90" s="999"/>
      <c r="H90" s="1002" t="str">
        <f t="shared" si="22"/>
        <v>——</v>
      </c>
      <c r="I90" s="3063">
        <v>0.05</v>
      </c>
      <c r="J90" s="1000">
        <f t="shared" si="23"/>
        <v>0</v>
      </c>
      <c r="K90" s="1000">
        <f t="shared" si="24"/>
        <v>0</v>
      </c>
      <c r="L90" s="1000">
        <v>0</v>
      </c>
      <c r="M90" s="1000">
        <f t="shared" si="25"/>
        <v>0</v>
      </c>
      <c r="N90" s="1000">
        <f t="shared" si="25"/>
        <v>0</v>
      </c>
    </row>
    <row r="91" spans="1:37" ht="15">
      <c r="A91" s="3072" t="s">
        <v>2610</v>
      </c>
      <c r="B91" s="3073">
        <f>1+E93</f>
        <v>1</v>
      </c>
      <c r="C91" s="3066"/>
      <c r="D91" s="3067"/>
      <c r="E91" s="1673"/>
      <c r="F91" s="1673"/>
      <c r="G91" s="3068"/>
      <c r="H91" s="3069"/>
      <c r="I91" s="3070"/>
      <c r="J91" s="3071"/>
      <c r="K91" s="3071"/>
      <c r="L91" s="3071"/>
      <c r="M91" s="3071"/>
      <c r="N91" s="3071"/>
    </row>
    <row r="92" spans="1:37" ht="24.75">
      <c r="A92" s="3074" t="s">
        <v>3271</v>
      </c>
      <c r="B92" s="2304"/>
      <c r="C92" s="2304" t="s">
        <v>3280</v>
      </c>
      <c r="D92" s="2304" t="s">
        <v>3281</v>
      </c>
      <c r="E92" s="3046" t="s">
        <v>3282</v>
      </c>
      <c r="F92" s="3076" t="s">
        <v>3283</v>
      </c>
      <c r="G92" s="2304" t="s">
        <v>3284</v>
      </c>
      <c r="H92" s="3083" t="s">
        <v>3287</v>
      </c>
      <c r="I92" s="2304" t="s">
        <v>3288</v>
      </c>
      <c r="J92" s="2145" t="s">
        <v>3289</v>
      </c>
      <c r="K92" s="2145" t="s">
        <v>3290</v>
      </c>
      <c r="L92" s="2145" t="s">
        <v>3291</v>
      </c>
      <c r="M92" s="2145" t="s">
        <v>3292</v>
      </c>
      <c r="N92" s="2145" t="s">
        <v>3293</v>
      </c>
    </row>
    <row r="93" spans="1:37" ht="24">
      <c r="A93" s="3064" t="s">
        <v>3272</v>
      </c>
      <c r="B93" s="1219"/>
      <c r="C93" s="1882"/>
      <c r="D93" s="2304">
        <f>SUMIF($J$92:$N$92,C93,J93:N93)</f>
        <v>0</v>
      </c>
      <c r="E93" s="3077">
        <f>ROUND(SUM(D93:D101),4)</f>
        <v>0</v>
      </c>
      <c r="F93" s="1673" t="str">
        <f>IF(E2="公共服务",SUMIF(L1:L12,G2,N1:N12),"——")</f>
        <v>——</v>
      </c>
      <c r="G93" s="3068"/>
      <c r="H93" s="3113" t="str">
        <f>IFERROR(ROUNDDOWN($F$93*I93/2,4),"——")</f>
        <v>——</v>
      </c>
      <c r="I93" s="3062">
        <v>0.25</v>
      </c>
      <c r="J93" s="1907">
        <f t="shared" ref="J93:J101" si="26">K93+$G93</f>
        <v>0</v>
      </c>
      <c r="K93" s="1907">
        <f t="shared" ref="K93:K101" si="27">$L93+$G93</f>
        <v>0</v>
      </c>
      <c r="L93" s="1907">
        <v>0</v>
      </c>
      <c r="M93" s="1907">
        <f t="shared" ref="M93:N101" si="28">L93-$G93</f>
        <v>0</v>
      </c>
      <c r="N93" s="1907">
        <f t="shared" si="28"/>
        <v>0</v>
      </c>
    </row>
    <row r="94" spans="1:37" ht="51">
      <c r="A94" s="3074" t="s">
        <v>3273</v>
      </c>
      <c r="B94" s="3065" t="str">
        <f>估价对象房地状况!C18</f>
        <v>周边有301路、432路、530路、620路等多条公交线路及地铁17号线天通苑东站，综合评价交通便捷度较好</v>
      </c>
      <c r="C94" s="1882"/>
      <c r="D94" s="2304">
        <f t="shared" ref="D94:D101" si="29">SUMIF($J$60:$N$60,C94,J94:N94)</f>
        <v>0</v>
      </c>
      <c r="E94" s="3078"/>
      <c r="F94" s="1673"/>
      <c r="G94" s="3068"/>
      <c r="H94" s="3113" t="str">
        <f>IFERROR(ROUNDDOWN($F$93*I94/2,4),"——")</f>
        <v>——</v>
      </c>
      <c r="I94" s="3062">
        <v>0.26</v>
      </c>
      <c r="J94" s="1907">
        <f t="shared" si="26"/>
        <v>0</v>
      </c>
      <c r="K94" s="1907">
        <f t="shared" si="27"/>
        <v>0</v>
      </c>
      <c r="L94" s="1907">
        <v>0</v>
      </c>
      <c r="M94" s="1907">
        <f t="shared" si="28"/>
        <v>0</v>
      </c>
      <c r="N94" s="1907">
        <f t="shared" si="28"/>
        <v>0</v>
      </c>
    </row>
    <row r="95" spans="1:37" ht="36">
      <c r="A95" s="3064" t="s">
        <v>3269</v>
      </c>
      <c r="B95" s="3065">
        <f>估价对象房地状况!C19</f>
        <v>0</v>
      </c>
      <c r="C95" s="1882"/>
      <c r="D95" s="2304">
        <f t="shared" si="29"/>
        <v>0</v>
      </c>
      <c r="E95" s="3078"/>
      <c r="F95" s="1673"/>
      <c r="G95" s="3068"/>
      <c r="H95" s="3113" t="str">
        <f t="shared" ref="H95:H101" si="30">IFERROR(ROUNDDOWN($F$93*I95/2,4),"——")</f>
        <v>——</v>
      </c>
      <c r="I95" s="3062">
        <v>0.11</v>
      </c>
      <c r="J95" s="1907">
        <f t="shared" si="26"/>
        <v>0</v>
      </c>
      <c r="K95" s="1907">
        <f t="shared" si="27"/>
        <v>0</v>
      </c>
      <c r="L95" s="1907">
        <v>0</v>
      </c>
      <c r="M95" s="1907">
        <f t="shared" si="28"/>
        <v>0</v>
      </c>
      <c r="N95" s="1907">
        <f t="shared" si="28"/>
        <v>0</v>
      </c>
    </row>
    <row r="96" spans="1:37" ht="36.75">
      <c r="A96" s="3074" t="s">
        <v>3274</v>
      </c>
      <c r="B96" s="3080" t="s">
        <v>3285</v>
      </c>
      <c r="C96" s="1882"/>
      <c r="D96" s="2304">
        <f t="shared" si="29"/>
        <v>0</v>
      </c>
      <c r="E96" s="3078"/>
      <c r="F96" s="1673"/>
      <c r="G96" s="3068"/>
      <c r="H96" s="3113" t="str">
        <f t="shared" si="30"/>
        <v>——</v>
      </c>
      <c r="I96" s="3062">
        <v>0.05</v>
      </c>
      <c r="J96" s="1907">
        <f t="shared" si="26"/>
        <v>0</v>
      </c>
      <c r="K96" s="1907">
        <f t="shared" si="27"/>
        <v>0</v>
      </c>
      <c r="L96" s="1907">
        <v>0</v>
      </c>
      <c r="M96" s="1907">
        <f t="shared" si="28"/>
        <v>0</v>
      </c>
      <c r="N96" s="1907">
        <f t="shared" si="28"/>
        <v>0</v>
      </c>
    </row>
    <row r="97" spans="1:14" ht="24">
      <c r="A97" s="3074" t="s">
        <v>3275</v>
      </c>
      <c r="B97" s="3065">
        <f>估价对象房地状况!C24</f>
        <v>0</v>
      </c>
      <c r="C97" s="1882"/>
      <c r="D97" s="2304">
        <f t="shared" si="29"/>
        <v>0</v>
      </c>
      <c r="E97" s="3078"/>
      <c r="F97" s="1673"/>
      <c r="G97" s="3068"/>
      <c r="H97" s="3113" t="str">
        <f t="shared" si="30"/>
        <v>——</v>
      </c>
      <c r="I97" s="3062">
        <v>0.05</v>
      </c>
      <c r="J97" s="1907">
        <f t="shared" si="26"/>
        <v>0</v>
      </c>
      <c r="K97" s="1907">
        <f t="shared" si="27"/>
        <v>0</v>
      </c>
      <c r="L97" s="1907">
        <v>0</v>
      </c>
      <c r="M97" s="1907">
        <f t="shared" si="28"/>
        <v>0</v>
      </c>
      <c r="N97" s="1907">
        <f t="shared" si="28"/>
        <v>0</v>
      </c>
    </row>
    <row r="98" spans="1:14" ht="24">
      <c r="A98" s="3074" t="s">
        <v>3276</v>
      </c>
      <c r="B98" s="3081" t="s">
        <v>3286</v>
      </c>
      <c r="C98" s="1882"/>
      <c r="D98" s="2304">
        <f t="shared" si="29"/>
        <v>0</v>
      </c>
      <c r="E98" s="3078"/>
      <c r="F98" s="1673"/>
      <c r="G98" s="3068"/>
      <c r="H98" s="3113" t="str">
        <f t="shared" si="30"/>
        <v>——</v>
      </c>
      <c r="I98" s="3062">
        <v>0.06</v>
      </c>
      <c r="J98" s="1907">
        <f t="shared" si="26"/>
        <v>0</v>
      </c>
      <c r="K98" s="1907">
        <f t="shared" si="27"/>
        <v>0</v>
      </c>
      <c r="L98" s="1907">
        <v>0</v>
      </c>
      <c r="M98" s="1907">
        <f t="shared" si="28"/>
        <v>0</v>
      </c>
      <c r="N98" s="1907">
        <f t="shared" si="28"/>
        <v>0</v>
      </c>
    </row>
    <row r="99" spans="1:14" ht="165.75">
      <c r="A99" s="3074" t="s">
        <v>3277</v>
      </c>
      <c r="B99" s="3065" t="str">
        <f>估价对象房地状况!C21</f>
        <v>银行：中国农业银行、中国建设银行、中国邮政储蓄银行等金融机构；
医院：天通苑中医医院、天通苑东二区社区卫生服务站等医疗机构；
学校：北京市朝阳外国语学校(高中部)、天通苑小学、昌平区育树家幼儿园等教育机构；
商业：国泰百货(天通苑店)、龙德广场等商业设施；
综合评价公共服务设施齐备度较好。</v>
      </c>
      <c r="C99" s="1882"/>
      <c r="D99" s="2304">
        <f t="shared" si="29"/>
        <v>0</v>
      </c>
      <c r="E99" s="3078"/>
      <c r="F99" s="1673"/>
      <c r="G99" s="3068"/>
      <c r="H99" s="3113" t="str">
        <f t="shared" si="30"/>
        <v>——</v>
      </c>
      <c r="I99" s="3062">
        <v>0.06</v>
      </c>
      <c r="J99" s="1907">
        <f t="shared" si="26"/>
        <v>0</v>
      </c>
      <c r="K99" s="1907">
        <f t="shared" si="27"/>
        <v>0</v>
      </c>
      <c r="L99" s="1907">
        <v>0</v>
      </c>
      <c r="M99" s="1907">
        <f t="shared" si="28"/>
        <v>0</v>
      </c>
      <c r="N99" s="1907">
        <f t="shared" si="28"/>
        <v>0</v>
      </c>
    </row>
    <row r="100" spans="1:14" ht="25.5">
      <c r="A100" s="3074" t="s">
        <v>3278</v>
      </c>
      <c r="B100" s="3065" t="str">
        <f>估价对象房地状况!C22</f>
        <v>估价对象所在区域基础设施水平</v>
      </c>
      <c r="C100" s="1882"/>
      <c r="D100" s="2304">
        <f t="shared" si="29"/>
        <v>0</v>
      </c>
      <c r="E100" s="3078"/>
      <c r="F100" s="1673"/>
      <c r="G100" s="3068"/>
      <c r="H100" s="3113" t="str">
        <f t="shared" si="30"/>
        <v>——</v>
      </c>
      <c r="I100" s="3062">
        <v>0.09</v>
      </c>
      <c r="J100" s="1907">
        <f t="shared" si="26"/>
        <v>0</v>
      </c>
      <c r="K100" s="1907">
        <f t="shared" si="27"/>
        <v>0</v>
      </c>
      <c r="L100" s="1907">
        <v>0</v>
      </c>
      <c r="M100" s="1907">
        <f t="shared" si="28"/>
        <v>0</v>
      </c>
      <c r="N100" s="1907">
        <f t="shared" si="28"/>
        <v>0</v>
      </c>
    </row>
    <row r="101" spans="1:14" ht="77.25" thickBot="1">
      <c r="A101" s="3075" t="s">
        <v>3279</v>
      </c>
      <c r="B101" s="3082" t="str">
        <f>估价对象房地状况!C20</f>
        <v>自然环境：清河营郊野公园、清河水系等自然景观；
人文环境：天通苑体育馆、天通苑文化艺术中心等人文场所；
综合评价环境状况较好。</v>
      </c>
      <c r="C101" s="1882"/>
      <c r="D101" s="2304">
        <f t="shared" si="29"/>
        <v>0</v>
      </c>
      <c r="E101" s="3079"/>
      <c r="F101" s="1673"/>
      <c r="G101" s="3068"/>
      <c r="H101" s="3113" t="str">
        <f t="shared" si="30"/>
        <v>——</v>
      </c>
      <c r="I101" s="3063">
        <v>7.0000000000000007E-2</v>
      </c>
      <c r="J101" s="1907">
        <f t="shared" si="26"/>
        <v>0</v>
      </c>
      <c r="K101" s="1907">
        <f t="shared" si="27"/>
        <v>0</v>
      </c>
      <c r="L101" s="1907">
        <v>0</v>
      </c>
      <c r="M101" s="1907">
        <f t="shared" si="28"/>
        <v>0</v>
      </c>
      <c r="N101" s="1907">
        <f t="shared" si="28"/>
        <v>0</v>
      </c>
    </row>
    <row r="103" spans="1:14">
      <c r="A103" s="3491" t="s">
        <v>3294</v>
      </c>
      <c r="B103" s="3491"/>
      <c r="C103" s="3491"/>
      <c r="D103" s="3491"/>
      <c r="E103" s="3491"/>
      <c r="F103" s="3491"/>
      <c r="G103" s="3491"/>
      <c r="H103" s="3491"/>
      <c r="I103" s="3491"/>
      <c r="J103" s="3491"/>
      <c r="K103" s="1665"/>
      <c r="L103" s="1665"/>
      <c r="M103" s="1665"/>
      <c r="N103" s="1665"/>
    </row>
    <row r="104" spans="1:14">
      <c r="A104" s="3492" t="s">
        <v>3295</v>
      </c>
      <c r="B104" s="3492" t="s">
        <v>3296</v>
      </c>
      <c r="C104" s="3084" t="s">
        <v>3297</v>
      </c>
      <c r="D104" s="3085"/>
      <c r="E104" s="3085"/>
      <c r="F104" s="3085"/>
      <c r="G104" s="3085"/>
      <c r="H104" s="3085"/>
      <c r="I104" s="3085"/>
      <c r="J104" s="3086"/>
      <c r="K104" s="3087"/>
      <c r="L104" s="3087"/>
      <c r="M104" s="3087"/>
      <c r="N104" s="3087"/>
    </row>
    <row r="105" spans="1:14">
      <c r="A105" s="3492"/>
      <c r="B105" s="3492"/>
      <c r="C105" s="3088" t="s">
        <v>3298</v>
      </c>
      <c r="D105" s="3088" t="s">
        <v>3299</v>
      </c>
      <c r="E105" s="3088" t="s">
        <v>3300</v>
      </c>
      <c r="F105" s="3088" t="s">
        <v>3301</v>
      </c>
      <c r="G105" s="3088" t="s">
        <v>3302</v>
      </c>
      <c r="H105" s="3088" t="s">
        <v>3303</v>
      </c>
      <c r="I105" s="3088" t="s">
        <v>3304</v>
      </c>
      <c r="J105" s="3088" t="s">
        <v>3305</v>
      </c>
      <c r="K105" s="3088" t="s">
        <v>3306</v>
      </c>
      <c r="L105" s="3088" t="s">
        <v>3307</v>
      </c>
      <c r="M105" s="3088" t="s">
        <v>3308</v>
      </c>
      <c r="N105" s="3088" t="s">
        <v>3309</v>
      </c>
    </row>
    <row r="106" spans="1:14">
      <c r="A106" s="3478" t="s">
        <v>3310</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79"/>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79"/>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79"/>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79"/>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79"/>
      <c r="B111" s="3088" t="s">
        <v>3268</v>
      </c>
      <c r="C111" s="3089">
        <f>$I$3</f>
        <v>0</v>
      </c>
      <c r="D111" s="3089">
        <f t="shared" ref="D111:M111" si="31">$I$3</f>
        <v>0</v>
      </c>
      <c r="E111" s="3089">
        <f t="shared" si="31"/>
        <v>0</v>
      </c>
      <c r="F111" s="3089">
        <f t="shared" si="31"/>
        <v>0</v>
      </c>
      <c r="G111" s="3089">
        <f t="shared" si="31"/>
        <v>0</v>
      </c>
      <c r="H111" s="3089">
        <f t="shared" si="31"/>
        <v>0</v>
      </c>
      <c r="I111" s="3089">
        <f t="shared" si="31"/>
        <v>0</v>
      </c>
      <c r="J111" s="3089">
        <f t="shared" si="31"/>
        <v>0</v>
      </c>
      <c r="K111" s="3089">
        <f t="shared" si="31"/>
        <v>0</v>
      </c>
      <c r="L111" s="3089">
        <f t="shared" si="31"/>
        <v>0</v>
      </c>
      <c r="M111" s="3089">
        <f t="shared" si="31"/>
        <v>0</v>
      </c>
      <c r="N111" s="3089">
        <f>$I$3</f>
        <v>0</v>
      </c>
    </row>
    <row r="112" spans="1:14">
      <c r="A112" s="3480"/>
      <c r="B112" s="3088">
        <v>6</v>
      </c>
      <c r="C112" s="3083">
        <f>(-0.5556*(C111^2)-0.2719*C111+8944)*(10^(-4))</f>
        <v>0.89440000000000008</v>
      </c>
      <c r="D112" s="3083">
        <f>(-0.5556*(D111^2)-0.2719*D111+8944)*(10^(-4))</f>
        <v>0.89440000000000008</v>
      </c>
      <c r="E112" s="3083">
        <f>(-0.7912*(E111^2)-11.3794*E111+8482)*(10^(-4))</f>
        <v>0.84820000000000007</v>
      </c>
      <c r="F112" s="3083">
        <f>(-0.7912*(F111^2)-11.3794*F111+8482)*(10^(-4))</f>
        <v>0.84820000000000007</v>
      </c>
      <c r="G112" s="3083">
        <f>(-0.7912*(G111^2)-11.3794*G111+8482)*(10^(-4))</f>
        <v>0.84820000000000007</v>
      </c>
      <c r="H112" s="3083">
        <f>(-0.7912*(H111^2)-11.3794*H111+8482)*(10^(-4))</f>
        <v>0.84820000000000007</v>
      </c>
      <c r="I112" s="3083">
        <f>(-0.7912*(I111^2)-11.3794*I111+8482)*(10^(-4))</f>
        <v>0.84820000000000007</v>
      </c>
      <c r="J112" s="3083">
        <f>(-0.989*(J111^2)-63.78*J111+7771)*(10^(-4))</f>
        <v>0.77710000000000001</v>
      </c>
      <c r="K112" s="3083">
        <f>(-0.989*(K111^2)-63.78*K111+7771)*(10^(-4))</f>
        <v>0.77710000000000001</v>
      </c>
      <c r="L112" s="3083">
        <f>(-0.989*(L111^2)-63.78*L111+7771)*(10^(-4))</f>
        <v>0.77710000000000001</v>
      </c>
      <c r="M112" s="3083">
        <f>(-0.989*(M111^2)-63.78*M111+7771)*(10^(-4))</f>
        <v>0.77710000000000001</v>
      </c>
      <c r="N112" s="3083">
        <f>(-0.989*(N111^2)-63.78*N111+7771)*(10^(-4))</f>
        <v>0.77710000000000001</v>
      </c>
    </row>
    <row r="113" spans="1:14">
      <c r="A113" s="3481" t="s">
        <v>3311</v>
      </c>
      <c r="B113" s="3481"/>
      <c r="C113" s="3481"/>
      <c r="D113" s="3481"/>
      <c r="E113" s="3481"/>
      <c r="F113" s="3481"/>
      <c r="G113" s="3481"/>
      <c r="H113" s="3481"/>
      <c r="I113" s="3481"/>
      <c r="J113" s="3481"/>
      <c r="K113" s="3090"/>
      <c r="L113" s="3090"/>
      <c r="M113" s="3090"/>
      <c r="N113" s="3090"/>
    </row>
    <row r="114" spans="1:14">
      <c r="A114" s="3091"/>
      <c r="B114" s="3091"/>
      <c r="C114" s="3091"/>
      <c r="D114" s="3091"/>
      <c r="E114" s="3091"/>
      <c r="F114" s="3091"/>
      <c r="G114" s="3091"/>
      <c r="H114" s="3091"/>
      <c r="I114" s="3091"/>
      <c r="J114" s="3091"/>
      <c r="K114" s="1959"/>
      <c r="L114" s="3091"/>
      <c r="M114" s="3091"/>
      <c r="N114" s="3091"/>
    </row>
    <row r="115" spans="1:14" ht="13.5" thickBot="1">
      <c r="A115" s="3091"/>
      <c r="B115" s="3091"/>
      <c r="C115" s="3091"/>
      <c r="D115" s="3091"/>
      <c r="E115" s="3091"/>
      <c r="F115" s="3091"/>
      <c r="G115" s="3091"/>
      <c r="H115" s="3091"/>
      <c r="I115" s="3091"/>
      <c r="J115" s="3091"/>
      <c r="K115" s="1959"/>
      <c r="L115" s="3091"/>
      <c r="M115" s="3091"/>
      <c r="N115" s="3091"/>
    </row>
    <row r="116" spans="1:14" ht="25.5" thickBot="1">
      <c r="A116" s="3092" t="s">
        <v>3312</v>
      </c>
      <c r="B116" s="3108">
        <f>G3</f>
        <v>2.5</v>
      </c>
      <c r="C116" s="3093" t="s">
        <v>3313</v>
      </c>
      <c r="D116" s="3094">
        <f>SUMPRODUCT((A118:A122=F116)*(B117:M117=H116)*B118:M122)</f>
        <v>0.90080000000000005</v>
      </c>
      <c r="E116" s="161" t="s">
        <v>3314</v>
      </c>
      <c r="F116" s="3095" t="str">
        <f>E2</f>
        <v>住宅</v>
      </c>
      <c r="G116" s="161" t="s">
        <v>3315</v>
      </c>
      <c r="H116" s="3095" t="str">
        <f>G2</f>
        <v>六级</v>
      </c>
      <c r="I116" s="161"/>
      <c r="J116" s="3096"/>
      <c r="K116" s="3096"/>
      <c r="L116" s="3096"/>
      <c r="M116" s="3096"/>
      <c r="N116" s="3091"/>
    </row>
    <row r="117" spans="1:14">
      <c r="A117" s="3097"/>
      <c r="B117" s="3098" t="s">
        <v>3316</v>
      </c>
      <c r="C117" s="3098" t="s">
        <v>3317</v>
      </c>
      <c r="D117" s="3098" t="s">
        <v>3318</v>
      </c>
      <c r="E117" s="3099" t="s">
        <v>3319</v>
      </c>
      <c r="F117" s="3099" t="s">
        <v>3320</v>
      </c>
      <c r="G117" s="3099" t="s">
        <v>3321</v>
      </c>
      <c r="H117" s="3100" t="s">
        <v>3322</v>
      </c>
      <c r="I117" s="3100" t="s">
        <v>3323</v>
      </c>
      <c r="J117" s="3101" t="s">
        <v>3324</v>
      </c>
      <c r="K117" s="3101" t="s">
        <v>3325</v>
      </c>
      <c r="L117" s="3101" t="s">
        <v>3326</v>
      </c>
      <c r="M117" s="3102" t="s">
        <v>3327</v>
      </c>
      <c r="N117" s="3091"/>
    </row>
    <row r="118" spans="1:14">
      <c r="A118" s="3051" t="s">
        <v>3328</v>
      </c>
      <c r="B118" s="3083">
        <f>ROUND(0.9968-0.011*B116,4)</f>
        <v>0.96930000000000005</v>
      </c>
      <c r="C118" s="3083">
        <f>B118</f>
        <v>0.96930000000000005</v>
      </c>
      <c r="D118" s="3083">
        <f>ROUND(0.949-0.014*B116,4)</f>
        <v>0.91400000000000003</v>
      </c>
      <c r="E118" s="3083">
        <f>D118</f>
        <v>0.91400000000000003</v>
      </c>
      <c r="F118" s="3083">
        <f>E118</f>
        <v>0.91400000000000003</v>
      </c>
      <c r="G118" s="3083">
        <f>F118</f>
        <v>0.91400000000000003</v>
      </c>
      <c r="H118" s="3083">
        <f>G118</f>
        <v>0.91400000000000003</v>
      </c>
      <c r="I118" s="3083">
        <f>ROUND(0.8486-0.018*B116,4)</f>
        <v>0.80359999999999998</v>
      </c>
      <c r="J118" s="3083">
        <f t="shared" ref="J118:M122" si="32">I118</f>
        <v>0.80359999999999998</v>
      </c>
      <c r="K118" s="3083">
        <f t="shared" si="32"/>
        <v>0.80359999999999998</v>
      </c>
      <c r="L118" s="3083">
        <f t="shared" si="32"/>
        <v>0.80359999999999998</v>
      </c>
      <c r="M118" s="3103">
        <f t="shared" si="32"/>
        <v>0.80359999999999998</v>
      </c>
      <c r="N118" s="3091"/>
    </row>
    <row r="119" spans="1:14">
      <c r="A119" s="3051" t="s">
        <v>3329</v>
      </c>
      <c r="B119" s="3083">
        <f>ROUND(0.993-0.0112*B116,4)</f>
        <v>0.96499999999999997</v>
      </c>
      <c r="C119" s="3083">
        <f>B119</f>
        <v>0.96499999999999997</v>
      </c>
      <c r="D119" s="3083">
        <f>ROUND(0.9415-0.0142*B116,4)</f>
        <v>0.90600000000000003</v>
      </c>
      <c r="E119" s="3083">
        <f t="shared" ref="E119:H120" si="33">D119</f>
        <v>0.90600000000000003</v>
      </c>
      <c r="F119" s="3083">
        <f t="shared" si="33"/>
        <v>0.90600000000000003</v>
      </c>
      <c r="G119" s="3083">
        <f t="shared" si="33"/>
        <v>0.90600000000000003</v>
      </c>
      <c r="H119" s="3083">
        <f t="shared" si="33"/>
        <v>0.90600000000000003</v>
      </c>
      <c r="I119" s="3083">
        <f>ROUND(0.838-0.0182*B116,4)</f>
        <v>0.79249999999999998</v>
      </c>
      <c r="J119" s="3083">
        <f t="shared" si="32"/>
        <v>0.79249999999999998</v>
      </c>
      <c r="K119" s="3083">
        <f t="shared" si="32"/>
        <v>0.79249999999999998</v>
      </c>
      <c r="L119" s="3083">
        <f t="shared" si="32"/>
        <v>0.79249999999999998</v>
      </c>
      <c r="M119" s="3103">
        <f t="shared" si="32"/>
        <v>0.79249999999999998</v>
      </c>
      <c r="N119" s="3091"/>
    </row>
    <row r="120" spans="1:14">
      <c r="A120" s="3051" t="s">
        <v>3330</v>
      </c>
      <c r="B120" s="3083">
        <f>ROUND(0.9448-0.0115*B116,4)</f>
        <v>0.91610000000000003</v>
      </c>
      <c r="C120" s="3083">
        <f>B120</f>
        <v>0.91610000000000003</v>
      </c>
      <c r="D120" s="3083">
        <f>ROUND(0.937-0.0145*B116,4)</f>
        <v>0.90080000000000005</v>
      </c>
      <c r="E120" s="3083">
        <f t="shared" si="33"/>
        <v>0.90080000000000005</v>
      </c>
      <c r="F120" s="3083">
        <f t="shared" si="33"/>
        <v>0.90080000000000005</v>
      </c>
      <c r="G120" s="3083">
        <f t="shared" si="33"/>
        <v>0.90080000000000005</v>
      </c>
      <c r="H120" s="3083">
        <f t="shared" si="33"/>
        <v>0.90080000000000005</v>
      </c>
      <c r="I120" s="3083">
        <f>ROUND(0.7965-0.0185*B116,4)</f>
        <v>0.75029999999999997</v>
      </c>
      <c r="J120" s="3083">
        <f t="shared" si="32"/>
        <v>0.75029999999999997</v>
      </c>
      <c r="K120" s="3083">
        <f t="shared" si="32"/>
        <v>0.75029999999999997</v>
      </c>
      <c r="L120" s="3083">
        <f t="shared" si="32"/>
        <v>0.75029999999999997</v>
      </c>
      <c r="M120" s="3103">
        <f t="shared" si="32"/>
        <v>0.75029999999999997</v>
      </c>
      <c r="N120" s="3091"/>
    </row>
    <row r="121" spans="1:14" ht="13.5" thickBot="1">
      <c r="A121" s="3104" t="s">
        <v>3331</v>
      </c>
      <c r="B121" s="3105">
        <f>ROUND(0.7836-0.012*B116,4)</f>
        <v>0.75360000000000005</v>
      </c>
      <c r="C121" s="3105">
        <f>B121</f>
        <v>0.75360000000000005</v>
      </c>
      <c r="D121" s="3105">
        <f>ROUND(0.753-0.015*B116,4)</f>
        <v>0.71550000000000002</v>
      </c>
      <c r="E121" s="3105">
        <f>D121</f>
        <v>0.71550000000000002</v>
      </c>
      <c r="F121" s="3105">
        <f>E121</f>
        <v>0.71550000000000002</v>
      </c>
      <c r="G121" s="3105">
        <f>ROUND(0.6612-0.018*B116,4)</f>
        <v>0.61619999999999997</v>
      </c>
      <c r="H121" s="3105">
        <f>G121</f>
        <v>0.61619999999999997</v>
      </c>
      <c r="I121" s="3105">
        <f>ROUND(0.5905-0.019*B116,4)</f>
        <v>0.54300000000000004</v>
      </c>
      <c r="J121" s="3105">
        <f t="shared" si="32"/>
        <v>0.54300000000000004</v>
      </c>
      <c r="K121" s="3105">
        <f t="shared" si="32"/>
        <v>0.54300000000000004</v>
      </c>
      <c r="L121" s="3105">
        <f t="shared" si="32"/>
        <v>0.54300000000000004</v>
      </c>
      <c r="M121" s="3106">
        <f t="shared" si="32"/>
        <v>0.54300000000000004</v>
      </c>
      <c r="N121" s="3091"/>
    </row>
    <row r="122" spans="1:14">
      <c r="A122" s="3107" t="s">
        <v>2610</v>
      </c>
      <c r="B122" s="3083">
        <f>ROUND(0.9404-0.0106*B116,4)</f>
        <v>0.91390000000000005</v>
      </c>
      <c r="C122" s="3083">
        <f>B122</f>
        <v>0.91390000000000005</v>
      </c>
      <c r="D122" s="3083">
        <f>ROUND(0.8955-0.0135*B116,4)</f>
        <v>0.86180000000000001</v>
      </c>
      <c r="E122" s="3083">
        <f>D122</f>
        <v>0.86180000000000001</v>
      </c>
      <c r="F122" s="3083">
        <f>E122</f>
        <v>0.86180000000000001</v>
      </c>
      <c r="G122" s="3083">
        <f>F122</f>
        <v>0.86180000000000001</v>
      </c>
      <c r="H122" s="3083">
        <f>G122</f>
        <v>0.86180000000000001</v>
      </c>
      <c r="I122" s="3083">
        <f>ROUND(0.7632-0.0166*B116,4)</f>
        <v>0.72170000000000001</v>
      </c>
      <c r="J122" s="3083">
        <f t="shared" si="32"/>
        <v>0.72170000000000001</v>
      </c>
      <c r="K122" s="3083">
        <f t="shared" si="32"/>
        <v>0.72170000000000001</v>
      </c>
      <c r="L122" s="3083">
        <f t="shared" si="32"/>
        <v>0.72170000000000001</v>
      </c>
      <c r="M122" s="3103">
        <f t="shared" si="32"/>
        <v>0.72170000000000001</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2592</v>
      </c>
      <c r="B1" s="2805" t="s">
        <v>2593</v>
      </c>
      <c r="C1" s="2805" t="s">
        <v>2594</v>
      </c>
      <c r="D1" s="2805" t="s">
        <v>2595</v>
      </c>
      <c r="E1" s="2805" t="s">
        <v>2596</v>
      </c>
      <c r="F1" s="2805" t="s">
        <v>2597</v>
      </c>
      <c r="G1" s="2805" t="s">
        <v>2598</v>
      </c>
      <c r="H1" s="2805" t="s">
        <v>2599</v>
      </c>
      <c r="I1" s="2805" t="s">
        <v>2600</v>
      </c>
      <c r="J1" s="2805" t="s">
        <v>2601</v>
      </c>
      <c r="K1" s="2805" t="s">
        <v>2602</v>
      </c>
      <c r="L1" s="2805" t="s">
        <v>2603</v>
      </c>
      <c r="M1" s="2806" t="s">
        <v>2604</v>
      </c>
    </row>
    <row r="2" spans="1:13" ht="19.5" customHeight="1">
      <c r="A2" s="2808" t="s">
        <v>2605</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2606</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2607</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2608</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2609</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2610</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2611</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2612</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2613</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2614</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2615</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2616</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2617</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2618</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2619</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2620</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SUM(J8:J15)-J13-J14</f>
        <v>185</v>
      </c>
      <c r="K17" s="2759">
        <f>SUM(K8:K15)-K13-K14</f>
        <v>185</v>
      </c>
      <c r="L17" s="2759">
        <f>SUM(L8:L15)-L13-L14</f>
        <v>185</v>
      </c>
      <c r="M17" s="2759">
        <f>SUM(M8:M15)-M13-M14</f>
        <v>185</v>
      </c>
    </row>
    <row r="18" spans="1:13" s="2832" customFormat="1" ht="19.5" customHeight="1">
      <c r="A18" s="2830" t="s">
        <v>2621</v>
      </c>
      <c r="B18" s="2830"/>
      <c r="C18" s="2831"/>
      <c r="D18" s="2831"/>
      <c r="E18" s="2830"/>
      <c r="F18" s="2831"/>
      <c r="G18" s="2831"/>
    </row>
    <row r="19" spans="1:13" ht="19.5" customHeight="1" thickBot="1">
      <c r="A19" s="2828" t="s">
        <v>2622</v>
      </c>
      <c r="B19" s="2833" t="s">
        <v>2623</v>
      </c>
      <c r="C19" s="2833" t="s">
        <v>2624</v>
      </c>
      <c r="D19" s="2834"/>
      <c r="E19" s="2828" t="s">
        <v>2625</v>
      </c>
      <c r="F19" s="2835"/>
      <c r="G19" s="2835"/>
    </row>
    <row r="20" spans="1:13" ht="19.5" customHeight="1">
      <c r="A20" s="3504" t="s">
        <v>2605</v>
      </c>
      <c r="B20" s="3497" t="s">
        <v>2626</v>
      </c>
      <c r="C20" s="2836" t="s">
        <v>2437</v>
      </c>
      <c r="D20" s="2837"/>
      <c r="E20" s="2838">
        <v>1</v>
      </c>
      <c r="F20" s="2839" t="s">
        <v>2438</v>
      </c>
      <c r="G20" s="2839"/>
    </row>
    <row r="21" spans="1:13" ht="19.5" customHeight="1">
      <c r="A21" s="3505"/>
      <c r="B21" s="3498"/>
      <c r="C21" s="2840" t="s">
        <v>2439</v>
      </c>
      <c r="D21" s="2841"/>
      <c r="E21" s="2842">
        <v>1</v>
      </c>
      <c r="F21" s="2839" t="s">
        <v>2440</v>
      </c>
      <c r="G21" s="2839"/>
    </row>
    <row r="22" spans="1:13" ht="19.5" customHeight="1">
      <c r="A22" s="3505"/>
      <c r="B22" s="3498"/>
      <c r="C22" s="2840" t="s">
        <v>2441</v>
      </c>
      <c r="D22" s="2841"/>
      <c r="E22" s="2842">
        <v>0.9</v>
      </c>
      <c r="F22" s="2839" t="s">
        <v>2442</v>
      </c>
      <c r="G22" s="2839"/>
    </row>
    <row r="23" spans="1:13" ht="19.5" customHeight="1">
      <c r="A23" s="3505"/>
      <c r="B23" s="3498"/>
      <c r="C23" s="2840" t="s">
        <v>2443</v>
      </c>
      <c r="D23" s="2841"/>
      <c r="E23" s="2842">
        <v>0.9</v>
      </c>
      <c r="F23" s="2839" t="s">
        <v>2444</v>
      </c>
      <c r="G23" s="2839"/>
    </row>
    <row r="24" spans="1:13" ht="19.5" customHeight="1">
      <c r="A24" s="3505"/>
      <c r="B24" s="3498"/>
      <c r="C24" s="2840" t="s">
        <v>2445</v>
      </c>
      <c r="D24" s="2841"/>
      <c r="E24" s="2842">
        <v>0.8</v>
      </c>
      <c r="F24" s="2839" t="s">
        <v>2446</v>
      </c>
      <c r="G24" s="2839"/>
    </row>
    <row r="25" spans="1:13" ht="19.5" customHeight="1" thickBot="1">
      <c r="A25" s="3506"/>
      <c r="B25" s="3499"/>
      <c r="C25" s="2843" t="s">
        <v>2447</v>
      </c>
      <c r="D25" s="2844"/>
      <c r="E25" s="2845">
        <v>0.8</v>
      </c>
      <c r="F25" s="2839" t="s">
        <v>2448</v>
      </c>
      <c r="G25" s="2839"/>
    </row>
    <row r="26" spans="1:13" ht="19.5" customHeight="1" thickBot="1">
      <c r="A26" s="2846" t="s">
        <v>2627</v>
      </c>
      <c r="B26" s="2847" t="s">
        <v>2626</v>
      </c>
      <c r="C26" s="2848" t="s">
        <v>2628</v>
      </c>
      <c r="D26" s="2849"/>
      <c r="E26" s="2850">
        <v>1</v>
      </c>
      <c r="F26" s="2839" t="s">
        <v>2449</v>
      </c>
      <c r="G26" s="2839"/>
    </row>
    <row r="27" spans="1:13" ht="19.5" customHeight="1">
      <c r="A27" s="3500" t="s">
        <v>2629</v>
      </c>
      <c r="B27" s="3497" t="s">
        <v>2610</v>
      </c>
      <c r="C27" s="2836" t="s">
        <v>2450</v>
      </c>
      <c r="D27" s="2837"/>
      <c r="E27" s="2838">
        <v>1</v>
      </c>
      <c r="F27" s="2839" t="s">
        <v>2451</v>
      </c>
      <c r="G27" s="2839"/>
    </row>
    <row r="28" spans="1:13" ht="19.5" customHeight="1">
      <c r="A28" s="3501"/>
      <c r="B28" s="3498"/>
      <c r="C28" s="2840" t="s">
        <v>2452</v>
      </c>
      <c r="D28" s="2841"/>
      <c r="E28" s="2842">
        <v>1</v>
      </c>
      <c r="F28" s="2839" t="s">
        <v>2453</v>
      </c>
      <c r="G28" s="2839"/>
    </row>
    <row r="29" spans="1:13" ht="19.5" customHeight="1">
      <c r="A29" s="3501"/>
      <c r="B29" s="3498"/>
      <c r="C29" s="2840" t="s">
        <v>2454</v>
      </c>
      <c r="D29" s="2841"/>
      <c r="E29" s="2842">
        <v>0.8</v>
      </c>
      <c r="F29" s="2839" t="s">
        <v>2455</v>
      </c>
      <c r="G29" s="2839"/>
    </row>
    <row r="30" spans="1:13" ht="19.5" customHeight="1">
      <c r="A30" s="3501"/>
      <c r="B30" s="3498"/>
      <c r="C30" s="2840" t="s">
        <v>2456</v>
      </c>
      <c r="D30" s="2841"/>
      <c r="E30" s="2842">
        <v>0.8</v>
      </c>
      <c r="F30" s="2839" t="s">
        <v>2457</v>
      </c>
      <c r="G30" s="2839"/>
    </row>
    <row r="31" spans="1:13" ht="19.5" customHeight="1">
      <c r="A31" s="3501"/>
      <c r="B31" s="3498"/>
      <c r="C31" s="2840" t="s">
        <v>2458</v>
      </c>
      <c r="D31" s="2841"/>
      <c r="E31" s="2842">
        <v>0.8</v>
      </c>
      <c r="F31" s="2839" t="s">
        <v>2459</v>
      </c>
      <c r="G31" s="2839"/>
    </row>
    <row r="32" spans="1:13" ht="19.5" customHeight="1">
      <c r="A32" s="3501"/>
      <c r="B32" s="3498"/>
      <c r="C32" s="2840" t="s">
        <v>2460</v>
      </c>
      <c r="D32" s="2841"/>
      <c r="E32" s="2842">
        <v>0.7</v>
      </c>
      <c r="F32" s="2839" t="s">
        <v>2461</v>
      </c>
      <c r="G32" s="2839"/>
    </row>
    <row r="33" spans="1:7" ht="19.5" customHeight="1">
      <c r="A33" s="3501"/>
      <c r="B33" s="3498"/>
      <c r="C33" s="2840" t="s">
        <v>2462</v>
      </c>
      <c r="D33" s="2841"/>
      <c r="E33" s="2842">
        <v>0.8</v>
      </c>
      <c r="F33" s="2839" t="s">
        <v>2463</v>
      </c>
      <c r="G33" s="2839"/>
    </row>
    <row r="34" spans="1:7" ht="19.5" customHeight="1">
      <c r="A34" s="3501"/>
      <c r="B34" s="3498"/>
      <c r="C34" s="2840" t="s">
        <v>2464</v>
      </c>
      <c r="D34" s="2841"/>
      <c r="E34" s="2842">
        <v>0.6</v>
      </c>
      <c r="F34" s="2839" t="s">
        <v>2465</v>
      </c>
      <c r="G34" s="2839"/>
    </row>
    <row r="35" spans="1:7" ht="19.5" customHeight="1">
      <c r="A35" s="3501"/>
      <c r="B35" s="3498"/>
      <c r="C35" s="2840" t="s">
        <v>2466</v>
      </c>
      <c r="D35" s="2841"/>
      <c r="E35" s="2842">
        <v>0.2</v>
      </c>
      <c r="F35" s="2839" t="s">
        <v>2467</v>
      </c>
      <c r="G35" s="2839"/>
    </row>
    <row r="36" spans="1:7" ht="19.5" customHeight="1">
      <c r="A36" s="3501"/>
      <c r="B36" s="3498"/>
      <c r="C36" s="2840" t="s">
        <v>2468</v>
      </c>
      <c r="D36" s="2841"/>
      <c r="E36" s="2842">
        <v>0.2</v>
      </c>
      <c r="F36" s="2839" t="s">
        <v>2469</v>
      </c>
      <c r="G36" s="2839"/>
    </row>
    <row r="37" spans="1:7" ht="19.5" customHeight="1">
      <c r="A37" s="3501"/>
      <c r="B37" s="3503" t="s">
        <v>2630</v>
      </c>
      <c r="C37" s="2840" t="s">
        <v>2470</v>
      </c>
      <c r="D37" s="2841"/>
      <c r="E37" s="2842">
        <v>0.6</v>
      </c>
      <c r="F37" s="2839" t="s">
        <v>2471</v>
      </c>
      <c r="G37" s="2839"/>
    </row>
    <row r="38" spans="1:7" ht="19.5" customHeight="1">
      <c r="A38" s="3501"/>
      <c r="B38" s="3498"/>
      <c r="C38" s="2840" t="s">
        <v>2472</v>
      </c>
      <c r="D38" s="2841"/>
      <c r="E38" s="2842">
        <v>0.6</v>
      </c>
      <c r="F38" s="2839" t="s">
        <v>2473</v>
      </c>
      <c r="G38" s="2839"/>
    </row>
    <row r="39" spans="1:7" ht="19.5" customHeight="1" thickBot="1">
      <c r="A39" s="3502"/>
      <c r="B39" s="3499"/>
      <c r="C39" s="2843" t="s">
        <v>2474</v>
      </c>
      <c r="D39" s="2844"/>
      <c r="E39" s="2845">
        <v>0.6</v>
      </c>
      <c r="F39" s="2839" t="s">
        <v>2475</v>
      </c>
      <c r="G39" s="2839"/>
    </row>
    <row r="40" spans="1:7" ht="19.5" customHeight="1" thickBot="1">
      <c r="A40" s="2846" t="s">
        <v>2607</v>
      </c>
      <c r="B40" s="2847" t="s">
        <v>2607</v>
      </c>
      <c r="C40" s="2848" t="s">
        <v>2631</v>
      </c>
      <c r="D40" s="2849"/>
      <c r="E40" s="2850">
        <v>1</v>
      </c>
      <c r="F40" s="2839" t="s">
        <v>2476</v>
      </c>
      <c r="G40" s="2839"/>
    </row>
    <row r="41" spans="1:7" ht="19.5" customHeight="1">
      <c r="A41" s="3504" t="s">
        <v>2608</v>
      </c>
      <c r="B41" s="3497" t="s">
        <v>2632</v>
      </c>
      <c r="C41" s="2836" t="s">
        <v>2477</v>
      </c>
      <c r="D41" s="2837"/>
      <c r="E41" s="2838">
        <v>1</v>
      </c>
      <c r="F41" s="2839" t="s">
        <v>2478</v>
      </c>
      <c r="G41" s="2839"/>
    </row>
    <row r="42" spans="1:7" ht="19.5" customHeight="1">
      <c r="A42" s="3505"/>
      <c r="B42" s="3498"/>
      <c r="C42" s="2840" t="s">
        <v>2479</v>
      </c>
      <c r="D42" s="2841"/>
      <c r="E42" s="2842">
        <v>1</v>
      </c>
      <c r="F42" s="2839" t="s">
        <v>2480</v>
      </c>
      <c r="G42" s="2839"/>
    </row>
    <row r="43" spans="1:7" ht="19.5" customHeight="1">
      <c r="A43" s="3505"/>
      <c r="B43" s="3507"/>
      <c r="C43" s="2840" t="s">
        <v>2481</v>
      </c>
      <c r="D43" s="2841"/>
      <c r="E43" s="2842">
        <v>1.5</v>
      </c>
      <c r="F43" s="2839" t="s">
        <v>2482</v>
      </c>
      <c r="G43" s="2839"/>
    </row>
    <row r="44" spans="1:7" ht="19.5" customHeight="1">
      <c r="A44" s="3505"/>
      <c r="B44" s="2851" t="s">
        <v>2633</v>
      </c>
      <c r="C44" s="2840" t="s">
        <v>2634</v>
      </c>
      <c r="D44" s="2841"/>
      <c r="E44" s="2842">
        <v>2</v>
      </c>
      <c r="F44" s="2839" t="s">
        <v>2483</v>
      </c>
      <c r="G44" s="2839"/>
    </row>
    <row r="45" spans="1:7" ht="19.5" customHeight="1">
      <c r="A45" s="3505"/>
      <c r="B45" s="3503" t="s">
        <v>2635</v>
      </c>
      <c r="C45" s="2840" t="s">
        <v>2484</v>
      </c>
      <c r="D45" s="2841"/>
      <c r="E45" s="2842">
        <v>1</v>
      </c>
      <c r="F45" s="2839" t="s">
        <v>2485</v>
      </c>
      <c r="G45" s="2839"/>
    </row>
    <row r="46" spans="1:7" ht="19.5" customHeight="1">
      <c r="A46" s="3505"/>
      <c r="B46" s="3498"/>
      <c r="C46" s="2840" t="s">
        <v>2486</v>
      </c>
      <c r="D46" s="2841"/>
      <c r="E46" s="2842">
        <v>1</v>
      </c>
      <c r="F46" s="2839" t="s">
        <v>2487</v>
      </c>
      <c r="G46" s="2839"/>
    </row>
    <row r="47" spans="1:7" ht="19.5" customHeight="1">
      <c r="A47" s="3505"/>
      <c r="B47" s="3498"/>
      <c r="C47" s="2840" t="s">
        <v>2488</v>
      </c>
      <c r="D47" s="2841"/>
      <c r="E47" s="2842">
        <v>1</v>
      </c>
      <c r="F47" s="2839" t="s">
        <v>2489</v>
      </c>
      <c r="G47" s="2839"/>
    </row>
    <row r="48" spans="1:7" ht="19.5" customHeight="1">
      <c r="A48" s="3505"/>
      <c r="B48" s="3498"/>
      <c r="C48" s="2840" t="s">
        <v>2490</v>
      </c>
      <c r="D48" s="2841"/>
      <c r="E48" s="2842">
        <v>1</v>
      </c>
      <c r="F48" s="2839" t="s">
        <v>2491</v>
      </c>
      <c r="G48" s="2839"/>
    </row>
    <row r="49" spans="1:7" ht="19.5" customHeight="1">
      <c r="A49" s="3505"/>
      <c r="B49" s="3498"/>
      <c r="C49" s="2840" t="s">
        <v>2492</v>
      </c>
      <c r="D49" s="2841"/>
      <c r="E49" s="2842">
        <v>1</v>
      </c>
      <c r="F49" s="2839" t="s">
        <v>2493</v>
      </c>
      <c r="G49" s="2839"/>
    </row>
    <row r="50" spans="1:7" ht="19.5" customHeight="1">
      <c r="A50" s="3505"/>
      <c r="B50" s="3498"/>
      <c r="C50" s="2840" t="s">
        <v>2494</v>
      </c>
      <c r="D50" s="2841"/>
      <c r="E50" s="2842">
        <v>1</v>
      </c>
      <c r="F50" s="2839" t="s">
        <v>2495</v>
      </c>
      <c r="G50" s="2839"/>
    </row>
    <row r="51" spans="1:7" ht="19.5" customHeight="1" thickBot="1">
      <c r="A51" s="3506"/>
      <c r="B51" s="3499"/>
      <c r="C51" s="2843" t="s">
        <v>2496</v>
      </c>
      <c r="D51" s="2844"/>
      <c r="E51" s="2845">
        <v>1</v>
      </c>
      <c r="F51" s="2839" t="s">
        <v>2497</v>
      </c>
      <c r="G51" s="2839"/>
    </row>
    <row r="52" spans="1:7" ht="19.5" customHeight="1">
      <c r="A52" s="2852"/>
      <c r="B52" s="2852"/>
      <c r="C52" s="2852"/>
      <c r="D52" s="2852"/>
      <c r="E52" s="2852"/>
      <c r="F52" s="2852"/>
      <c r="G52" s="2852"/>
    </row>
    <row r="54" spans="1:7" ht="19.5" customHeight="1">
      <c r="A54" s="2853"/>
      <c r="B54" s="2825" t="s">
        <v>2636</v>
      </c>
      <c r="C54" s="2825" t="s">
        <v>2636</v>
      </c>
      <c r="D54" s="2825" t="s">
        <v>2636</v>
      </c>
      <c r="E54" s="2828" t="s">
        <v>2636</v>
      </c>
      <c r="F54" s="2828" t="s">
        <v>2637</v>
      </c>
      <c r="G54" s="2828" t="s">
        <v>2638</v>
      </c>
    </row>
    <row r="55" spans="1:7" ht="19.5" customHeight="1">
      <c r="A55" s="2854"/>
      <c r="B55" s="2828" t="s">
        <v>2605</v>
      </c>
      <c r="C55" s="2828" t="s">
        <v>2605</v>
      </c>
      <c r="D55" s="2828" t="s">
        <v>2605</v>
      </c>
      <c r="E55" s="2825" t="s">
        <v>2606</v>
      </c>
      <c r="F55" s="2825" t="s">
        <v>2608</v>
      </c>
      <c r="G55" s="2825" t="s">
        <v>2639</v>
      </c>
    </row>
    <row r="56" spans="1:7" ht="19.5" customHeight="1">
      <c r="A56" s="2855"/>
      <c r="B56" s="2825">
        <v>1</v>
      </c>
      <c r="C56" s="2825">
        <v>2</v>
      </c>
      <c r="D56" s="2825">
        <v>3</v>
      </c>
      <c r="E56" s="2856" t="s">
        <v>2640</v>
      </c>
      <c r="F56" s="2856" t="s">
        <v>2640</v>
      </c>
      <c r="G56" s="2856" t="s">
        <v>2640</v>
      </c>
    </row>
    <row r="57" spans="1:7" ht="19.5" customHeight="1">
      <c r="A57" s="2857" t="s">
        <v>2593</v>
      </c>
      <c r="B57" s="2825">
        <v>0.7</v>
      </c>
      <c r="C57" s="2825">
        <v>0.4</v>
      </c>
      <c r="D57" s="2825">
        <v>0.3</v>
      </c>
      <c r="E57" s="2856">
        <v>0.3</v>
      </c>
      <c r="F57" s="2825">
        <v>0.3</v>
      </c>
      <c r="G57" s="2825">
        <v>0.2</v>
      </c>
    </row>
    <row r="58" spans="1:7" ht="19.5" customHeight="1">
      <c r="A58" s="2857" t="s">
        <v>2594</v>
      </c>
      <c r="B58" s="2825">
        <v>0.7</v>
      </c>
      <c r="C58" s="2825">
        <v>0.4</v>
      </c>
      <c r="D58" s="2825">
        <v>0.3</v>
      </c>
      <c r="E58" s="2825">
        <v>0.3</v>
      </c>
      <c r="F58" s="2825">
        <v>0.3</v>
      </c>
      <c r="G58" s="2825">
        <v>0.2</v>
      </c>
    </row>
    <row r="59" spans="1:7" ht="19.5" customHeight="1">
      <c r="A59" s="2857" t="s">
        <v>2595</v>
      </c>
      <c r="B59" s="2825">
        <v>0.6</v>
      </c>
      <c r="C59" s="2825">
        <v>0.3</v>
      </c>
      <c r="D59" s="2825">
        <v>0.25</v>
      </c>
      <c r="E59" s="2825">
        <v>0.25</v>
      </c>
      <c r="F59" s="2825">
        <v>0.25</v>
      </c>
      <c r="G59" s="2825">
        <v>0.15</v>
      </c>
    </row>
    <row r="60" spans="1:7" ht="19.5" customHeight="1">
      <c r="A60" s="2857" t="s">
        <v>2596</v>
      </c>
      <c r="B60" s="2825">
        <v>0.6</v>
      </c>
      <c r="C60" s="2825">
        <v>0.3</v>
      </c>
      <c r="D60" s="2825">
        <v>0.25</v>
      </c>
      <c r="E60" s="2825">
        <v>0.25</v>
      </c>
      <c r="F60" s="2825">
        <v>0.25</v>
      </c>
      <c r="G60" s="2825">
        <v>0.15</v>
      </c>
    </row>
    <row r="61" spans="1:7" ht="19.5" customHeight="1">
      <c r="A61" s="2857" t="s">
        <v>2597</v>
      </c>
      <c r="B61" s="2825">
        <v>0.6</v>
      </c>
      <c r="C61" s="2825">
        <v>0.3</v>
      </c>
      <c r="D61" s="2825">
        <v>0.25</v>
      </c>
      <c r="E61" s="2825">
        <v>0.25</v>
      </c>
      <c r="F61" s="2825">
        <v>0.25</v>
      </c>
      <c r="G61" s="2825">
        <v>0.15</v>
      </c>
    </row>
    <row r="62" spans="1:7" ht="19.5" customHeight="1">
      <c r="A62" s="2857" t="s">
        <v>2598</v>
      </c>
      <c r="B62" s="2825">
        <v>0.6</v>
      </c>
      <c r="C62" s="2825">
        <v>0.3</v>
      </c>
      <c r="D62" s="2825">
        <v>0.25</v>
      </c>
      <c r="E62" s="2825">
        <v>0.25</v>
      </c>
      <c r="F62" s="2825">
        <v>0.25</v>
      </c>
      <c r="G62" s="2825">
        <v>0.15</v>
      </c>
    </row>
    <row r="63" spans="1:7" ht="19.5" customHeight="1">
      <c r="A63" s="2857" t="s">
        <v>2599</v>
      </c>
      <c r="B63" s="2825">
        <v>0.6</v>
      </c>
      <c r="C63" s="2825">
        <v>0.3</v>
      </c>
      <c r="D63" s="2825">
        <v>0.25</v>
      </c>
      <c r="E63" s="2825">
        <v>0.25</v>
      </c>
      <c r="F63" s="2825">
        <v>0.25</v>
      </c>
      <c r="G63" s="2825">
        <v>0.15</v>
      </c>
    </row>
    <row r="64" spans="1:7" ht="19.5" customHeight="1">
      <c r="A64" s="2857" t="s">
        <v>2600</v>
      </c>
      <c r="B64" s="2825">
        <v>0.5</v>
      </c>
      <c r="C64" s="2825">
        <v>0.2</v>
      </c>
      <c r="D64" s="2825">
        <v>0.2</v>
      </c>
      <c r="E64" s="2825">
        <v>0.2</v>
      </c>
      <c r="F64" s="2825">
        <v>0.2</v>
      </c>
      <c r="G64" s="2825">
        <v>0.1</v>
      </c>
    </row>
    <row r="65" spans="1:7" ht="19.5" customHeight="1">
      <c r="A65" s="2857" t="s">
        <v>2601</v>
      </c>
      <c r="B65" s="2825">
        <v>0.5</v>
      </c>
      <c r="C65" s="2825">
        <v>0.2</v>
      </c>
      <c r="D65" s="2825">
        <v>0.2</v>
      </c>
      <c r="E65" s="2825">
        <v>0.2</v>
      </c>
      <c r="F65" s="2825">
        <v>0.2</v>
      </c>
      <c r="G65" s="2825">
        <v>0.1</v>
      </c>
    </row>
    <row r="66" spans="1:7" ht="19.5" customHeight="1">
      <c r="A66" s="2857" t="s">
        <v>2602</v>
      </c>
      <c r="B66" s="2825">
        <v>0.5</v>
      </c>
      <c r="C66" s="2825">
        <v>0.2</v>
      </c>
      <c r="D66" s="2825">
        <v>0.2</v>
      </c>
      <c r="E66" s="2825">
        <v>0.2</v>
      </c>
      <c r="F66" s="2825">
        <v>0.2</v>
      </c>
      <c r="G66" s="2825">
        <v>0.1</v>
      </c>
    </row>
    <row r="67" spans="1:7" ht="19.5" customHeight="1">
      <c r="A67" s="2857" t="s">
        <v>2603</v>
      </c>
      <c r="B67" s="2825">
        <v>0.5</v>
      </c>
      <c r="C67" s="2825">
        <v>0.2</v>
      </c>
      <c r="D67" s="2825">
        <v>0.2</v>
      </c>
      <c r="E67" s="2825">
        <v>0.2</v>
      </c>
      <c r="F67" s="2825">
        <v>0.2</v>
      </c>
      <c r="G67" s="2825">
        <v>0.1</v>
      </c>
    </row>
    <row r="68" spans="1:7" ht="19.5" customHeight="1">
      <c r="A68" s="2857" t="s">
        <v>2604</v>
      </c>
      <c r="B68" s="2825">
        <v>0.5</v>
      </c>
      <c r="C68" s="2825">
        <v>0.2</v>
      </c>
      <c r="D68" s="2825">
        <v>0.2</v>
      </c>
      <c r="E68" s="2825">
        <v>0.2</v>
      </c>
      <c r="F68" s="2825">
        <v>0.2</v>
      </c>
      <c r="G68" s="2825">
        <v>0.1</v>
      </c>
    </row>
    <row r="70" spans="1:7" ht="19.5" customHeight="1">
      <c r="A70" s="2839"/>
      <c r="B70" s="2858"/>
      <c r="C70" s="2858"/>
      <c r="D70" s="2858" t="s">
        <v>2641</v>
      </c>
      <c r="E70" s="2858"/>
      <c r="F70" s="2858"/>
    </row>
    <row r="71" spans="1:7" ht="19.5" customHeight="1">
      <c r="A71" s="2851" t="s">
        <v>2642</v>
      </c>
      <c r="B71" s="2851" t="s">
        <v>2643</v>
      </c>
      <c r="C71" s="2851" t="s">
        <v>2644</v>
      </c>
      <c r="D71" s="2851" t="s">
        <v>2645</v>
      </c>
      <c r="E71" s="2851" t="s">
        <v>2646</v>
      </c>
      <c r="F71" s="2851" t="s">
        <v>2647</v>
      </c>
    </row>
    <row r="72" spans="1:7" ht="13.5">
      <c r="A72" s="2851"/>
      <c r="B72" s="2851"/>
      <c r="C72" s="2851" t="s">
        <v>2648</v>
      </c>
      <c r="D72" s="2851"/>
      <c r="E72" s="2851" t="s">
        <v>2619</v>
      </c>
      <c r="F72" s="2851" t="s">
        <v>2619</v>
      </c>
    </row>
    <row r="73" spans="1:7" ht="13.5">
      <c r="A73" s="2851">
        <v>1</v>
      </c>
      <c r="B73" s="3503" t="s">
        <v>2649</v>
      </c>
      <c r="C73" s="2825" t="s">
        <v>2650</v>
      </c>
      <c r="D73" s="2825" t="s">
        <v>2651</v>
      </c>
      <c r="E73" s="2851">
        <v>0.2</v>
      </c>
      <c r="F73" s="2851">
        <v>25</v>
      </c>
    </row>
    <row r="74" spans="1:7" ht="24">
      <c r="A74" s="2851">
        <v>2</v>
      </c>
      <c r="B74" s="3498"/>
      <c r="C74" s="2825" t="s">
        <v>2652</v>
      </c>
      <c r="D74" s="2825" t="s">
        <v>2653</v>
      </c>
      <c r="E74" s="2851">
        <v>0.2</v>
      </c>
      <c r="F74" s="2851">
        <v>25</v>
      </c>
    </row>
    <row r="75" spans="1:7" ht="24">
      <c r="A75" s="2851">
        <v>3</v>
      </c>
      <c r="B75" s="3498"/>
      <c r="C75" s="2825" t="s">
        <v>2654</v>
      </c>
      <c r="D75" s="2825" t="s">
        <v>2655</v>
      </c>
      <c r="E75" s="2851">
        <v>0.2</v>
      </c>
      <c r="F75" s="2851">
        <v>25</v>
      </c>
    </row>
    <row r="76" spans="1:7" ht="13.5">
      <c r="A76" s="2851">
        <v>4</v>
      </c>
      <c r="B76" s="3498"/>
      <c r="C76" s="2825" t="s">
        <v>2656</v>
      </c>
      <c r="D76" s="2825" t="s">
        <v>2657</v>
      </c>
      <c r="E76" s="2851">
        <v>0.15</v>
      </c>
      <c r="F76" s="2851">
        <v>20</v>
      </c>
    </row>
    <row r="77" spans="1:7" ht="24">
      <c r="A77" s="2851">
        <v>5</v>
      </c>
      <c r="B77" s="3498"/>
      <c r="C77" s="2825" t="s">
        <v>2658</v>
      </c>
      <c r="D77" s="2825" t="s">
        <v>2659</v>
      </c>
      <c r="E77" s="2851">
        <v>0.15</v>
      </c>
      <c r="F77" s="2851">
        <v>20</v>
      </c>
    </row>
    <row r="78" spans="1:7" ht="24">
      <c r="A78" s="2851">
        <v>6</v>
      </c>
      <c r="B78" s="3498"/>
      <c r="C78" s="2825" t="s">
        <v>2660</v>
      </c>
      <c r="D78" s="2825" t="s">
        <v>2661</v>
      </c>
      <c r="E78" s="2851">
        <v>0.15</v>
      </c>
      <c r="F78" s="2851">
        <v>20</v>
      </c>
    </row>
    <row r="79" spans="1:7" ht="24">
      <c r="A79" s="2851">
        <v>7</v>
      </c>
      <c r="B79" s="3498"/>
      <c r="C79" s="2825" t="s">
        <v>2662</v>
      </c>
      <c r="D79" s="2825" t="s">
        <v>2663</v>
      </c>
      <c r="E79" s="2851">
        <v>0.15</v>
      </c>
      <c r="F79" s="2851">
        <v>20</v>
      </c>
    </row>
    <row r="80" spans="1:7" ht="24">
      <c r="A80" s="2851">
        <v>8</v>
      </c>
      <c r="B80" s="3498"/>
      <c r="C80" s="2825" t="s">
        <v>2664</v>
      </c>
      <c r="D80" s="2825" t="s">
        <v>2665</v>
      </c>
      <c r="E80" s="2851">
        <v>0.1</v>
      </c>
      <c r="F80" s="2851">
        <v>15</v>
      </c>
    </row>
    <row r="81" spans="1:6" ht="24">
      <c r="A81" s="2851">
        <v>9</v>
      </c>
      <c r="B81" s="3498"/>
      <c r="C81" s="2825" t="s">
        <v>2666</v>
      </c>
      <c r="D81" s="2825" t="s">
        <v>2667</v>
      </c>
      <c r="E81" s="2851">
        <v>0.1</v>
      </c>
      <c r="F81" s="2851">
        <v>15</v>
      </c>
    </row>
    <row r="82" spans="1:6" ht="24">
      <c r="A82" s="2851">
        <v>10</v>
      </c>
      <c r="B82" s="3498"/>
      <c r="C82" s="2825" t="s">
        <v>2668</v>
      </c>
      <c r="D82" s="2825" t="s">
        <v>2669</v>
      </c>
      <c r="E82" s="2851">
        <v>0.1</v>
      </c>
      <c r="F82" s="2851">
        <v>15</v>
      </c>
    </row>
    <row r="83" spans="1:6" ht="24">
      <c r="A83" s="2851">
        <v>11</v>
      </c>
      <c r="B83" s="3498"/>
      <c r="C83" s="2825" t="s">
        <v>2670</v>
      </c>
      <c r="D83" s="2825" t="s">
        <v>2671</v>
      </c>
      <c r="E83" s="2851">
        <v>0.1</v>
      </c>
      <c r="F83" s="2851">
        <v>15</v>
      </c>
    </row>
    <row r="84" spans="1:6" ht="24">
      <c r="A84" s="2851">
        <v>12</v>
      </c>
      <c r="B84" s="3498"/>
      <c r="C84" s="2825" t="s">
        <v>2672</v>
      </c>
      <c r="D84" s="2825" t="s">
        <v>2673</v>
      </c>
      <c r="E84" s="2851">
        <v>0.1</v>
      </c>
      <c r="F84" s="2851">
        <v>15</v>
      </c>
    </row>
    <row r="85" spans="1:6" ht="13.5">
      <c r="A85" s="2851">
        <v>13</v>
      </c>
      <c r="B85" s="3498"/>
      <c r="C85" s="2825" t="s">
        <v>2674</v>
      </c>
      <c r="D85" s="2825" t="s">
        <v>2675</v>
      </c>
      <c r="E85" s="2851">
        <v>0.1</v>
      </c>
      <c r="F85" s="2851">
        <v>15</v>
      </c>
    </row>
    <row r="86" spans="1:6" ht="13.5">
      <c r="A86" s="2851">
        <v>14</v>
      </c>
      <c r="B86" s="3498"/>
      <c r="C86" s="2825" t="s">
        <v>2676</v>
      </c>
      <c r="D86" s="2825" t="s">
        <v>2677</v>
      </c>
      <c r="E86" s="2851">
        <v>0.1</v>
      </c>
      <c r="F86" s="2851">
        <v>15</v>
      </c>
    </row>
    <row r="87" spans="1:6" ht="13.5">
      <c r="A87" s="2851">
        <v>15</v>
      </c>
      <c r="B87" s="3498"/>
      <c r="C87" s="2825" t="s">
        <v>2678</v>
      </c>
      <c r="D87" s="2825" t="s">
        <v>2679</v>
      </c>
      <c r="E87" s="2851">
        <v>0.1</v>
      </c>
      <c r="F87" s="2851">
        <v>15</v>
      </c>
    </row>
    <row r="88" spans="1:6" ht="24">
      <c r="A88" s="2851">
        <v>16</v>
      </c>
      <c r="B88" s="3498"/>
      <c r="C88" s="2825" t="s">
        <v>2680</v>
      </c>
      <c r="D88" s="2825" t="s">
        <v>2681</v>
      </c>
      <c r="E88" s="2851">
        <v>0.1</v>
      </c>
      <c r="F88" s="2851">
        <v>15</v>
      </c>
    </row>
    <row r="89" spans="1:6" ht="24">
      <c r="A89" s="2851">
        <v>17</v>
      </c>
      <c r="B89" s="3507"/>
      <c r="C89" s="2825" t="s">
        <v>2682</v>
      </c>
      <c r="D89" s="2825" t="s">
        <v>2683</v>
      </c>
      <c r="E89" s="2851">
        <v>0.1</v>
      </c>
      <c r="F89" s="2851">
        <v>15</v>
      </c>
    </row>
    <row r="90" spans="1:6" ht="13.5">
      <c r="A90" s="2851">
        <v>18</v>
      </c>
      <c r="B90" s="3503" t="s">
        <v>2684</v>
      </c>
      <c r="C90" s="2825" t="s">
        <v>2685</v>
      </c>
      <c r="D90" s="2825" t="s">
        <v>2686</v>
      </c>
      <c r="E90" s="2851">
        <v>0.2</v>
      </c>
      <c r="F90" s="2851">
        <v>25</v>
      </c>
    </row>
    <row r="91" spans="1:6" ht="24">
      <c r="A91" s="2851">
        <v>19</v>
      </c>
      <c r="B91" s="3498"/>
      <c r="C91" s="2825" t="s">
        <v>2687</v>
      </c>
      <c r="D91" s="2825" t="s">
        <v>2688</v>
      </c>
      <c r="E91" s="2851">
        <v>0.2</v>
      </c>
      <c r="F91" s="2851">
        <v>25</v>
      </c>
    </row>
    <row r="92" spans="1:6" ht="13.5">
      <c r="A92" s="2851">
        <v>20</v>
      </c>
      <c r="B92" s="3498"/>
      <c r="C92" s="2825" t="s">
        <v>2689</v>
      </c>
      <c r="D92" s="2825" t="s">
        <v>2690</v>
      </c>
      <c r="E92" s="2851">
        <v>0.15</v>
      </c>
      <c r="F92" s="2851">
        <v>20</v>
      </c>
    </row>
    <row r="93" spans="1:6" ht="13.5">
      <c r="A93" s="2851">
        <v>21</v>
      </c>
      <c r="B93" s="3498"/>
      <c r="C93" s="2825" t="s">
        <v>2691</v>
      </c>
      <c r="D93" s="2825" t="s">
        <v>2692</v>
      </c>
      <c r="E93" s="2851">
        <v>0.15</v>
      </c>
      <c r="F93" s="2851">
        <v>20</v>
      </c>
    </row>
    <row r="94" spans="1:6" ht="13.5">
      <c r="A94" s="2851">
        <v>22</v>
      </c>
      <c r="B94" s="3498"/>
      <c r="C94" s="2825" t="s">
        <v>2693</v>
      </c>
      <c r="D94" s="2825" t="s">
        <v>2694</v>
      </c>
      <c r="E94" s="2851">
        <v>0.15</v>
      </c>
      <c r="F94" s="2851">
        <v>20</v>
      </c>
    </row>
    <row r="95" spans="1:6" ht="36">
      <c r="A95" s="2851">
        <v>23</v>
      </c>
      <c r="B95" s="3498"/>
      <c r="C95" s="2825" t="s">
        <v>2695</v>
      </c>
      <c r="D95" s="2825" t="s">
        <v>2696</v>
      </c>
      <c r="E95" s="2851">
        <v>0.15</v>
      </c>
      <c r="F95" s="2851">
        <v>20</v>
      </c>
    </row>
    <row r="96" spans="1:6" ht="13.5">
      <c r="A96" s="2851">
        <v>24</v>
      </c>
      <c r="B96" s="3498"/>
      <c r="C96" s="2825" t="s">
        <v>2697</v>
      </c>
      <c r="D96" s="2825" t="s">
        <v>2698</v>
      </c>
      <c r="E96" s="2851">
        <v>0.1</v>
      </c>
      <c r="F96" s="2851">
        <v>15</v>
      </c>
    </row>
    <row r="97" spans="1:6" ht="13.5">
      <c r="A97" s="2851">
        <v>25</v>
      </c>
      <c r="B97" s="3498"/>
      <c r="C97" s="2825" t="s">
        <v>2699</v>
      </c>
      <c r="D97" s="2825" t="s">
        <v>2700</v>
      </c>
      <c r="E97" s="2851">
        <v>0.1</v>
      </c>
      <c r="F97" s="2851">
        <v>15</v>
      </c>
    </row>
    <row r="98" spans="1:6" ht="24">
      <c r="A98" s="2851">
        <v>26</v>
      </c>
      <c r="B98" s="3498"/>
      <c r="C98" s="2825" t="s">
        <v>2701</v>
      </c>
      <c r="D98" s="2825" t="s">
        <v>2702</v>
      </c>
      <c r="E98" s="2851">
        <v>0.1</v>
      </c>
      <c r="F98" s="2851">
        <v>15</v>
      </c>
    </row>
    <row r="99" spans="1:6" ht="24">
      <c r="A99" s="2851">
        <v>27</v>
      </c>
      <c r="B99" s="3498"/>
      <c r="C99" s="2825" t="s">
        <v>2703</v>
      </c>
      <c r="D99" s="2825" t="s">
        <v>2704</v>
      </c>
      <c r="E99" s="2851">
        <v>0.1</v>
      </c>
      <c r="F99" s="2851">
        <v>15</v>
      </c>
    </row>
    <row r="100" spans="1:6" ht="13.5">
      <c r="A100" s="2851">
        <v>28</v>
      </c>
      <c r="B100" s="3498"/>
      <c r="C100" s="2825" t="s">
        <v>2705</v>
      </c>
      <c r="D100" s="2825" t="s">
        <v>2706</v>
      </c>
      <c r="E100" s="2851">
        <v>0.1</v>
      </c>
      <c r="F100" s="2851">
        <v>15</v>
      </c>
    </row>
    <row r="101" spans="1:6" ht="13.5">
      <c r="A101" s="2851">
        <v>29</v>
      </c>
      <c r="B101" s="3498"/>
      <c r="C101" s="2825" t="s">
        <v>2707</v>
      </c>
      <c r="D101" s="2825" t="s">
        <v>2708</v>
      </c>
      <c r="E101" s="2851">
        <v>0.1</v>
      </c>
      <c r="F101" s="2851">
        <v>15</v>
      </c>
    </row>
    <row r="102" spans="1:6" ht="13.5">
      <c r="A102" s="2851">
        <v>30</v>
      </c>
      <c r="B102" s="3498"/>
      <c r="C102" s="2825" t="s">
        <v>2709</v>
      </c>
      <c r="D102" s="2825" t="s">
        <v>2710</v>
      </c>
      <c r="E102" s="2851">
        <v>0.1</v>
      </c>
      <c r="F102" s="2851">
        <v>15</v>
      </c>
    </row>
    <row r="103" spans="1:6" ht="24">
      <c r="A103" s="2851">
        <v>31</v>
      </c>
      <c r="B103" s="3498"/>
      <c r="C103" s="2825" t="s">
        <v>2711</v>
      </c>
      <c r="D103" s="2825" t="s">
        <v>2712</v>
      </c>
      <c r="E103" s="2851">
        <v>0.1</v>
      </c>
      <c r="F103" s="2851">
        <v>15</v>
      </c>
    </row>
    <row r="104" spans="1:6" ht="24">
      <c r="A104" s="2851">
        <v>32</v>
      </c>
      <c r="B104" s="3498"/>
      <c r="C104" s="2825" t="s">
        <v>2713</v>
      </c>
      <c r="D104" s="2825" t="s">
        <v>2714</v>
      </c>
      <c r="E104" s="2851">
        <v>0.1</v>
      </c>
      <c r="F104" s="2851">
        <v>15</v>
      </c>
    </row>
    <row r="105" spans="1:6" ht="24">
      <c r="A105" s="2851">
        <v>33</v>
      </c>
      <c r="B105" s="3498"/>
      <c r="C105" s="2825" t="s">
        <v>2715</v>
      </c>
      <c r="D105" s="2825" t="s">
        <v>2716</v>
      </c>
      <c r="E105" s="2851">
        <v>0.1</v>
      </c>
      <c r="F105" s="2851">
        <v>15</v>
      </c>
    </row>
    <row r="106" spans="1:6" ht="24">
      <c r="A106" s="2851">
        <v>34</v>
      </c>
      <c r="B106" s="3507"/>
      <c r="C106" s="2825" t="s">
        <v>2717</v>
      </c>
      <c r="D106" s="2825" t="s">
        <v>2718</v>
      </c>
      <c r="E106" s="2851">
        <v>0.1</v>
      </c>
      <c r="F106" s="2851">
        <v>15</v>
      </c>
    </row>
    <row r="107" spans="1:6" ht="24">
      <c r="A107" s="2851">
        <v>35</v>
      </c>
      <c r="B107" s="3503" t="s">
        <v>2719</v>
      </c>
      <c r="C107" s="2851" t="s">
        <v>2720</v>
      </c>
      <c r="D107" s="2825" t="s">
        <v>2721</v>
      </c>
      <c r="E107" s="2851">
        <v>0.15</v>
      </c>
      <c r="F107" s="2851">
        <v>20</v>
      </c>
    </row>
    <row r="108" spans="1:6" ht="13.5">
      <c r="A108" s="2851">
        <v>36</v>
      </c>
      <c r="B108" s="3498"/>
      <c r="C108" s="2851" t="s">
        <v>2722</v>
      </c>
      <c r="D108" s="2825" t="s">
        <v>2723</v>
      </c>
      <c r="E108" s="2851">
        <v>0.15</v>
      </c>
      <c r="F108" s="2851">
        <v>20</v>
      </c>
    </row>
    <row r="109" spans="1:6" ht="13.5">
      <c r="A109" s="2851">
        <v>37</v>
      </c>
      <c r="B109" s="3498"/>
      <c r="C109" s="2851" t="s">
        <v>2724</v>
      </c>
      <c r="D109" s="2825" t="s">
        <v>2725</v>
      </c>
      <c r="E109" s="2851">
        <v>0.15</v>
      </c>
      <c r="F109" s="2851">
        <v>20</v>
      </c>
    </row>
    <row r="110" spans="1:6" ht="13.5">
      <c r="A110" s="2851">
        <v>38</v>
      </c>
      <c r="B110" s="3498"/>
      <c r="C110" s="2851" t="s">
        <v>2726</v>
      </c>
      <c r="D110" s="2825" t="s">
        <v>2727</v>
      </c>
      <c r="E110" s="2851">
        <v>0.1</v>
      </c>
      <c r="F110" s="2851">
        <v>15</v>
      </c>
    </row>
    <row r="111" spans="1:6" ht="24">
      <c r="A111" s="2851">
        <v>39</v>
      </c>
      <c r="B111" s="3498"/>
      <c r="C111" s="2851" t="s">
        <v>2728</v>
      </c>
      <c r="D111" s="2825" t="s">
        <v>2729</v>
      </c>
      <c r="E111" s="2851">
        <v>0.1</v>
      </c>
      <c r="F111" s="2851">
        <v>15</v>
      </c>
    </row>
    <row r="112" spans="1:6" ht="24">
      <c r="A112" s="2851">
        <v>40</v>
      </c>
      <c r="B112" s="3507"/>
      <c r="C112" s="2851" t="s">
        <v>2730</v>
      </c>
      <c r="D112" s="2825" t="s">
        <v>2731</v>
      </c>
      <c r="E112" s="2851">
        <v>0.1</v>
      </c>
      <c r="F112" s="2851">
        <v>15</v>
      </c>
    </row>
    <row r="113" spans="1:6" ht="13.5">
      <c r="A113" s="2851">
        <v>41</v>
      </c>
      <c r="B113" s="3508" t="s">
        <v>2732</v>
      </c>
      <c r="C113" s="2851" t="s">
        <v>2733</v>
      </c>
      <c r="D113" s="2825" t="s">
        <v>2734</v>
      </c>
      <c r="E113" s="2851">
        <v>0.1</v>
      </c>
      <c r="F113" s="2851">
        <v>15</v>
      </c>
    </row>
    <row r="114" spans="1:6" ht="13.5">
      <c r="A114" s="2851">
        <v>42</v>
      </c>
      <c r="B114" s="3508"/>
      <c r="C114" s="2851" t="s">
        <v>2735</v>
      </c>
      <c r="D114" s="2825" t="s">
        <v>2736</v>
      </c>
      <c r="E114" s="2851">
        <v>0.1</v>
      </c>
      <c r="F114" s="2851">
        <v>15</v>
      </c>
    </row>
    <row r="115" spans="1:6" ht="24">
      <c r="A115" s="2851">
        <v>43</v>
      </c>
      <c r="B115" s="3508"/>
      <c r="C115" s="2851" t="s">
        <v>2737</v>
      </c>
      <c r="D115" s="2825" t="s">
        <v>2738</v>
      </c>
      <c r="E115" s="2851">
        <v>0.1</v>
      </c>
      <c r="F115" s="2851">
        <v>15</v>
      </c>
    </row>
    <row r="116" spans="1:6" ht="13.5">
      <c r="A116" s="2851">
        <v>44</v>
      </c>
      <c r="B116" s="3503" t="s">
        <v>2739</v>
      </c>
      <c r="C116" s="2851" t="s">
        <v>2740</v>
      </c>
      <c r="D116" s="2825" t="s">
        <v>2741</v>
      </c>
      <c r="E116" s="2851">
        <v>0.1</v>
      </c>
      <c r="F116" s="2851">
        <v>15</v>
      </c>
    </row>
    <row r="117" spans="1:6" ht="24">
      <c r="A117" s="2851">
        <v>45</v>
      </c>
      <c r="B117" s="3507"/>
      <c r="C117" s="2825" t="s">
        <v>2742</v>
      </c>
      <c r="D117" s="2825" t="s">
        <v>2743</v>
      </c>
      <c r="E117" s="2851">
        <v>0.1</v>
      </c>
      <c r="F117" s="2851">
        <v>15</v>
      </c>
    </row>
    <row r="118" spans="1:6" ht="24">
      <c r="A118" s="2851">
        <v>46</v>
      </c>
      <c r="B118" s="3503" t="s">
        <v>2744</v>
      </c>
      <c r="C118" s="2851" t="s">
        <v>2745</v>
      </c>
      <c r="D118" s="2825" t="s">
        <v>2746</v>
      </c>
      <c r="E118" s="2851">
        <v>0.1</v>
      </c>
      <c r="F118" s="2851">
        <v>15</v>
      </c>
    </row>
    <row r="119" spans="1:6" ht="24">
      <c r="A119" s="2851">
        <v>47</v>
      </c>
      <c r="B119" s="3507"/>
      <c r="C119" s="2851" t="s">
        <v>2747</v>
      </c>
      <c r="D119" s="2825" t="s">
        <v>2748</v>
      </c>
      <c r="E119" s="2851">
        <v>0.1</v>
      </c>
      <c r="F119" s="2851">
        <v>15</v>
      </c>
    </row>
    <row r="120" spans="1:6" ht="13.5">
      <c r="A120" s="2851">
        <v>48</v>
      </c>
      <c r="B120" s="3503" t="s">
        <v>2749</v>
      </c>
      <c r="C120" s="2851" t="s">
        <v>2750</v>
      </c>
      <c r="D120" s="2825" t="s">
        <v>2751</v>
      </c>
      <c r="E120" s="2851">
        <v>0.1</v>
      </c>
      <c r="F120" s="2851">
        <v>15</v>
      </c>
    </row>
    <row r="121" spans="1:6" ht="13.5">
      <c r="A121" s="2851">
        <v>49</v>
      </c>
      <c r="B121" s="3507"/>
      <c r="C121" s="2851" t="s">
        <v>2752</v>
      </c>
      <c r="D121" s="2825" t="s">
        <v>2753</v>
      </c>
      <c r="E121" s="2851">
        <v>0.1</v>
      </c>
      <c r="F121" s="2851">
        <v>15</v>
      </c>
    </row>
    <row r="122" spans="1:6" ht="24">
      <c r="A122" s="2851">
        <v>50</v>
      </c>
      <c r="B122" s="3508" t="s">
        <v>2754</v>
      </c>
      <c r="C122" s="2851" t="s">
        <v>2755</v>
      </c>
      <c r="D122" s="2825" t="s">
        <v>2756</v>
      </c>
      <c r="E122" s="2851">
        <v>0.1</v>
      </c>
      <c r="F122" s="2851">
        <v>15</v>
      </c>
    </row>
    <row r="123" spans="1:6" ht="24">
      <c r="A123" s="2851">
        <v>51</v>
      </c>
      <c r="B123" s="3508"/>
      <c r="C123" s="2851" t="s">
        <v>2757</v>
      </c>
      <c r="D123" s="2825" t="s">
        <v>2758</v>
      </c>
      <c r="E123" s="2851">
        <v>0.1</v>
      </c>
      <c r="F123" s="2851">
        <v>15</v>
      </c>
    </row>
    <row r="124" spans="1:6" ht="24">
      <c r="A124" s="2851">
        <v>52</v>
      </c>
      <c r="B124" s="3508" t="s">
        <v>2759</v>
      </c>
      <c r="C124" s="2851" t="s">
        <v>2760</v>
      </c>
      <c r="D124" s="2825" t="s">
        <v>2761</v>
      </c>
      <c r="E124" s="2851">
        <v>0.1</v>
      </c>
      <c r="F124" s="2851">
        <v>15</v>
      </c>
    </row>
    <row r="125" spans="1:6" ht="24">
      <c r="A125" s="2851">
        <v>53</v>
      </c>
      <c r="B125" s="3508"/>
      <c r="C125" s="2851" t="s">
        <v>2762</v>
      </c>
      <c r="D125" s="2825" t="s">
        <v>2763</v>
      </c>
      <c r="E125" s="2851">
        <v>0.1</v>
      </c>
      <c r="F125" s="2851">
        <v>15</v>
      </c>
    </row>
    <row r="126" spans="1:6" ht="13.5">
      <c r="A126" s="2851">
        <v>54</v>
      </c>
      <c r="B126" s="2851" t="s">
        <v>2764</v>
      </c>
      <c r="C126" s="2851" t="s">
        <v>2765</v>
      </c>
      <c r="D126" s="2825" t="s">
        <v>2766</v>
      </c>
      <c r="E126" s="2851">
        <v>0.1</v>
      </c>
      <c r="F126" s="2851">
        <v>15</v>
      </c>
    </row>
    <row r="127" spans="1:6" ht="13.5">
      <c r="A127" s="2851">
        <v>55</v>
      </c>
      <c r="B127" s="3508" t="s">
        <v>2767</v>
      </c>
      <c r="C127" s="2851" t="s">
        <v>2768</v>
      </c>
      <c r="D127" s="2825" t="s">
        <v>2769</v>
      </c>
      <c r="E127" s="2851">
        <v>0.1</v>
      </c>
      <c r="F127" s="2851">
        <v>15</v>
      </c>
    </row>
    <row r="128" spans="1:6" ht="13.5">
      <c r="A128" s="2851">
        <v>56</v>
      </c>
      <c r="B128" s="3508"/>
      <c r="C128" s="2851" t="s">
        <v>2770</v>
      </c>
      <c r="D128" s="2825" t="s">
        <v>2771</v>
      </c>
      <c r="E128" s="2851">
        <v>0.1</v>
      </c>
      <c r="F128" s="2851">
        <v>15</v>
      </c>
    </row>
    <row r="129" spans="1:6" ht="24">
      <c r="A129" s="2851">
        <v>57</v>
      </c>
      <c r="B129" s="3508"/>
      <c r="C129" s="2851" t="s">
        <v>2772</v>
      </c>
      <c r="D129" s="2825" t="s">
        <v>2773</v>
      </c>
      <c r="E129" s="2851">
        <v>0.1</v>
      </c>
      <c r="F129" s="2851">
        <v>15</v>
      </c>
    </row>
    <row r="130" spans="1:6" ht="24">
      <c r="A130" s="2851">
        <v>58</v>
      </c>
      <c r="B130" s="3508" t="s">
        <v>2774</v>
      </c>
      <c r="C130" s="2851" t="s">
        <v>2775</v>
      </c>
      <c r="D130" s="2825" t="s">
        <v>2776</v>
      </c>
      <c r="E130" s="2851">
        <v>0.1</v>
      </c>
      <c r="F130" s="2851">
        <v>15</v>
      </c>
    </row>
    <row r="131" spans="1:6" ht="13.5">
      <c r="A131" s="2851">
        <v>59</v>
      </c>
      <c r="B131" s="3508"/>
      <c r="C131" s="2851" t="s">
        <v>2777</v>
      </c>
      <c r="D131" s="2825" t="s">
        <v>2778</v>
      </c>
      <c r="E131" s="2851">
        <v>0.1</v>
      </c>
      <c r="F131" s="2851">
        <v>15</v>
      </c>
    </row>
    <row r="132" spans="1:6" ht="13.5">
      <c r="A132" s="2851">
        <v>60</v>
      </c>
      <c r="B132" s="3503" t="s">
        <v>2779</v>
      </c>
      <c r="C132" s="2851" t="s">
        <v>2780</v>
      </c>
      <c r="D132" s="2825" t="s">
        <v>2781</v>
      </c>
      <c r="E132" s="2851">
        <v>0.1</v>
      </c>
      <c r="F132" s="2851">
        <v>15</v>
      </c>
    </row>
    <row r="133" spans="1:6" ht="13.5">
      <c r="A133" s="2851">
        <v>61</v>
      </c>
      <c r="B133" s="3507"/>
      <c r="C133" s="2851" t="s">
        <v>2782</v>
      </c>
      <c r="D133" s="2825" t="s">
        <v>2783</v>
      </c>
      <c r="E133" s="2851">
        <v>0.1</v>
      </c>
      <c r="F133" s="2851">
        <v>15</v>
      </c>
    </row>
    <row r="134" spans="1:6" ht="24">
      <c r="A134" s="2851">
        <v>62</v>
      </c>
      <c r="B134" s="2851" t="s">
        <v>2784</v>
      </c>
      <c r="C134" s="2851" t="s">
        <v>2785</v>
      </c>
      <c r="D134" s="2825" t="s">
        <v>2786</v>
      </c>
      <c r="E134" s="2851">
        <v>0.1</v>
      </c>
      <c r="F134" s="2851">
        <v>15</v>
      </c>
    </row>
    <row r="135" spans="1:6" ht="13.5">
      <c r="A135" s="2851">
        <v>63</v>
      </c>
      <c r="B135" s="3508" t="s">
        <v>2787</v>
      </c>
      <c r="C135" s="2851" t="s">
        <v>2788</v>
      </c>
      <c r="D135" s="2825" t="s">
        <v>2789</v>
      </c>
      <c r="E135" s="2851">
        <v>0.1</v>
      </c>
      <c r="F135" s="2851">
        <v>15</v>
      </c>
    </row>
    <row r="136" spans="1:6" ht="13.5">
      <c r="A136" s="2851">
        <v>64</v>
      </c>
      <c r="B136" s="3508"/>
      <c r="C136" s="2851" t="s">
        <v>2790</v>
      </c>
      <c r="D136" s="2825" t="s">
        <v>2791</v>
      </c>
      <c r="E136" s="2851">
        <v>0.1</v>
      </c>
      <c r="F136" s="2851">
        <v>15</v>
      </c>
    </row>
    <row r="137" spans="1:6" ht="13.5">
      <c r="A137" s="2851">
        <v>65</v>
      </c>
      <c r="B137" s="2851" t="s">
        <v>2792</v>
      </c>
      <c r="C137" s="2851" t="s">
        <v>2793</v>
      </c>
      <c r="D137" s="2825" t="s">
        <v>2794</v>
      </c>
      <c r="E137" s="2851">
        <v>0.1</v>
      </c>
      <c r="F137" s="2851">
        <v>15</v>
      </c>
    </row>
    <row r="138" spans="1:6" ht="13.5">
      <c r="A138" s="2851"/>
      <c r="B138" s="2851"/>
      <c r="C138" s="2851"/>
      <c r="D138" s="2851"/>
      <c r="E138" s="2851" t="s">
        <v>2795</v>
      </c>
      <c r="F138" s="2851"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5"/>
      <c r="C2" s="3195"/>
      <c r="D2" s="3195"/>
      <c r="E2" s="3195"/>
    </row>
    <row r="3" spans="1:5" ht="18">
      <c r="A3" s="3196" t="str">
        <f>IF(项目基本情况!B9="房地产市场价值","估价结果一览表（市场价值不需“结果表-1”）","估价结果一览表")</f>
        <v>估价结果一览表</v>
      </c>
      <c r="B3" s="3196"/>
      <c r="C3" s="3196"/>
      <c r="D3" s="3196"/>
      <c r="E3" s="3196"/>
    </row>
    <row r="4" spans="1:5" ht="19.5" thickBot="1">
      <c r="A4" s="1389"/>
      <c r="B4" s="3194" t="s">
        <v>917</v>
      </c>
      <c r="C4" s="3194"/>
      <c r="D4" s="3194"/>
      <c r="E4" s="1389"/>
    </row>
    <row r="5" spans="1:5" ht="16.5" thickTop="1">
      <c r="B5" s="3192" t="s">
        <v>909</v>
      </c>
      <c r="C5" s="1390" t="s">
        <v>910</v>
      </c>
      <c r="D5" s="796" t="e">
        <f ca="1">结果表!H101</f>
        <v>#REF!</v>
      </c>
    </row>
    <row r="6" spans="1:5" ht="15.75">
      <c r="B6" s="3192"/>
      <c r="C6" s="1390" t="s">
        <v>911</v>
      </c>
      <c r="D6" s="796" t="e">
        <f ca="1">NUMBERSTRING(INT(D5*10000),2)&amp;"元整"</f>
        <v>#REF!</v>
      </c>
    </row>
    <row r="7" spans="1:5" ht="15.75">
      <c r="B7" s="3197"/>
      <c r="C7" s="1391" t="s">
        <v>912</v>
      </c>
      <c r="D7" s="797" t="e">
        <f ca="1">结果表!H102</f>
        <v>#REF!</v>
      </c>
    </row>
    <row r="8" spans="1:5" ht="15.75">
      <c r="B8" s="3198" t="str">
        <f>结果表!E103</f>
        <v>2.估价师知悉的法定优先受偿款</v>
      </c>
      <c r="C8" s="1392" t="s">
        <v>913</v>
      </c>
      <c r="D8" s="797">
        <f>结果表!H103</f>
        <v>0</v>
      </c>
    </row>
    <row r="9" spans="1:5" ht="15.75">
      <c r="B9" s="3200"/>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91" t="str">
        <f>结果表!E107</f>
        <v>3.房地产抵押价值</v>
      </c>
      <c r="C13" s="1395" t="s">
        <v>910</v>
      </c>
      <c r="D13" s="799" t="e">
        <f ca="1">结果表!H107</f>
        <v>#REF!</v>
      </c>
    </row>
    <row r="14" spans="1:5" ht="15.75">
      <c r="B14" s="3192"/>
      <c r="C14" s="1390" t="s">
        <v>911</v>
      </c>
      <c r="D14" s="796" t="e">
        <f ca="1">NUMBERSTRING(INT(D13*10000),2)&amp;"元整"</f>
        <v>#REF!</v>
      </c>
    </row>
    <row r="15" spans="1:5" ht="15">
      <c r="B15" s="3197"/>
      <c r="C15" s="1391" t="s">
        <v>921</v>
      </c>
      <c r="D15" s="805" t="e">
        <f ca="1">结果表!H108</f>
        <v>#REF!</v>
      </c>
    </row>
    <row r="16" spans="1:5" ht="15">
      <c r="B16" s="3198" t="str">
        <f>结果表!E109</f>
        <v>——</v>
      </c>
      <c r="C16" s="1395" t="s">
        <v>922</v>
      </c>
      <c r="D16" s="1396" t="str">
        <f>结果表!H109</f>
        <v>——</v>
      </c>
    </row>
    <row r="17" spans="1:5" ht="15.75">
      <c r="B17" s="3199"/>
      <c r="C17" s="1390" t="s">
        <v>923</v>
      </c>
      <c r="D17" s="796" t="e">
        <f>NUMBERSTRING(INT(D16*10000),2)&amp;"元整"</f>
        <v>#VALUE!</v>
      </c>
    </row>
    <row r="18" spans="1:5" ht="15">
      <c r="B18" s="3200"/>
      <c r="C18" s="1391" t="s">
        <v>912</v>
      </c>
      <c r="D18" s="805" t="str">
        <f>结果表!H110</f>
        <v>——</v>
      </c>
    </row>
    <row r="19" spans="1:5" ht="15.75">
      <c r="B19" s="3191" t="str">
        <f>结果表!E111</f>
        <v>——</v>
      </c>
      <c r="C19" s="1395" t="s">
        <v>910</v>
      </c>
      <c r="D19" s="797" t="str">
        <f>结果表!H111</f>
        <v>——</v>
      </c>
    </row>
    <row r="20" spans="1:5" ht="15.75">
      <c r="B20" s="3192"/>
      <c r="C20" s="1390" t="s">
        <v>923</v>
      </c>
      <c r="D20" s="796" t="e">
        <f>NUMBERSTRING(INT(D19*10000),2)&amp;"元整"</f>
        <v>#VALUE!</v>
      </c>
    </row>
    <row r="21" spans="1:5" ht="15.75" thickBot="1">
      <c r="B21" s="3193"/>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2796</v>
      </c>
      <c r="B1" s="2859"/>
      <c r="C1" s="2859"/>
      <c r="D1" s="2859"/>
      <c r="E1" s="2859"/>
      <c r="F1" s="2859"/>
      <c r="G1" s="2859"/>
      <c r="H1" s="2859"/>
      <c r="I1" s="2859"/>
      <c r="J1" s="2859"/>
      <c r="K1" s="2859"/>
      <c r="L1" s="2859"/>
      <c r="M1" s="2859"/>
      <c r="N1" s="706"/>
    </row>
    <row r="2" spans="1:20">
      <c r="A2" s="2860" t="s">
        <v>2797</v>
      </c>
      <c r="B2" s="2861" t="s">
        <v>2593</v>
      </c>
      <c r="C2" s="2861" t="s">
        <v>2594</v>
      </c>
      <c r="D2" s="2861" t="s">
        <v>2595</v>
      </c>
      <c r="E2" s="2861" t="s">
        <v>2596</v>
      </c>
      <c r="F2" s="2861" t="s">
        <v>2597</v>
      </c>
      <c r="G2" s="2861" t="s">
        <v>2598</v>
      </c>
      <c r="H2" s="2862" t="s">
        <v>2599</v>
      </c>
      <c r="I2" s="2862" t="s">
        <v>2600</v>
      </c>
      <c r="J2" s="2863" t="s">
        <v>2601</v>
      </c>
      <c r="K2" s="2863" t="s">
        <v>2602</v>
      </c>
      <c r="L2" s="2863" t="s">
        <v>2603</v>
      </c>
      <c r="M2" s="2864" t="s">
        <v>2604</v>
      </c>
      <c r="Q2" s="2874" t="s">
        <v>2802</v>
      </c>
      <c r="R2" s="2874" t="s">
        <v>2803</v>
      </c>
      <c r="S2" s="2874" t="s">
        <v>2804</v>
      </c>
      <c r="T2" s="2874" t="s">
        <v>2805</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2798</v>
      </c>
      <c r="B93" s="2859"/>
      <c r="C93" s="2859"/>
      <c r="D93" s="2859"/>
      <c r="E93" s="2859"/>
      <c r="F93" s="2859"/>
      <c r="G93" s="2859"/>
      <c r="H93" s="2859"/>
      <c r="I93" s="2859"/>
      <c r="J93" s="2859"/>
      <c r="K93" s="2859"/>
      <c r="L93" s="2859"/>
      <c r="M93" s="2859"/>
    </row>
    <row r="94" spans="1:20">
      <c r="A94" s="2860" t="s">
        <v>2797</v>
      </c>
      <c r="B94" s="2861" t="s">
        <v>2593</v>
      </c>
      <c r="C94" s="2861" t="s">
        <v>2594</v>
      </c>
      <c r="D94" s="2861" t="s">
        <v>2595</v>
      </c>
      <c r="E94" s="2861" t="s">
        <v>2596</v>
      </c>
      <c r="F94" s="2861" t="s">
        <v>2597</v>
      </c>
      <c r="G94" s="2861" t="s">
        <v>2598</v>
      </c>
      <c r="H94" s="2862" t="s">
        <v>2599</v>
      </c>
      <c r="I94" s="2862" t="s">
        <v>2600</v>
      </c>
      <c r="J94" s="2863" t="s">
        <v>2601</v>
      </c>
      <c r="K94" s="2863" t="s">
        <v>2602</v>
      </c>
      <c r="L94" s="2863" t="s">
        <v>2603</v>
      </c>
      <c r="M94" s="2864" t="s">
        <v>2604</v>
      </c>
      <c r="N94">
        <f>SUMPRODUCT((A95:A184=ROUNDDOWN(基准地价修正!G3,1))*(B94:M94=基准地价修正!G2)*(B95:M184))</f>
        <v>1</v>
      </c>
      <c r="Q94" s="2874" t="s">
        <v>2802</v>
      </c>
      <c r="R94" s="2874" t="s">
        <v>2803</v>
      </c>
      <c r="S94" s="2874" t="s">
        <v>2804</v>
      </c>
      <c r="T94" s="2874" t="s">
        <v>2805</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6"/>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6"/>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2799</v>
      </c>
      <c r="B185" s="2859"/>
      <c r="C185" s="2859"/>
      <c r="D185" s="2859"/>
      <c r="E185" s="2859"/>
      <c r="F185" s="2859"/>
      <c r="G185" s="2859"/>
      <c r="H185" s="2859"/>
      <c r="I185" s="2859"/>
      <c r="J185" s="2859"/>
      <c r="K185" s="2859"/>
      <c r="L185" s="2859"/>
      <c r="M185" s="2859"/>
    </row>
    <row r="186" spans="1:20">
      <c r="A186" s="2860" t="s">
        <v>2797</v>
      </c>
      <c r="B186" s="2861" t="s">
        <v>2593</v>
      </c>
      <c r="C186" s="2861" t="s">
        <v>2594</v>
      </c>
      <c r="D186" s="2861" t="s">
        <v>2595</v>
      </c>
      <c r="E186" s="2861" t="s">
        <v>2596</v>
      </c>
      <c r="F186" s="2861" t="s">
        <v>2597</v>
      </c>
      <c r="G186" s="2861" t="s">
        <v>2598</v>
      </c>
      <c r="H186" s="2862" t="s">
        <v>2599</v>
      </c>
      <c r="I186" s="2862" t="s">
        <v>2600</v>
      </c>
      <c r="J186" s="2863" t="s">
        <v>2601</v>
      </c>
      <c r="K186" s="2863" t="s">
        <v>2602</v>
      </c>
      <c r="L186" s="2863" t="s">
        <v>2603</v>
      </c>
      <c r="M186" s="2864" t="s">
        <v>2604</v>
      </c>
      <c r="Q186" s="2874" t="s">
        <v>2802</v>
      </c>
      <c r="R186" s="2874" t="s">
        <v>2803</v>
      </c>
      <c r="S186" s="2874" t="s">
        <v>2804</v>
      </c>
      <c r="T186" s="2874" t="s">
        <v>2805</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2800</v>
      </c>
      <c r="B277" s="2859"/>
      <c r="C277" s="2859"/>
      <c r="D277" s="2859"/>
      <c r="E277" s="2859"/>
      <c r="F277" s="2859"/>
      <c r="G277" s="2859"/>
      <c r="H277" s="2859"/>
      <c r="I277" s="2859"/>
      <c r="J277" s="2859"/>
      <c r="K277" s="2859"/>
      <c r="L277" s="2859"/>
      <c r="M277" s="2859"/>
    </row>
    <row r="278" spans="1:21">
      <c r="A278" s="2860" t="s">
        <v>2797</v>
      </c>
      <c r="B278" s="2861" t="s">
        <v>2593</v>
      </c>
      <c r="C278" s="2861" t="s">
        <v>2594</v>
      </c>
      <c r="D278" s="2861" t="s">
        <v>2595</v>
      </c>
      <c r="E278" s="2861" t="s">
        <v>2596</v>
      </c>
      <c r="F278" s="2861" t="s">
        <v>2597</v>
      </c>
      <c r="G278" s="2861" t="s">
        <v>2598</v>
      </c>
      <c r="H278" s="2862" t="s">
        <v>2599</v>
      </c>
      <c r="I278" s="2862" t="s">
        <v>2600</v>
      </c>
      <c r="J278" s="2863" t="s">
        <v>2601</v>
      </c>
      <c r="K278" s="2863" t="s">
        <v>2602</v>
      </c>
      <c r="L278" s="2863" t="s">
        <v>2603</v>
      </c>
      <c r="M278" s="2864" t="s">
        <v>2604</v>
      </c>
      <c r="Q278" s="2874" t="s">
        <v>2802</v>
      </c>
      <c r="R278" s="2874" t="s">
        <v>2803</v>
      </c>
      <c r="S278" s="2874" t="s">
        <v>2806</v>
      </c>
      <c r="T278" s="2874" t="s">
        <v>2807</v>
      </c>
      <c r="U278" s="2874" t="s">
        <v>2805</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2801</v>
      </c>
      <c r="B369" s="2872"/>
      <c r="C369" s="2872"/>
      <c r="D369" s="2872"/>
      <c r="E369" s="2872"/>
      <c r="F369" s="2872"/>
      <c r="G369" s="2872"/>
      <c r="H369" s="2872"/>
      <c r="I369" s="2872"/>
      <c r="J369" s="2872"/>
      <c r="K369" s="2872"/>
      <c r="L369" s="2872"/>
      <c r="M369" s="2872"/>
    </row>
    <row r="370" spans="1:20">
      <c r="A370" s="2860" t="s">
        <v>2797</v>
      </c>
      <c r="B370" s="2861" t="s">
        <v>2593</v>
      </c>
      <c r="C370" s="2861" t="s">
        <v>2594</v>
      </c>
      <c r="D370" s="2861" t="s">
        <v>2595</v>
      </c>
      <c r="E370" s="2861" t="s">
        <v>2596</v>
      </c>
      <c r="F370" s="2861" t="s">
        <v>2597</v>
      </c>
      <c r="G370" s="2861" t="s">
        <v>2598</v>
      </c>
      <c r="H370" s="2862" t="s">
        <v>2599</v>
      </c>
      <c r="I370" s="2862" t="s">
        <v>2600</v>
      </c>
      <c r="J370" s="2863" t="s">
        <v>2601</v>
      </c>
      <c r="K370" s="2863" t="s">
        <v>2602</v>
      </c>
      <c r="L370" s="2863" t="s">
        <v>2603</v>
      </c>
      <c r="M370" s="2864" t="s">
        <v>2604</v>
      </c>
      <c r="N370">
        <f>SUMPRODUCT((A371:A460=ROUNDDOWN(基准地价修正!G3,1))*(B370:M370=基准地价修正!G2)*(B371:M460))</f>
        <v>0.95120000000000005</v>
      </c>
      <c r="Q370" s="2874" t="s">
        <v>2802</v>
      </c>
      <c r="R370" s="2874" t="s">
        <v>2803</v>
      </c>
      <c r="S370" s="2874" t="s">
        <v>2804</v>
      </c>
      <c r="T370" s="2874" t="s">
        <v>2805</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29602</v>
      </c>
      <c r="C2" s="2" t="s">
        <v>106</v>
      </c>
      <c r="D2" s="190"/>
      <c r="E2" s="190"/>
      <c r="F2" s="190"/>
      <c r="G2" s="190"/>
    </row>
    <row r="3" spans="1:7" s="191" customFormat="1" ht="18" customHeight="1" thickBot="1">
      <c r="A3" s="194" t="s">
        <v>58</v>
      </c>
      <c r="B3" s="195">
        <f ca="1">ROUND(B2*10000/'数据-汇总表'!E3,0)</f>
        <v>2093938</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2</v>
      </c>
      <c r="D9" s="794">
        <f>'数据-汇总表'!E5</f>
        <v>141.37</v>
      </c>
      <c r="E9" s="216">
        <f>'数据-取费表'!B27</f>
        <v>150</v>
      </c>
      <c r="F9" s="212"/>
      <c r="G9" s="217"/>
    </row>
    <row r="10" spans="1:7" s="205" customFormat="1" ht="13.5" customHeight="1">
      <c r="A10" s="732" t="s">
        <v>356</v>
      </c>
      <c r="B10" s="215" t="s">
        <v>67</v>
      </c>
      <c r="C10" s="216">
        <f>ROUND(D10*E10/10000,0)</f>
        <v>0</v>
      </c>
      <c r="D10" s="794">
        <f>'数据-汇总表'!E6</f>
        <v>0</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3</v>
      </c>
      <c r="D19" s="203">
        <f>'数据-汇总表'!E3</f>
        <v>141.37</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2024</v>
      </c>
      <c r="D22" s="226">
        <f ca="1">C26</f>
        <v>1E-3</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2004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20</v>
      </c>
      <c r="D25" s="229"/>
      <c r="E25" s="232"/>
      <c r="F25" s="230"/>
      <c r="G25" s="233" t="s">
        <v>83</v>
      </c>
    </row>
    <row r="26" spans="1:7" s="205" customFormat="1">
      <c r="A26" s="733" t="s">
        <v>350</v>
      </c>
      <c r="B26" s="206" t="s">
        <v>422</v>
      </c>
      <c r="C26" s="229">
        <f ca="1">ROUND(IF('数据-取费表'!B22&lt;=1,F21*F22*'数据-取费表'!B23/2,F21*(POWER((1+F22),'数据-取费表'!B23/2)-1)),4)</f>
        <v>1E-3</v>
      </c>
      <c r="D26" s="229"/>
      <c r="E26" s="232"/>
      <c r="F26" s="230"/>
      <c r="G26" s="234"/>
    </row>
    <row r="27" spans="1:7" s="205" customFormat="1" ht="24.75">
      <c r="A27" s="730" t="s">
        <v>342</v>
      </c>
      <c r="B27" s="235" t="s">
        <v>85</v>
      </c>
      <c r="C27" s="236">
        <f>C28</f>
        <v>4205</v>
      </c>
      <c r="D27" s="226">
        <f>C29</f>
        <v>4.0000000000000001E-3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4205</v>
      </c>
      <c r="D28" s="226"/>
      <c r="E28" s="227"/>
      <c r="F28" s="237"/>
      <c r="G28" s="238"/>
    </row>
    <row r="29" spans="1:7" s="205" customFormat="1" ht="13.5" customHeight="1">
      <c r="A29" s="733" t="s">
        <v>347</v>
      </c>
      <c r="B29" s="239" t="s">
        <v>425</v>
      </c>
      <c r="C29" s="229">
        <f>ROUND(C21*F27*'数据-取费表'!B21/'数据-取费表'!B20,4)</f>
        <v>4.0000000000000001E-3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29540</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56</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49</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2</v>
      </c>
      <c r="D36" s="211"/>
      <c r="E36" s="211"/>
      <c r="F36" s="250">
        <f>'数据-取费表'!B34</f>
        <v>0.05</v>
      </c>
      <c r="G36" s="251" t="s">
        <v>35</v>
      </c>
    </row>
    <row r="37" spans="1:7" s="249" customFormat="1" ht="13.5" customHeight="1">
      <c r="A37" s="733" t="s">
        <v>353</v>
      </c>
      <c r="B37" s="206" t="s">
        <v>91</v>
      </c>
      <c r="C37" s="240">
        <f>ROUND(E37*D37*F34/10000,0)</f>
        <v>3</v>
      </c>
      <c r="D37" s="208">
        <f>'数据-汇总表'!E3</f>
        <v>141.37</v>
      </c>
      <c r="E37" s="240">
        <f>'数据-取费表'!B35</f>
        <v>200</v>
      </c>
      <c r="F37" s="250"/>
      <c r="G37" s="252" t="s">
        <v>92</v>
      </c>
    </row>
    <row r="38" spans="1:7" ht="13.5" customHeight="1">
      <c r="A38" s="733" t="s">
        <v>354</v>
      </c>
      <c r="B38" s="206" t="s">
        <v>36</v>
      </c>
      <c r="C38" s="211">
        <f>ROUND(C34*F38,0)</f>
        <v>1</v>
      </c>
      <c r="D38" s="211"/>
      <c r="E38" s="211"/>
      <c r="F38" s="250">
        <f>'数据-取费表'!B36</f>
        <v>1.4999999999999999E-2</v>
      </c>
      <c r="G38" s="210" t="s">
        <v>90</v>
      </c>
    </row>
    <row r="39" spans="1:7" s="205" customFormat="1" ht="13.5" customHeight="1">
      <c r="A39" s="730" t="s">
        <v>338</v>
      </c>
      <c r="B39" s="201" t="s">
        <v>77</v>
      </c>
      <c r="C39" s="223">
        <f>ROUND(C33*F20,0)</f>
        <v>1</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3</v>
      </c>
      <c r="D41" s="226">
        <f ca="1">C44</f>
        <v>1E-3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3</v>
      </c>
      <c r="D42" s="229"/>
      <c r="E42" s="229"/>
      <c r="F42" s="230"/>
      <c r="G42" s="3372" t="s">
        <v>94</v>
      </c>
    </row>
    <row r="43" spans="1:7" ht="13.5" customHeight="1">
      <c r="A43" s="733" t="s">
        <v>347</v>
      </c>
      <c r="B43" s="206" t="s">
        <v>426</v>
      </c>
      <c r="C43" s="229">
        <f ca="1">ROUND(IF('数据-取费表'!B22&lt;=1,C39*F22*'数据-取费表'!B21/2,C39*(POWER((1+F22),'数据-取费表'!B21/2)-1)),0)</f>
        <v>0</v>
      </c>
      <c r="D43" s="229"/>
      <c r="E43" s="229"/>
      <c r="F43" s="230"/>
      <c r="G43" s="3373"/>
    </row>
    <row r="44" spans="1:7" ht="13.5" customHeight="1">
      <c r="A44" s="733" t="s">
        <v>348</v>
      </c>
      <c r="B44" s="206" t="s">
        <v>428</v>
      </c>
      <c r="C44" s="229">
        <f ca="1">ROUND(IF('数据-取费表'!B22&lt;=1,C40*F22*'数据-取费表'!B21/2,C40*(POWER((1+F22),'数据-取费表'!B21/2)-1)),4)</f>
        <v>1E-3</v>
      </c>
      <c r="D44" s="229"/>
      <c r="E44" s="229"/>
      <c r="F44" s="230"/>
      <c r="G44" s="3374"/>
    </row>
    <row r="45" spans="1:7" s="205" customFormat="1" ht="13.5" customHeight="1">
      <c r="A45" s="730" t="s">
        <v>341</v>
      </c>
      <c r="B45" s="235" t="s">
        <v>85</v>
      </c>
      <c r="C45" s="236">
        <f>C46</f>
        <v>11</v>
      </c>
      <c r="D45" s="226">
        <f>C47</f>
        <v>4.0000000000000001E-3</v>
      </c>
      <c r="E45" s="227" t="s">
        <v>102</v>
      </c>
      <c r="F45" s="237"/>
      <c r="G45" s="238" t="s">
        <v>434</v>
      </c>
    </row>
    <row r="46" spans="1:7" s="205" customFormat="1" ht="13.5" customHeight="1">
      <c r="A46" s="733" t="s">
        <v>349</v>
      </c>
      <c r="B46" s="239" t="s">
        <v>427</v>
      </c>
      <c r="C46" s="240">
        <f>ROUND((C33+C39)*F27,0)</f>
        <v>11</v>
      </c>
      <c r="D46" s="254"/>
      <c r="E46" s="227"/>
      <c r="F46" s="237"/>
      <c r="G46" s="238"/>
    </row>
    <row r="47" spans="1:7" s="205" customFormat="1" ht="13.5" customHeight="1">
      <c r="A47" s="733" t="s">
        <v>347</v>
      </c>
      <c r="B47" s="239" t="s">
        <v>429</v>
      </c>
      <c r="C47" s="229">
        <f>ROUND(C40*F27,4)</f>
        <v>4.0000000000000001E-3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77</v>
      </c>
      <c r="D49" s="223"/>
      <c r="E49" s="223"/>
      <c r="F49" s="255"/>
      <c r="G49" s="225" t="s">
        <v>435</v>
      </c>
    </row>
    <row r="50" spans="1:7" s="249" customFormat="1" ht="24">
      <c r="A50" s="730" t="s">
        <v>344</v>
      </c>
      <c r="B50" s="201" t="s">
        <v>97</v>
      </c>
      <c r="C50" s="223"/>
      <c r="D50" s="223"/>
      <c r="E50" s="223"/>
      <c r="F50" s="255">
        <f>IF('数据-取费表'!B24=0,'数据-取费表'!N16,1)</f>
        <v>0.8</v>
      </c>
      <c r="G50" s="238" t="s">
        <v>98</v>
      </c>
    </row>
    <row r="51" spans="1:7" ht="16.5" customHeight="1">
      <c r="A51" s="730" t="s">
        <v>345</v>
      </c>
      <c r="B51" s="201" t="s">
        <v>105</v>
      </c>
      <c r="C51" s="223">
        <f ca="1">ROUND(C49*F50,0)</f>
        <v>62</v>
      </c>
      <c r="D51" s="223"/>
      <c r="E51" s="223"/>
      <c r="F51" s="255"/>
      <c r="G51" s="225" t="s">
        <v>37</v>
      </c>
    </row>
    <row r="52" spans="1:7" s="199" customFormat="1" ht="16.5" thickBot="1">
      <c r="A52" s="256" t="s">
        <v>38</v>
      </c>
      <c r="B52" s="257"/>
      <c r="C52" s="258">
        <f ca="1">C31+C51</f>
        <v>29602</v>
      </c>
      <c r="D52" s="257"/>
      <c r="E52" s="257"/>
      <c r="F52" s="257"/>
      <c r="G52" s="259"/>
    </row>
    <row r="55" spans="1:7" ht="15">
      <c r="B55" s="261" t="s">
        <v>39</v>
      </c>
      <c r="C55" s="262"/>
    </row>
    <row r="56" spans="1:7">
      <c r="B56" s="264" t="s">
        <v>40</v>
      </c>
      <c r="C56" s="265">
        <f ca="1">ROUND(C51/C52,3)</f>
        <v>2E-3</v>
      </c>
    </row>
    <row r="57" spans="1:7">
      <c r="B57" s="264" t="s">
        <v>41</v>
      </c>
      <c r="C57" s="266">
        <f ca="1">1-C56</f>
        <v>0.998</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11" t="s">
        <v>2839</v>
      </c>
      <c r="B1" s="3511"/>
      <c r="C1" s="3511"/>
      <c r="D1" s="3511"/>
      <c r="E1" s="3511"/>
      <c r="F1" s="3511"/>
      <c r="G1" s="3512"/>
      <c r="I1" s="2932" t="s">
        <v>2840</v>
      </c>
      <c r="J1" s="2933" t="s">
        <v>2841</v>
      </c>
      <c r="K1" s="2933" t="s">
        <v>2842</v>
      </c>
      <c r="L1" s="2933" t="s">
        <v>2843</v>
      </c>
      <c r="M1" s="2933" t="s">
        <v>2844</v>
      </c>
      <c r="N1" s="2933" t="s">
        <v>2845</v>
      </c>
      <c r="O1" s="2933" t="s">
        <v>2846</v>
      </c>
      <c r="P1" s="2933" t="s">
        <v>2847</v>
      </c>
      <c r="Q1" s="2933" t="s">
        <v>2848</v>
      </c>
      <c r="R1" s="2933" t="s">
        <v>2849</v>
      </c>
      <c r="S1" s="2933" t="s">
        <v>2850</v>
      </c>
      <c r="T1" s="2934" t="s">
        <v>2851</v>
      </c>
    </row>
    <row r="2" spans="1:20" ht="12" thickBot="1">
      <c r="A2" s="2935" t="s">
        <v>2852</v>
      </c>
      <c r="B2" s="2935"/>
      <c r="C2" s="2935"/>
      <c r="D2" s="2935"/>
      <c r="E2" s="2935"/>
      <c r="F2" s="2935"/>
      <c r="G2" s="2936" t="s">
        <v>2853</v>
      </c>
      <c r="I2" s="2937" t="s">
        <v>2854</v>
      </c>
      <c r="J2" s="2937" t="s">
        <v>2855</v>
      </c>
      <c r="K2" s="2937" t="s">
        <v>2856</v>
      </c>
      <c r="L2" s="2937" t="s">
        <v>2857</v>
      </c>
      <c r="M2" s="2937" t="s">
        <v>2858</v>
      </c>
      <c r="N2" s="2937" t="s">
        <v>2859</v>
      </c>
      <c r="O2" s="2937" t="s">
        <v>2860</v>
      </c>
      <c r="P2" s="2937" t="s">
        <v>2861</v>
      </c>
      <c r="Q2" s="2937" t="s">
        <v>2862</v>
      </c>
      <c r="R2" s="2937" t="s">
        <v>2863</v>
      </c>
      <c r="S2" s="2937" t="s">
        <v>2864</v>
      </c>
      <c r="T2" s="2937" t="s">
        <v>2865</v>
      </c>
    </row>
    <row r="3" spans="1:20" s="2943" customFormat="1">
      <c r="A3" s="3509" t="s">
        <v>2866</v>
      </c>
      <c r="B3" s="2938"/>
      <c r="C3" s="2939" t="s">
        <v>2809</v>
      </c>
      <c r="D3" s="2939" t="s">
        <v>2867</v>
      </c>
      <c r="E3" s="2939" t="s">
        <v>2811</v>
      </c>
      <c r="F3" s="2939" t="s">
        <v>2868</v>
      </c>
      <c r="G3" s="2939" t="s">
        <v>2629</v>
      </c>
      <c r="H3" s="2940"/>
      <c r="I3" s="2941" t="s">
        <v>2869</v>
      </c>
      <c r="J3" s="2942" t="s">
        <v>128</v>
      </c>
      <c r="K3" s="2942" t="s">
        <v>129</v>
      </c>
      <c r="L3" s="2941" t="s">
        <v>130</v>
      </c>
      <c r="M3" s="2941" t="s">
        <v>131</v>
      </c>
      <c r="N3" s="2941" t="s">
        <v>132</v>
      </c>
      <c r="O3" s="2941" t="s">
        <v>133</v>
      </c>
      <c r="P3" s="2941" t="s">
        <v>134</v>
      </c>
      <c r="Q3" s="2941" t="s">
        <v>135</v>
      </c>
      <c r="R3" s="2941" t="s">
        <v>136</v>
      </c>
      <c r="S3" s="2941" t="s">
        <v>2870</v>
      </c>
      <c r="T3" s="2941" t="s">
        <v>2871</v>
      </c>
    </row>
    <row r="4" spans="1:20" s="2943" customFormat="1" ht="12" thickBot="1">
      <c r="A4" s="3510"/>
      <c r="B4" s="2944" t="s">
        <v>2872</v>
      </c>
      <c r="C4" s="2944" t="s">
        <v>2873</v>
      </c>
      <c r="D4" s="2944" t="s">
        <v>2873</v>
      </c>
      <c r="E4" s="2944" t="s">
        <v>2873</v>
      </c>
      <c r="F4" s="2945" t="s">
        <v>2873</v>
      </c>
      <c r="G4" s="2945" t="s">
        <v>2873</v>
      </c>
      <c r="H4" s="2940"/>
      <c r="I4" s="2942" t="s">
        <v>137</v>
      </c>
      <c r="J4" s="2942" t="s">
        <v>111</v>
      </c>
      <c r="K4" s="2942" t="s">
        <v>138</v>
      </c>
      <c r="L4" s="2941" t="s">
        <v>139</v>
      </c>
      <c r="M4" s="2941" t="s">
        <v>140</v>
      </c>
      <c r="N4" s="2941" t="s">
        <v>141</v>
      </c>
      <c r="O4" s="2941" t="s">
        <v>142</v>
      </c>
      <c r="P4" s="2941" t="s">
        <v>143</v>
      </c>
      <c r="Q4" s="2941" t="s">
        <v>2874</v>
      </c>
      <c r="R4" s="2941" t="s">
        <v>2875</v>
      </c>
      <c r="S4" s="2941" t="s">
        <v>2876</v>
      </c>
      <c r="T4" s="2941" t="s">
        <v>2877</v>
      </c>
    </row>
    <row r="5" spans="1:20">
      <c r="A5" s="2946" t="s">
        <v>2840</v>
      </c>
      <c r="B5" s="2937" t="s">
        <v>2854</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2878</v>
      </c>
      <c r="R5" s="2941" t="s">
        <v>2879</v>
      </c>
      <c r="S5" s="2941" t="s">
        <v>153</v>
      </c>
      <c r="T5" s="2941" t="s">
        <v>2880</v>
      </c>
    </row>
    <row r="6" spans="1:20" ht="12" thickBot="1">
      <c r="A6" s="2941" t="s">
        <v>144</v>
      </c>
      <c r="B6" s="2941" t="s">
        <v>2869</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2881</v>
      </c>
      <c r="Q6" s="2941" t="s">
        <v>2882</v>
      </c>
      <c r="R6" s="2941" t="s">
        <v>161</v>
      </c>
      <c r="S6" s="2941" t="s">
        <v>2883</v>
      </c>
      <c r="T6" s="2941" t="s">
        <v>2884</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2885</v>
      </c>
      <c r="Q7" s="2941" t="s">
        <v>2886</v>
      </c>
      <c r="R7" s="2941" t="s">
        <v>2887</v>
      </c>
      <c r="S7" s="2941" t="s">
        <v>2888</v>
      </c>
      <c r="T7" s="2941" t="s">
        <v>2889</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2890</v>
      </c>
      <c r="Q8" s="2941" t="s">
        <v>174</v>
      </c>
      <c r="R8" s="2941" t="s">
        <v>2891</v>
      </c>
      <c r="S8" s="2941" t="s">
        <v>2892</v>
      </c>
      <c r="T8" s="2948" t="s">
        <v>2893</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2894</v>
      </c>
      <c r="Q9" s="2941" t="s">
        <v>182</v>
      </c>
      <c r="R9" s="2941" t="s">
        <v>183</v>
      </c>
      <c r="S9" s="2941" t="s">
        <v>200</v>
      </c>
    </row>
    <row r="10" spans="1:20">
      <c r="A10" s="2946" t="s">
        <v>184</v>
      </c>
      <c r="B10" s="2937" t="s">
        <v>2855</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2895</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2896</v>
      </c>
      <c r="P11" s="2941" t="s">
        <v>191</v>
      </c>
      <c r="Q11" s="2941" t="s">
        <v>199</v>
      </c>
      <c r="R11" s="2941" t="s">
        <v>2897</v>
      </c>
      <c r="S11" s="2941" t="s">
        <v>2898</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2899</v>
      </c>
      <c r="P12" s="2941" t="s">
        <v>2900</v>
      </c>
      <c r="Q12" s="2941" t="s">
        <v>2901</v>
      </c>
      <c r="R12" s="2941" t="s">
        <v>2902</v>
      </c>
      <c r="S12" s="2941" t="s">
        <v>2903</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2904</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2905</v>
      </c>
      <c r="K14" s="2942" t="s">
        <v>215</v>
      </c>
      <c r="L14" s="2941" t="s">
        <v>216</v>
      </c>
      <c r="M14" s="2941" t="s">
        <v>217</v>
      </c>
      <c r="N14" s="2941" t="s">
        <v>218</v>
      </c>
      <c r="O14" s="2941" t="s">
        <v>240</v>
      </c>
      <c r="P14" s="2941" t="s">
        <v>213</v>
      </c>
      <c r="Q14" s="2941" t="s">
        <v>2906</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2907</v>
      </c>
      <c r="P15" s="2941" t="s">
        <v>2908</v>
      </c>
      <c r="Q15" s="2941" t="s">
        <v>242</v>
      </c>
      <c r="R15" s="2941" t="s">
        <v>2909</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2910</v>
      </c>
      <c r="P16" s="2941" t="s">
        <v>227</v>
      </c>
      <c r="Q16" s="2941" t="s">
        <v>250</v>
      </c>
      <c r="R16" s="2941" t="s">
        <v>207</v>
      </c>
      <c r="S16" s="2941" t="s">
        <v>2911</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2912</v>
      </c>
      <c r="P17" s="2941" t="s">
        <v>2913</v>
      </c>
      <c r="Q17" s="2941" t="s">
        <v>256</v>
      </c>
      <c r="R17" s="2941" t="s">
        <v>2914</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2915</v>
      </c>
      <c r="P18" s="2941" t="s">
        <v>241</v>
      </c>
      <c r="Q18" s="2941" t="s">
        <v>2916</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2917</v>
      </c>
      <c r="P19" s="2941" t="s">
        <v>249</v>
      </c>
      <c r="Q19" s="2941" t="s">
        <v>2918</v>
      </c>
      <c r="R19" s="2941" t="s">
        <v>265</v>
      </c>
      <c r="S19" s="2941" t="s">
        <v>2919</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2920</v>
      </c>
      <c r="P20" s="2941" t="s">
        <v>2921</v>
      </c>
      <c r="Q20" s="2941" t="s">
        <v>290</v>
      </c>
      <c r="R20" s="2941" t="s">
        <v>2922</v>
      </c>
      <c r="S20" s="2941" t="s">
        <v>277</v>
      </c>
    </row>
    <row r="21" spans="1:19" ht="14.25" customHeight="1" thickBot="1">
      <c r="A21" s="2941" t="s">
        <v>184</v>
      </c>
      <c r="B21" s="2942" t="s">
        <v>208</v>
      </c>
      <c r="C21" s="2941">
        <v>32370</v>
      </c>
      <c r="D21" s="2941">
        <v>26730</v>
      </c>
      <c r="E21" s="2941">
        <v>26640</v>
      </c>
      <c r="F21" s="2941"/>
      <c r="G21" s="2941">
        <v>19440</v>
      </c>
      <c r="J21" s="2948" t="s">
        <v>2923</v>
      </c>
      <c r="K21" s="2942" t="s">
        <v>267</v>
      </c>
      <c r="L21" s="2941" t="s">
        <v>268</v>
      </c>
      <c r="M21" s="2941" t="s">
        <v>269</v>
      </c>
      <c r="N21" s="2941" t="s">
        <v>270</v>
      </c>
      <c r="O21" s="2941" t="s">
        <v>264</v>
      </c>
      <c r="P21" s="2941" t="s">
        <v>283</v>
      </c>
      <c r="Q21" s="2941" t="s">
        <v>293</v>
      </c>
      <c r="R21" s="2941" t="s">
        <v>2924</v>
      </c>
      <c r="S21" s="2948" t="s">
        <v>2925</v>
      </c>
    </row>
    <row r="22" spans="1:19" ht="14.25" customHeight="1">
      <c r="A22" s="2941" t="s">
        <v>184</v>
      </c>
      <c r="B22" s="2942" t="s">
        <v>2905</v>
      </c>
      <c r="C22" s="2941">
        <v>29830</v>
      </c>
      <c r="D22" s="2941">
        <v>27600</v>
      </c>
      <c r="E22" s="2941">
        <v>28150</v>
      </c>
      <c r="F22" s="2941"/>
      <c r="G22" s="2941">
        <v>20080</v>
      </c>
      <c r="K22" s="2942" t="s">
        <v>2926</v>
      </c>
      <c r="L22" s="2941" t="s">
        <v>272</v>
      </c>
      <c r="M22" s="2941" t="s">
        <v>273</v>
      </c>
      <c r="N22" s="2941" t="s">
        <v>274</v>
      </c>
      <c r="O22" s="2941" t="s">
        <v>2927</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2928</v>
      </c>
      <c r="L23" s="2941" t="s">
        <v>278</v>
      </c>
      <c r="M23" s="2941" t="s">
        <v>279</v>
      </c>
      <c r="N23" s="2941" t="s">
        <v>2929</v>
      </c>
      <c r="O23" s="2941" t="s">
        <v>2930</v>
      </c>
      <c r="P23" s="2941" t="s">
        <v>289</v>
      </c>
      <c r="Q23" s="2941" t="s">
        <v>298</v>
      </c>
      <c r="R23" s="2941" t="s">
        <v>2931</v>
      </c>
    </row>
    <row r="24" spans="1:19" ht="14.25" customHeight="1">
      <c r="A24" s="2941" t="s">
        <v>184</v>
      </c>
      <c r="B24" s="2942" t="s">
        <v>230</v>
      </c>
      <c r="C24" s="2941">
        <v>27930</v>
      </c>
      <c r="D24" s="2941">
        <v>32260</v>
      </c>
      <c r="E24" s="2941">
        <v>32120</v>
      </c>
      <c r="F24" s="2941"/>
      <c r="G24" s="2941">
        <v>23470</v>
      </c>
      <c r="K24" s="2942" t="s">
        <v>2932</v>
      </c>
      <c r="L24" s="2941" t="s">
        <v>281</v>
      </c>
      <c r="M24" s="2941" t="s">
        <v>282</v>
      </c>
      <c r="N24" s="2941" t="s">
        <v>2933</v>
      </c>
      <c r="O24" s="2941" t="s">
        <v>285</v>
      </c>
      <c r="P24" s="2941" t="s">
        <v>2934</v>
      </c>
      <c r="Q24" s="2950" t="s">
        <v>2935</v>
      </c>
      <c r="R24" s="2941" t="s">
        <v>2936</v>
      </c>
    </row>
    <row r="25" spans="1:19" ht="14.25" customHeight="1">
      <c r="A25" s="2941" t="s">
        <v>184</v>
      </c>
      <c r="B25" s="2942" t="s">
        <v>235</v>
      </c>
      <c r="C25" s="2941">
        <v>32230</v>
      </c>
      <c r="D25" s="2941">
        <v>29640</v>
      </c>
      <c r="E25" s="2941">
        <v>29510</v>
      </c>
      <c r="F25" s="2941"/>
      <c r="G25" s="2941">
        <v>21560</v>
      </c>
      <c r="K25" s="2942" t="s">
        <v>2937</v>
      </c>
      <c r="L25" s="2941" t="s">
        <v>2938</v>
      </c>
      <c r="M25" s="2941" t="s">
        <v>284</v>
      </c>
      <c r="N25" s="2941" t="s">
        <v>292</v>
      </c>
      <c r="O25" s="2941" t="s">
        <v>288</v>
      </c>
      <c r="P25" s="2941" t="s">
        <v>275</v>
      </c>
      <c r="Q25" s="2950" t="s">
        <v>271</v>
      </c>
      <c r="R25" s="2941" t="s">
        <v>2939</v>
      </c>
    </row>
    <row r="26" spans="1:19" ht="14.25" customHeight="1" thickBot="1">
      <c r="A26" s="2941" t="s">
        <v>184</v>
      </c>
      <c r="B26" s="2942" t="s">
        <v>244</v>
      </c>
      <c r="C26" s="2941">
        <v>31690</v>
      </c>
      <c r="D26" s="2941">
        <v>27650</v>
      </c>
      <c r="E26" s="2941">
        <v>28200</v>
      </c>
      <c r="F26" s="2941"/>
      <c r="G26" s="2941">
        <v>20110</v>
      </c>
      <c r="K26" s="2947" t="s">
        <v>2940</v>
      </c>
      <c r="L26" s="2941" t="s">
        <v>2941</v>
      </c>
      <c r="M26" s="2941" t="s">
        <v>287</v>
      </c>
      <c r="N26" s="2941" t="s">
        <v>294</v>
      </c>
      <c r="O26" s="2941" t="s">
        <v>2942</v>
      </c>
      <c r="P26" s="2941" t="s">
        <v>2943</v>
      </c>
      <c r="Q26" s="2950" t="s">
        <v>276</v>
      </c>
      <c r="R26" s="2941" t="s">
        <v>2944</v>
      </c>
    </row>
    <row r="27" spans="1:19" ht="14.25" customHeight="1">
      <c r="A27" s="2941" t="s">
        <v>184</v>
      </c>
      <c r="B27" s="2942" t="s">
        <v>251</v>
      </c>
      <c r="C27" s="2941">
        <v>29610</v>
      </c>
      <c r="D27" s="2941">
        <v>27770</v>
      </c>
      <c r="E27" s="2941">
        <v>28300</v>
      </c>
      <c r="F27" s="2941"/>
      <c r="G27" s="2941">
        <v>20210</v>
      </c>
      <c r="L27" s="2941" t="s">
        <v>2945</v>
      </c>
      <c r="M27" s="2941" t="s">
        <v>291</v>
      </c>
      <c r="N27" s="2941" t="s">
        <v>297</v>
      </c>
      <c r="O27" s="2941" t="s">
        <v>2946</v>
      </c>
      <c r="P27" s="2941" t="s">
        <v>2947</v>
      </c>
      <c r="Q27" s="2941" t="s">
        <v>2948</v>
      </c>
      <c r="R27" s="2941" t="s">
        <v>2949</v>
      </c>
    </row>
    <row r="28" spans="1:19" ht="14.25" customHeight="1">
      <c r="A28" s="2941" t="s">
        <v>184</v>
      </c>
      <c r="B28" s="2942" t="s">
        <v>259</v>
      </c>
      <c r="C28" s="2941"/>
      <c r="D28" s="2941">
        <v>31520</v>
      </c>
      <c r="E28" s="2941">
        <v>31410</v>
      </c>
      <c r="F28" s="2941"/>
      <c r="G28" s="2941">
        <v>22940</v>
      </c>
      <c r="L28" s="2941" t="s">
        <v>2950</v>
      </c>
      <c r="M28" s="2941" t="s">
        <v>2951</v>
      </c>
      <c r="N28" s="2941" t="s">
        <v>2952</v>
      </c>
      <c r="O28" s="2941" t="s">
        <v>2953</v>
      </c>
      <c r="P28" s="2941" t="s">
        <v>2954</v>
      </c>
      <c r="Q28" s="2941" t="s">
        <v>2955</v>
      </c>
      <c r="R28" s="2941" t="s">
        <v>2956</v>
      </c>
    </row>
    <row r="29" spans="1:19" ht="14.25" customHeight="1" thickBot="1">
      <c r="A29" s="2949" t="s">
        <v>184</v>
      </c>
      <c r="B29" s="2951" t="s">
        <v>2923</v>
      </c>
      <c r="C29" s="2952"/>
      <c r="D29" s="2952">
        <v>29460</v>
      </c>
      <c r="E29" s="2952">
        <v>28640</v>
      </c>
      <c r="F29" s="2952"/>
      <c r="G29" s="2952">
        <v>21430</v>
      </c>
      <c r="L29" s="2941" t="s">
        <v>2957</v>
      </c>
      <c r="M29" s="2941" t="s">
        <v>2958</v>
      </c>
      <c r="N29" s="2941" t="s">
        <v>2959</v>
      </c>
      <c r="O29" s="2941" t="s">
        <v>2960</v>
      </c>
      <c r="P29" s="2941" t="s">
        <v>2961</v>
      </c>
      <c r="Q29" s="2941" t="s">
        <v>2962</v>
      </c>
      <c r="R29" s="2941" t="s">
        <v>280</v>
      </c>
    </row>
    <row r="30" spans="1:19" ht="14.25" customHeight="1">
      <c r="A30" s="2946" t="s">
        <v>296</v>
      </c>
      <c r="B30" s="2937" t="s">
        <v>2856</v>
      </c>
      <c r="C30" s="2937">
        <v>26890</v>
      </c>
      <c r="D30" s="2937">
        <v>26770</v>
      </c>
      <c r="E30" s="2937">
        <v>25700</v>
      </c>
      <c r="F30" s="2937">
        <v>8180</v>
      </c>
      <c r="G30" s="2953">
        <v>18740</v>
      </c>
      <c r="L30" s="2941" t="s">
        <v>2963</v>
      </c>
      <c r="M30" s="2941" t="s">
        <v>2964</v>
      </c>
      <c r="N30" s="2941" t="s">
        <v>2965</v>
      </c>
      <c r="O30" s="2941" t="s">
        <v>2966</v>
      </c>
      <c r="P30" s="2941" t="s">
        <v>2967</v>
      </c>
      <c r="Q30" s="2941" t="s">
        <v>2968</v>
      </c>
      <c r="R30" s="2941" t="s">
        <v>2969</v>
      </c>
    </row>
    <row r="31" spans="1:19" ht="14.25" customHeight="1">
      <c r="A31" s="2941" t="s">
        <v>296</v>
      </c>
      <c r="B31" s="2942" t="s">
        <v>129</v>
      </c>
      <c r="C31" s="2941">
        <v>24550</v>
      </c>
      <c r="D31" s="2941">
        <v>23990</v>
      </c>
      <c r="E31" s="2941">
        <v>22930</v>
      </c>
      <c r="F31" s="2941">
        <v>7470</v>
      </c>
      <c r="G31" s="2954">
        <v>16790</v>
      </c>
      <c r="L31" s="2941" t="s">
        <v>2970</v>
      </c>
      <c r="M31" s="2941" t="s">
        <v>2971</v>
      </c>
      <c r="N31" s="2941" t="s">
        <v>2972</v>
      </c>
      <c r="O31" s="2941" t="s">
        <v>2973</v>
      </c>
      <c r="P31" s="2941" t="s">
        <v>2974</v>
      </c>
      <c r="Q31" s="2941" t="s">
        <v>2975</v>
      </c>
      <c r="R31" s="2941" t="s">
        <v>2976</v>
      </c>
    </row>
    <row r="32" spans="1:19" ht="14.25" customHeight="1" thickBot="1">
      <c r="A32" s="2941" t="s">
        <v>296</v>
      </c>
      <c r="B32" s="2942" t="s">
        <v>138</v>
      </c>
      <c r="C32" s="2941">
        <v>27210</v>
      </c>
      <c r="D32" s="2941">
        <v>23240</v>
      </c>
      <c r="E32" s="2941">
        <v>23260</v>
      </c>
      <c r="F32" s="2941">
        <v>7130</v>
      </c>
      <c r="G32" s="2954">
        <v>16270</v>
      </c>
      <c r="L32" s="2941" t="s">
        <v>2977</v>
      </c>
      <c r="M32" s="2941" t="s">
        <v>2978</v>
      </c>
      <c r="N32" s="2941" t="s">
        <v>300</v>
      </c>
      <c r="O32" s="2941" t="s">
        <v>2979</v>
      </c>
      <c r="P32" s="2941" t="s">
        <v>299</v>
      </c>
      <c r="Q32" s="2941" t="s">
        <v>2980</v>
      </c>
      <c r="R32" s="2948" t="s">
        <v>2981</v>
      </c>
    </row>
    <row r="33" spans="1:17" ht="14.25" customHeight="1" thickBot="1">
      <c r="A33" s="2941" t="s">
        <v>296</v>
      </c>
      <c r="B33" s="2942" t="s">
        <v>147</v>
      </c>
      <c r="C33" s="2941">
        <v>27300</v>
      </c>
      <c r="D33" s="2941">
        <v>22980</v>
      </c>
      <c r="E33" s="2941">
        <v>24260</v>
      </c>
      <c r="F33" s="2941">
        <v>5860</v>
      </c>
      <c r="G33" s="2954">
        <v>16090</v>
      </c>
      <c r="L33" s="2948" t="s">
        <v>2982</v>
      </c>
      <c r="M33" s="2941" t="s">
        <v>2983</v>
      </c>
      <c r="N33" s="2941" t="s">
        <v>301</v>
      </c>
      <c r="O33" s="2941" t="s">
        <v>2984</v>
      </c>
      <c r="P33" s="2941" t="s">
        <v>2985</v>
      </c>
      <c r="Q33" s="2941" t="s">
        <v>2986</v>
      </c>
    </row>
    <row r="34" spans="1:17" ht="14.25" customHeight="1">
      <c r="A34" s="2941" t="s">
        <v>296</v>
      </c>
      <c r="B34" s="2942" t="s">
        <v>156</v>
      </c>
      <c r="C34" s="2941">
        <v>23090</v>
      </c>
      <c r="D34" s="2941">
        <v>23390</v>
      </c>
      <c r="E34" s="2941">
        <v>23510</v>
      </c>
      <c r="F34" s="2941">
        <v>6700</v>
      </c>
      <c r="G34" s="2954">
        <v>16370</v>
      </c>
      <c r="M34" s="2941" t="s">
        <v>2987</v>
      </c>
      <c r="N34" s="2941" t="s">
        <v>302</v>
      </c>
      <c r="O34" s="2941" t="s">
        <v>2988</v>
      </c>
      <c r="P34" s="2941" t="s">
        <v>2989</v>
      </c>
      <c r="Q34" s="2941" t="s">
        <v>2990</v>
      </c>
    </row>
    <row r="35" spans="1:17" ht="14.25" customHeight="1">
      <c r="A35" s="2941" t="s">
        <v>296</v>
      </c>
      <c r="B35" s="2942" t="s">
        <v>163</v>
      </c>
      <c r="C35" s="2941">
        <v>27270</v>
      </c>
      <c r="D35" s="2941">
        <v>24270</v>
      </c>
      <c r="E35" s="2941">
        <v>24950</v>
      </c>
      <c r="F35" s="2941">
        <v>6600</v>
      </c>
      <c r="G35" s="2954">
        <v>16990</v>
      </c>
      <c r="M35" s="2941" t="s">
        <v>2991</v>
      </c>
      <c r="N35" s="2941" t="s">
        <v>2992</v>
      </c>
      <c r="O35" s="2941" t="s">
        <v>2993</v>
      </c>
      <c r="P35" s="2941" t="s">
        <v>2994</v>
      </c>
      <c r="Q35" s="2941" t="s">
        <v>2995</v>
      </c>
    </row>
    <row r="36" spans="1:17" ht="14.25" customHeight="1">
      <c r="A36" s="2941" t="s">
        <v>296</v>
      </c>
      <c r="B36" s="2942" t="s">
        <v>169</v>
      </c>
      <c r="C36" s="2941">
        <v>23490</v>
      </c>
      <c r="D36" s="2941">
        <v>23020</v>
      </c>
      <c r="E36" s="2941">
        <v>25230</v>
      </c>
      <c r="F36" s="2941">
        <v>6780</v>
      </c>
      <c r="G36" s="2954">
        <v>16120</v>
      </c>
      <c r="M36" s="2941" t="s">
        <v>2996</v>
      </c>
      <c r="N36" s="2941" t="s">
        <v>2997</v>
      </c>
      <c r="O36" s="2941" t="s">
        <v>2998</v>
      </c>
      <c r="P36" s="2941" t="s">
        <v>2999</v>
      </c>
      <c r="Q36" s="2941" t="s">
        <v>3000</v>
      </c>
    </row>
    <row r="37" spans="1:17" ht="14.25" customHeight="1">
      <c r="A37" s="2941" t="s">
        <v>296</v>
      </c>
      <c r="B37" s="2942" t="s">
        <v>176</v>
      </c>
      <c r="C37" s="2941">
        <v>24380</v>
      </c>
      <c r="D37" s="2941">
        <v>22240</v>
      </c>
      <c r="E37" s="2941">
        <v>25980</v>
      </c>
      <c r="F37" s="2941">
        <v>8160</v>
      </c>
      <c r="G37" s="2954">
        <v>15570</v>
      </c>
      <c r="M37" s="2941" t="s">
        <v>3001</v>
      </c>
      <c r="N37" s="2941" t="s">
        <v>3002</v>
      </c>
      <c r="O37" s="2941" t="s">
        <v>3003</v>
      </c>
      <c r="P37" s="2941" t="s">
        <v>3004</v>
      </c>
      <c r="Q37" s="2941" t="s">
        <v>3005</v>
      </c>
    </row>
    <row r="38" spans="1:17" ht="14.25" customHeight="1">
      <c r="A38" s="2941" t="s">
        <v>296</v>
      </c>
      <c r="B38" s="2942" t="s">
        <v>186</v>
      </c>
      <c r="C38" s="2941">
        <v>23120</v>
      </c>
      <c r="D38" s="2941">
        <v>24630</v>
      </c>
      <c r="E38" s="2941">
        <v>25030</v>
      </c>
      <c r="F38" s="2941">
        <v>7710</v>
      </c>
      <c r="G38" s="2954">
        <v>17240</v>
      </c>
      <c r="M38" s="2941" t="s">
        <v>3006</v>
      </c>
      <c r="N38" s="2941" t="s">
        <v>3007</v>
      </c>
      <c r="O38" s="2941" t="s">
        <v>3008</v>
      </c>
      <c r="P38" s="2941" t="s">
        <v>3009</v>
      </c>
      <c r="Q38" s="2941" t="s">
        <v>3010</v>
      </c>
    </row>
    <row r="39" spans="1:17" ht="14.25" customHeight="1">
      <c r="A39" s="2941" t="s">
        <v>296</v>
      </c>
      <c r="B39" s="2942" t="s">
        <v>195</v>
      </c>
      <c r="C39" s="2941">
        <v>22330</v>
      </c>
      <c r="D39" s="2941">
        <v>21140</v>
      </c>
      <c r="E39" s="2941">
        <v>23970</v>
      </c>
      <c r="F39" s="2941">
        <v>7940</v>
      </c>
      <c r="G39" s="2954">
        <v>14790</v>
      </c>
      <c r="M39" s="2941" t="s">
        <v>3011</v>
      </c>
      <c r="N39" s="2941" t="s">
        <v>3012</v>
      </c>
      <c r="O39" s="2941" t="s">
        <v>3013</v>
      </c>
      <c r="P39" s="2941" t="s">
        <v>3014</v>
      </c>
      <c r="Q39" s="2941" t="s">
        <v>3015</v>
      </c>
    </row>
    <row r="40" spans="1:17" ht="14.25" customHeight="1">
      <c r="A40" s="2941" t="s">
        <v>296</v>
      </c>
      <c r="B40" s="2942" t="s">
        <v>202</v>
      </c>
      <c r="C40" s="2941">
        <v>24740</v>
      </c>
      <c r="D40" s="2941">
        <v>24690</v>
      </c>
      <c r="E40" s="2941">
        <v>22610</v>
      </c>
      <c r="F40" s="2941"/>
      <c r="G40" s="2954">
        <v>17280</v>
      </c>
      <c r="M40" s="2941" t="s">
        <v>3016</v>
      </c>
      <c r="N40" s="2941" t="s">
        <v>3017</v>
      </c>
      <c r="O40" s="2941" t="s">
        <v>3018</v>
      </c>
      <c r="P40" s="2941" t="s">
        <v>3019</v>
      </c>
      <c r="Q40" s="2941" t="s">
        <v>3020</v>
      </c>
    </row>
    <row r="41" spans="1:17" ht="14.25" customHeight="1" thickBot="1">
      <c r="A41" s="2941" t="s">
        <v>296</v>
      </c>
      <c r="B41" s="2942" t="s">
        <v>209</v>
      </c>
      <c r="C41" s="2941">
        <v>21220</v>
      </c>
      <c r="D41" s="2941">
        <v>21120</v>
      </c>
      <c r="E41" s="2941">
        <v>22590</v>
      </c>
      <c r="F41" s="2941"/>
      <c r="G41" s="2954">
        <v>14780</v>
      </c>
      <c r="M41" s="2948" t="s">
        <v>3021</v>
      </c>
      <c r="N41" s="2941" t="s">
        <v>3022</v>
      </c>
      <c r="O41" s="2941" t="s">
        <v>3023</v>
      </c>
      <c r="P41" s="2941" t="s">
        <v>3024</v>
      </c>
      <c r="Q41" s="2941" t="s">
        <v>3025</v>
      </c>
    </row>
    <row r="42" spans="1:17" ht="14.25" customHeight="1">
      <c r="A42" s="2941" t="s">
        <v>296</v>
      </c>
      <c r="B42" s="2942" t="s">
        <v>215</v>
      </c>
      <c r="C42" s="2941">
        <v>24800</v>
      </c>
      <c r="D42" s="2941">
        <v>22280</v>
      </c>
      <c r="E42" s="2941">
        <v>24350</v>
      </c>
      <c r="F42" s="2941"/>
      <c r="G42" s="2954">
        <v>15590</v>
      </c>
      <c r="N42" s="2941" t="s">
        <v>3026</v>
      </c>
      <c r="O42" s="2941" t="s">
        <v>3027</v>
      </c>
      <c r="P42" s="2941" t="s">
        <v>3028</v>
      </c>
      <c r="Q42" s="2941" t="s">
        <v>3029</v>
      </c>
    </row>
    <row r="43" spans="1:17" ht="14.25" customHeight="1">
      <c r="A43" s="2941" t="s">
        <v>3030</v>
      </c>
      <c r="B43" s="2942" t="s">
        <v>223</v>
      </c>
      <c r="C43" s="2941">
        <v>21210</v>
      </c>
      <c r="D43" s="2941">
        <v>21160</v>
      </c>
      <c r="E43" s="2941">
        <v>22650</v>
      </c>
      <c r="F43" s="2941"/>
      <c r="G43" s="2954">
        <v>14800</v>
      </c>
      <c r="N43" s="2941" t="s">
        <v>3031</v>
      </c>
      <c r="O43" s="2941" t="s">
        <v>3032</v>
      </c>
      <c r="P43" s="2941" t="s">
        <v>3033</v>
      </c>
      <c r="Q43" s="2941" t="s">
        <v>3034</v>
      </c>
    </row>
    <row r="44" spans="1:17" ht="14.25" customHeight="1" thickBot="1">
      <c r="A44" s="2941" t="s">
        <v>296</v>
      </c>
      <c r="B44" s="2942" t="s">
        <v>231</v>
      </c>
      <c r="C44" s="2941">
        <v>22370</v>
      </c>
      <c r="D44" s="2941">
        <v>23140</v>
      </c>
      <c r="E44" s="2941">
        <v>25090</v>
      </c>
      <c r="F44" s="2941"/>
      <c r="G44" s="2954">
        <v>16190</v>
      </c>
      <c r="N44" s="2941" t="s">
        <v>3035</v>
      </c>
      <c r="O44" s="2941" t="s">
        <v>3036</v>
      </c>
      <c r="P44" s="2948" t="s">
        <v>3037</v>
      </c>
      <c r="Q44" s="2941" t="s">
        <v>3038</v>
      </c>
    </row>
    <row r="45" spans="1:17" ht="14.25" customHeight="1" thickBot="1">
      <c r="A45" s="2941" t="s">
        <v>296</v>
      </c>
      <c r="B45" s="2942" t="s">
        <v>236</v>
      </c>
      <c r="C45" s="2941">
        <v>21240</v>
      </c>
      <c r="D45" s="2941">
        <v>27050</v>
      </c>
      <c r="E45" s="2941">
        <v>28000</v>
      </c>
      <c r="F45" s="2941"/>
      <c r="G45" s="2954">
        <v>18940</v>
      </c>
      <c r="N45" s="2941" t="s">
        <v>3039</v>
      </c>
      <c r="O45" s="2948" t="s">
        <v>3040</v>
      </c>
      <c r="Q45" s="2941" t="s">
        <v>3041</v>
      </c>
    </row>
    <row r="46" spans="1:17" ht="14.25" customHeight="1">
      <c r="A46" s="2941" t="s">
        <v>296</v>
      </c>
      <c r="B46" s="2942" t="s">
        <v>245</v>
      </c>
      <c r="C46" s="2941">
        <v>23240</v>
      </c>
      <c r="D46" s="2941">
        <v>23000</v>
      </c>
      <c r="E46" s="2941">
        <v>24980</v>
      </c>
      <c r="F46" s="2941"/>
      <c r="G46" s="2954">
        <v>16100</v>
      </c>
      <c r="N46" s="2941" t="s">
        <v>3042</v>
      </c>
      <c r="Q46" s="2941" t="s">
        <v>3043</v>
      </c>
    </row>
    <row r="47" spans="1:17" ht="14.25" customHeight="1">
      <c r="A47" s="2941" t="s">
        <v>296</v>
      </c>
      <c r="B47" s="2942" t="s">
        <v>252</v>
      </c>
      <c r="C47" s="2941">
        <v>27150</v>
      </c>
      <c r="D47" s="2941">
        <v>23310</v>
      </c>
      <c r="E47" s="2941">
        <v>25150</v>
      </c>
      <c r="F47" s="2941"/>
      <c r="G47" s="2954">
        <v>16310</v>
      </c>
      <c r="N47" s="2941" t="s">
        <v>3044</v>
      </c>
      <c r="Q47" s="2941" t="s">
        <v>3045</v>
      </c>
    </row>
    <row r="48" spans="1:17" ht="14.25" customHeight="1">
      <c r="A48" s="2941" t="s">
        <v>296</v>
      </c>
      <c r="B48" s="2942" t="s">
        <v>260</v>
      </c>
      <c r="C48" s="2941">
        <v>23100</v>
      </c>
      <c r="D48" s="2941">
        <v>21110</v>
      </c>
      <c r="E48" s="2941">
        <v>23080</v>
      </c>
      <c r="F48" s="2941"/>
      <c r="G48" s="2954">
        <v>14780</v>
      </c>
      <c r="N48" s="2941" t="s">
        <v>3046</v>
      </c>
      <c r="Q48" s="2941" t="s">
        <v>3047</v>
      </c>
    </row>
    <row r="49" spans="1:17" ht="14.25" customHeight="1">
      <c r="A49" s="2941" t="s">
        <v>296</v>
      </c>
      <c r="B49" s="2942" t="s">
        <v>267</v>
      </c>
      <c r="C49" s="2941">
        <v>23400</v>
      </c>
      <c r="D49" s="2941">
        <v>22920</v>
      </c>
      <c r="E49" s="2941">
        <v>24900</v>
      </c>
      <c r="F49" s="2941"/>
      <c r="G49" s="2954">
        <v>16040</v>
      </c>
      <c r="N49" s="2941" t="s">
        <v>3048</v>
      </c>
      <c r="Q49" s="2941" t="s">
        <v>3049</v>
      </c>
    </row>
    <row r="50" spans="1:17" ht="14.25" customHeight="1">
      <c r="A50" s="2941" t="s">
        <v>296</v>
      </c>
      <c r="B50" s="2942" t="s">
        <v>2926</v>
      </c>
      <c r="C50" s="2941">
        <v>21200</v>
      </c>
      <c r="D50" s="2941">
        <v>26540</v>
      </c>
      <c r="E50" s="2941">
        <v>23200</v>
      </c>
      <c r="F50" s="2941"/>
      <c r="G50" s="2954">
        <v>18580</v>
      </c>
      <c r="N50" s="2941" t="s">
        <v>3050</v>
      </c>
      <c r="Q50" s="2942" t="s">
        <v>3051</v>
      </c>
    </row>
    <row r="51" spans="1:17" ht="14.25" customHeight="1" thickBot="1">
      <c r="A51" s="2941" t="s">
        <v>296</v>
      </c>
      <c r="B51" s="2942" t="s">
        <v>2928</v>
      </c>
      <c r="C51" s="2941">
        <v>23000</v>
      </c>
      <c r="D51" s="2941">
        <v>23460</v>
      </c>
      <c r="E51" s="2941">
        <v>25290</v>
      </c>
      <c r="F51" s="2941"/>
      <c r="G51" s="2954">
        <v>16420</v>
      </c>
      <c r="N51" s="2941" t="s">
        <v>3052</v>
      </c>
      <c r="Q51" s="2948" t="s">
        <v>3053</v>
      </c>
    </row>
    <row r="52" spans="1:17" ht="14.25" customHeight="1">
      <c r="A52" s="2941" t="s">
        <v>296</v>
      </c>
      <c r="B52" s="2942" t="s">
        <v>2932</v>
      </c>
      <c r="C52" s="2941">
        <v>26660</v>
      </c>
      <c r="D52" s="2941">
        <v>22350</v>
      </c>
      <c r="E52" s="2941">
        <v>22920</v>
      </c>
      <c r="F52" s="2941"/>
      <c r="G52" s="2954">
        <v>15640</v>
      </c>
      <c r="N52" s="2941" t="s">
        <v>3054</v>
      </c>
    </row>
    <row r="53" spans="1:17" ht="14.25" customHeight="1">
      <c r="A53" s="2941" t="s">
        <v>296</v>
      </c>
      <c r="B53" s="2942" t="s">
        <v>2937</v>
      </c>
      <c r="C53" s="2941">
        <v>23580</v>
      </c>
      <c r="D53" s="2941"/>
      <c r="E53" s="2941">
        <v>24280</v>
      </c>
      <c r="F53" s="2941"/>
      <c r="G53" s="2954"/>
      <c r="N53" s="2941" t="s">
        <v>3055</v>
      </c>
    </row>
    <row r="54" spans="1:17" ht="14.25" customHeight="1" thickBot="1">
      <c r="A54" s="2955" t="s">
        <v>296</v>
      </c>
      <c r="B54" s="2947" t="s">
        <v>2940</v>
      </c>
      <c r="C54" s="2948">
        <v>22460</v>
      </c>
      <c r="D54" s="2948"/>
      <c r="E54" s="2948"/>
      <c r="F54" s="2948"/>
      <c r="G54" s="2956"/>
      <c r="N54" s="2941" t="s">
        <v>3056</v>
      </c>
    </row>
    <row r="55" spans="1:17" ht="14.25" customHeight="1">
      <c r="A55" s="2946" t="s">
        <v>110</v>
      </c>
      <c r="B55" s="2937" t="s">
        <v>3057</v>
      </c>
      <c r="C55" s="2941">
        <v>21970</v>
      </c>
      <c r="D55" s="2941">
        <v>20370</v>
      </c>
      <c r="E55" s="2941">
        <v>20180</v>
      </c>
      <c r="F55" s="2941">
        <v>5730</v>
      </c>
      <c r="G55" s="2941">
        <v>13820</v>
      </c>
      <c r="N55" s="2941" t="s">
        <v>3058</v>
      </c>
    </row>
    <row r="56" spans="1:17" ht="14.25" customHeight="1">
      <c r="A56" s="2941" t="s">
        <v>110</v>
      </c>
      <c r="B56" s="2941" t="s">
        <v>130</v>
      </c>
      <c r="C56" s="2941">
        <v>20470</v>
      </c>
      <c r="D56" s="2941">
        <v>20700</v>
      </c>
      <c r="E56" s="2941">
        <v>20380</v>
      </c>
      <c r="F56" s="2941">
        <v>4760</v>
      </c>
      <c r="G56" s="2941">
        <v>14050</v>
      </c>
      <c r="N56" s="2941" t="s">
        <v>3059</v>
      </c>
    </row>
    <row r="57" spans="1:17" ht="14.25" customHeight="1">
      <c r="A57" s="2941" t="s">
        <v>110</v>
      </c>
      <c r="B57" s="2941" t="s">
        <v>139</v>
      </c>
      <c r="C57" s="2941">
        <v>20790</v>
      </c>
      <c r="D57" s="2941">
        <v>21370</v>
      </c>
      <c r="E57" s="2941">
        <v>20890</v>
      </c>
      <c r="F57" s="2941">
        <v>4910</v>
      </c>
      <c r="G57" s="2941">
        <v>14510</v>
      </c>
      <c r="N57" s="2941" t="s">
        <v>3060</v>
      </c>
    </row>
    <row r="58" spans="1:17" ht="14.25" customHeight="1">
      <c r="A58" s="2941" t="s">
        <v>110</v>
      </c>
      <c r="B58" s="2941" t="s">
        <v>148</v>
      </c>
      <c r="C58" s="2941">
        <v>21460</v>
      </c>
      <c r="D58" s="2941">
        <v>20920</v>
      </c>
      <c r="E58" s="2941">
        <v>23410</v>
      </c>
      <c r="F58" s="2941">
        <v>5100</v>
      </c>
      <c r="G58" s="2941">
        <v>14200</v>
      </c>
      <c r="N58" s="2941" t="s">
        <v>3061</v>
      </c>
    </row>
    <row r="59" spans="1:17" ht="14.25" customHeight="1">
      <c r="A59" s="2941" t="s">
        <v>110</v>
      </c>
      <c r="B59" s="2941" t="s">
        <v>157</v>
      </c>
      <c r="C59" s="2941">
        <v>21000</v>
      </c>
      <c r="D59" s="2941">
        <v>21550</v>
      </c>
      <c r="E59" s="2941">
        <v>21150</v>
      </c>
      <c r="F59" s="2941">
        <v>5250</v>
      </c>
      <c r="G59" s="2941">
        <v>14630</v>
      </c>
      <c r="N59" s="2941" t="s">
        <v>3062</v>
      </c>
    </row>
    <row r="60" spans="1:17" ht="14.25" customHeight="1">
      <c r="A60" s="2941" t="s">
        <v>110</v>
      </c>
      <c r="B60" s="2941" t="s">
        <v>164</v>
      </c>
      <c r="C60" s="2941">
        <v>21640</v>
      </c>
      <c r="D60" s="2941">
        <v>21260</v>
      </c>
      <c r="E60" s="2941">
        <v>24040</v>
      </c>
      <c r="F60" s="2941">
        <v>4470</v>
      </c>
      <c r="G60" s="2941">
        <v>14430</v>
      </c>
      <c r="N60" s="2941" t="s">
        <v>3063</v>
      </c>
    </row>
    <row r="61" spans="1:17" ht="14.25" customHeight="1">
      <c r="A61" s="2941" t="s">
        <v>110</v>
      </c>
      <c r="B61" s="2941" t="s">
        <v>170</v>
      </c>
      <c r="C61" s="2941">
        <v>21330</v>
      </c>
      <c r="D61" s="2941">
        <v>18640</v>
      </c>
      <c r="E61" s="2941">
        <v>21190</v>
      </c>
      <c r="F61" s="2941">
        <v>4180</v>
      </c>
      <c r="G61" s="2941">
        <v>12650</v>
      </c>
      <c r="N61" s="2941" t="s">
        <v>3064</v>
      </c>
    </row>
    <row r="62" spans="1:17" ht="14.25" customHeight="1">
      <c r="A62" s="2941" t="s">
        <v>110</v>
      </c>
      <c r="B62" s="2941" t="s">
        <v>177</v>
      </c>
      <c r="C62" s="2941">
        <v>18710</v>
      </c>
      <c r="D62" s="2941">
        <v>19400</v>
      </c>
      <c r="E62" s="2941">
        <v>23750</v>
      </c>
      <c r="F62" s="2941">
        <v>4860</v>
      </c>
      <c r="G62" s="2941">
        <v>13170</v>
      </c>
      <c r="N62" s="2941" t="s">
        <v>3065</v>
      </c>
    </row>
    <row r="63" spans="1:17" ht="14.25" customHeight="1">
      <c r="A63" s="2941" t="s">
        <v>110</v>
      </c>
      <c r="B63" s="2941" t="s">
        <v>187</v>
      </c>
      <c r="C63" s="2941">
        <v>19480</v>
      </c>
      <c r="D63" s="2941">
        <v>16830</v>
      </c>
      <c r="E63" s="2941">
        <v>21590</v>
      </c>
      <c r="F63" s="2941">
        <v>4560</v>
      </c>
      <c r="G63" s="2941">
        <v>11420</v>
      </c>
      <c r="N63" s="2941" t="s">
        <v>3066</v>
      </c>
    </row>
    <row r="64" spans="1:17" ht="14.25" customHeight="1" thickBot="1">
      <c r="A64" s="2941" t="s">
        <v>110</v>
      </c>
      <c r="B64" s="2941" t="s">
        <v>196</v>
      </c>
      <c r="C64" s="2941">
        <v>16920</v>
      </c>
      <c r="D64" s="2941">
        <v>19190</v>
      </c>
      <c r="E64" s="2941">
        <v>22200</v>
      </c>
      <c r="F64" s="2941">
        <v>4390</v>
      </c>
      <c r="G64" s="2941">
        <v>13030</v>
      </c>
      <c r="N64" s="2948" t="s">
        <v>3067</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2938</v>
      </c>
      <c r="C78" s="2941">
        <v>19820</v>
      </c>
      <c r="D78" s="2941">
        <v>19780</v>
      </c>
      <c r="E78" s="2941">
        <v>18560</v>
      </c>
      <c r="F78" s="2941"/>
      <c r="G78" s="2941">
        <v>13430</v>
      </c>
    </row>
    <row r="79" spans="1:7" s="2775" customFormat="1" ht="14.25" customHeight="1">
      <c r="A79" s="2941" t="s">
        <v>110</v>
      </c>
      <c r="B79" s="2941" t="s">
        <v>2941</v>
      </c>
      <c r="C79" s="2941">
        <v>21660</v>
      </c>
      <c r="D79" s="2941">
        <v>18000</v>
      </c>
      <c r="E79" s="2941">
        <v>22570</v>
      </c>
      <c r="F79" s="2941"/>
      <c r="G79" s="2941">
        <v>12220</v>
      </c>
    </row>
    <row r="80" spans="1:7" s="2775" customFormat="1" ht="14.25" customHeight="1">
      <c r="A80" s="2941" t="s">
        <v>110</v>
      </c>
      <c r="B80" s="2941" t="s">
        <v>2945</v>
      </c>
      <c r="C80" s="2941">
        <v>19850</v>
      </c>
      <c r="D80" s="2941"/>
      <c r="E80" s="2941">
        <v>21700</v>
      </c>
      <c r="F80" s="2941"/>
      <c r="G80" s="2941"/>
    </row>
    <row r="81" spans="1:7" s="2775" customFormat="1" ht="14.25" customHeight="1">
      <c r="A81" s="2941" t="s">
        <v>110</v>
      </c>
      <c r="B81" s="2941" t="s">
        <v>2950</v>
      </c>
      <c r="C81" s="2941">
        <v>18080</v>
      </c>
      <c r="D81" s="2941"/>
      <c r="E81" s="2941">
        <v>20900</v>
      </c>
      <c r="F81" s="2941"/>
      <c r="G81" s="2941"/>
    </row>
    <row r="82" spans="1:7" s="2775" customFormat="1" ht="14.25" customHeight="1">
      <c r="A82" s="2941" t="s">
        <v>110</v>
      </c>
      <c r="B82" s="2941" t="s">
        <v>2957</v>
      </c>
      <c r="C82" s="2941"/>
      <c r="D82" s="2941"/>
      <c r="E82" s="2941">
        <v>20840</v>
      </c>
      <c r="F82" s="2941"/>
      <c r="G82" s="2941"/>
    </row>
    <row r="83" spans="1:7" s="2775" customFormat="1" ht="14.25" customHeight="1">
      <c r="A83" s="2941" t="s">
        <v>110</v>
      </c>
      <c r="B83" s="2941" t="s">
        <v>3068</v>
      </c>
      <c r="C83" s="2941"/>
      <c r="D83" s="2941"/>
      <c r="E83" s="2941"/>
      <c r="F83" s="2941">
        <v>4770</v>
      </c>
      <c r="G83" s="2941"/>
    </row>
    <row r="84" spans="1:7" s="2775" customFormat="1" ht="14.25" customHeight="1">
      <c r="A84" s="2941" t="s">
        <v>110</v>
      </c>
      <c r="B84" s="2941" t="s">
        <v>3069</v>
      </c>
      <c r="C84" s="2941"/>
      <c r="D84" s="2941"/>
      <c r="E84" s="2941"/>
      <c r="F84" s="2941">
        <v>4600</v>
      </c>
      <c r="G84" s="2941"/>
    </row>
    <row r="85" spans="1:7" s="2775" customFormat="1" ht="14.25" customHeight="1">
      <c r="A85" s="2941" t="s">
        <v>110</v>
      </c>
      <c r="B85" s="2941" t="s">
        <v>3070</v>
      </c>
      <c r="C85" s="2941"/>
      <c r="D85" s="2941"/>
      <c r="E85" s="2941"/>
      <c r="F85" s="2941">
        <v>4680</v>
      </c>
      <c r="G85" s="2941"/>
    </row>
    <row r="86" spans="1:7" s="2775" customFormat="1" ht="14.25" customHeight="1" thickBot="1">
      <c r="A86" s="2949" t="s">
        <v>110</v>
      </c>
      <c r="B86" s="2951" t="s">
        <v>3071</v>
      </c>
      <c r="C86" s="2952">
        <v>16610</v>
      </c>
      <c r="D86" s="2952">
        <v>16540</v>
      </c>
      <c r="E86" s="2952">
        <v>18850</v>
      </c>
      <c r="F86" s="2952"/>
      <c r="G86" s="2952">
        <v>11220</v>
      </c>
    </row>
    <row r="87" spans="1:7" s="2775" customFormat="1" ht="14.25" customHeight="1">
      <c r="A87" s="2946" t="s">
        <v>303</v>
      </c>
      <c r="B87" s="2937" t="s">
        <v>3072</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2951</v>
      </c>
      <c r="C113" s="2941">
        <v>15520</v>
      </c>
      <c r="D113" s="2941">
        <v>15450</v>
      </c>
      <c r="E113" s="2941"/>
      <c r="F113" s="2941"/>
      <c r="G113" s="2954">
        <v>10210</v>
      </c>
    </row>
    <row r="114" spans="1:7" s="2775" customFormat="1" ht="14.25" customHeight="1">
      <c r="A114" s="2941" t="s">
        <v>303</v>
      </c>
      <c r="B114" s="2941" t="s">
        <v>2958</v>
      </c>
      <c r="C114" s="2941">
        <v>13110</v>
      </c>
      <c r="D114" s="2941">
        <v>13050</v>
      </c>
      <c r="E114" s="2941"/>
      <c r="F114" s="2941"/>
      <c r="G114" s="2954">
        <v>8620</v>
      </c>
    </row>
    <row r="115" spans="1:7" s="2775" customFormat="1" ht="14.25" customHeight="1">
      <c r="A115" s="2941" t="s">
        <v>303</v>
      </c>
      <c r="B115" s="2941" t="s">
        <v>2964</v>
      </c>
      <c r="C115" s="2941">
        <v>12460</v>
      </c>
      <c r="D115" s="2941">
        <v>12390</v>
      </c>
      <c r="E115" s="2941"/>
      <c r="F115" s="2941"/>
      <c r="G115" s="2954">
        <v>8190</v>
      </c>
    </row>
    <row r="116" spans="1:7" s="2775" customFormat="1" ht="14.25" customHeight="1">
      <c r="A116" s="2941" t="s">
        <v>303</v>
      </c>
      <c r="B116" s="2941" t="s">
        <v>2971</v>
      </c>
      <c r="C116" s="2941">
        <v>13580</v>
      </c>
      <c r="D116" s="2941">
        <v>13520</v>
      </c>
      <c r="E116" s="2941"/>
      <c r="F116" s="2941"/>
      <c r="G116" s="2954">
        <v>8930</v>
      </c>
    </row>
    <row r="117" spans="1:7" s="2775" customFormat="1" ht="14.25" customHeight="1">
      <c r="A117" s="2941" t="s">
        <v>303</v>
      </c>
      <c r="B117" s="2941" t="s">
        <v>2978</v>
      </c>
      <c r="C117" s="2941">
        <v>17120</v>
      </c>
      <c r="D117" s="2941">
        <v>17040</v>
      </c>
      <c r="E117" s="2941"/>
      <c r="F117" s="2941"/>
      <c r="G117" s="2954">
        <v>11260</v>
      </c>
    </row>
    <row r="118" spans="1:7" s="2775" customFormat="1" ht="14.25" customHeight="1">
      <c r="A118" s="2941" t="s">
        <v>303</v>
      </c>
      <c r="B118" s="2941" t="s">
        <v>2983</v>
      </c>
      <c r="C118" s="2941">
        <v>14860</v>
      </c>
      <c r="D118" s="2941">
        <v>14790</v>
      </c>
      <c r="E118" s="2941"/>
      <c r="F118" s="2941"/>
      <c r="G118" s="2954">
        <v>9780</v>
      </c>
    </row>
    <row r="119" spans="1:7" s="2775" customFormat="1" ht="14.25" customHeight="1">
      <c r="A119" s="2941" t="s">
        <v>303</v>
      </c>
      <c r="B119" s="2941" t="s">
        <v>2987</v>
      </c>
      <c r="C119" s="2941">
        <v>16470</v>
      </c>
      <c r="D119" s="2941">
        <v>16400</v>
      </c>
      <c r="E119" s="2941"/>
      <c r="F119" s="2941"/>
      <c r="G119" s="2954">
        <v>10840</v>
      </c>
    </row>
    <row r="120" spans="1:7" s="2775" customFormat="1" ht="14.25" customHeight="1">
      <c r="A120" s="2941" t="s">
        <v>303</v>
      </c>
      <c r="B120" s="2941" t="s">
        <v>3073</v>
      </c>
      <c r="C120" s="2941"/>
      <c r="D120" s="2941"/>
      <c r="E120" s="2941"/>
      <c r="F120" s="2941">
        <v>4160</v>
      </c>
      <c r="G120" s="2954"/>
    </row>
    <row r="121" spans="1:7" s="2775" customFormat="1" ht="14.25" customHeight="1">
      <c r="A121" s="2941" t="s">
        <v>303</v>
      </c>
      <c r="B121" s="2941" t="s">
        <v>3074</v>
      </c>
      <c r="C121" s="2941"/>
      <c r="D121" s="2941"/>
      <c r="E121" s="2941"/>
      <c r="F121" s="2941">
        <v>3880</v>
      </c>
      <c r="G121" s="2954"/>
    </row>
    <row r="122" spans="1:7" s="2775" customFormat="1" ht="14.25" customHeight="1">
      <c r="A122" s="2941" t="s">
        <v>303</v>
      </c>
      <c r="B122" s="2941" t="s">
        <v>3075</v>
      </c>
      <c r="C122" s="2941">
        <v>13750</v>
      </c>
      <c r="D122" s="2941">
        <v>13680</v>
      </c>
      <c r="E122" s="2941">
        <v>16460</v>
      </c>
      <c r="F122" s="2941">
        <v>2880</v>
      </c>
      <c r="G122" s="2954">
        <v>9040</v>
      </c>
    </row>
    <row r="123" spans="1:7" s="2775" customFormat="1" ht="14.25" customHeight="1">
      <c r="A123" s="2941" t="s">
        <v>303</v>
      </c>
      <c r="B123" s="2941" t="s">
        <v>3006</v>
      </c>
      <c r="C123" s="2941">
        <v>13590</v>
      </c>
      <c r="D123" s="2941">
        <v>13520</v>
      </c>
      <c r="E123" s="2941">
        <v>16290</v>
      </c>
      <c r="F123" s="2941">
        <v>2790</v>
      </c>
      <c r="G123" s="2954">
        <v>8930</v>
      </c>
    </row>
    <row r="124" spans="1:7" s="2775" customFormat="1" ht="14.25" customHeight="1">
      <c r="A124" s="2941" t="s">
        <v>303</v>
      </c>
      <c r="B124" s="2941" t="s">
        <v>3011</v>
      </c>
      <c r="C124" s="2941">
        <v>13400</v>
      </c>
      <c r="D124" s="2941">
        <v>13320</v>
      </c>
      <c r="E124" s="2941">
        <v>16100</v>
      </c>
      <c r="F124" s="2941">
        <v>2320</v>
      </c>
      <c r="G124" s="2954">
        <v>8800</v>
      </c>
    </row>
    <row r="125" spans="1:7" s="2775" customFormat="1" ht="14.25" customHeight="1">
      <c r="A125" s="2941" t="s">
        <v>303</v>
      </c>
      <c r="B125" s="2941" t="s">
        <v>3016</v>
      </c>
      <c r="C125" s="2941">
        <v>12860</v>
      </c>
      <c r="D125" s="2941">
        <v>12790</v>
      </c>
      <c r="E125" s="2941">
        <v>15370</v>
      </c>
      <c r="F125" s="2941">
        <v>2280</v>
      </c>
      <c r="G125" s="2954">
        <v>8450</v>
      </c>
    </row>
    <row r="126" spans="1:7" s="2775" customFormat="1" ht="14.25" customHeight="1" thickBot="1">
      <c r="A126" s="2955" t="s">
        <v>303</v>
      </c>
      <c r="B126" s="2948" t="s">
        <v>3021</v>
      </c>
      <c r="C126" s="2948">
        <v>12960</v>
      </c>
      <c r="D126" s="2948">
        <v>12890</v>
      </c>
      <c r="E126" s="2948">
        <v>15530</v>
      </c>
      <c r="F126" s="2948">
        <v>2910</v>
      </c>
      <c r="G126" s="2956">
        <v>8520</v>
      </c>
    </row>
    <row r="127" spans="1:7" s="2775" customFormat="1" ht="14.25" customHeight="1">
      <c r="A127" s="2946" t="s">
        <v>29</v>
      </c>
      <c r="B127" s="2937" t="s">
        <v>3076</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3077</v>
      </c>
      <c r="C148" s="2941">
        <v>10370</v>
      </c>
      <c r="D148" s="2941">
        <v>10310</v>
      </c>
      <c r="E148" s="2941">
        <v>12970</v>
      </c>
      <c r="F148" s="2941"/>
      <c r="G148" s="2941">
        <v>6630</v>
      </c>
    </row>
    <row r="149" spans="1:7" s="2775" customFormat="1" ht="14.25" customHeight="1">
      <c r="A149" s="2941" t="s">
        <v>29</v>
      </c>
      <c r="B149" s="2941" t="s">
        <v>3078</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2952</v>
      </c>
      <c r="C153" s="2941">
        <v>10880</v>
      </c>
      <c r="D153" s="2941">
        <v>10820</v>
      </c>
      <c r="E153" s="2941">
        <v>13660</v>
      </c>
      <c r="F153" s="2941">
        <v>2260</v>
      </c>
      <c r="G153" s="2941">
        <v>6970</v>
      </c>
    </row>
    <row r="154" spans="1:7" s="2775" customFormat="1" ht="14.25" customHeight="1">
      <c r="A154" s="2941" t="s">
        <v>29</v>
      </c>
      <c r="B154" s="2941" t="s">
        <v>3079</v>
      </c>
      <c r="C154" s="2941">
        <v>11220</v>
      </c>
      <c r="D154" s="2941">
        <v>11160</v>
      </c>
      <c r="E154" s="2941">
        <v>14130</v>
      </c>
      <c r="F154" s="2941">
        <v>2230</v>
      </c>
      <c r="G154" s="2941">
        <v>7180</v>
      </c>
    </row>
    <row r="155" spans="1:7" s="2775" customFormat="1" ht="14.25" customHeight="1">
      <c r="A155" s="2941" t="s">
        <v>29</v>
      </c>
      <c r="B155" s="2941" t="s">
        <v>2965</v>
      </c>
      <c r="C155" s="2941">
        <v>10430</v>
      </c>
      <c r="D155" s="2941">
        <v>10380</v>
      </c>
      <c r="E155" s="2941">
        <v>13140</v>
      </c>
      <c r="F155" s="2941">
        <v>2080</v>
      </c>
      <c r="G155" s="2941">
        <v>6650</v>
      </c>
    </row>
    <row r="156" spans="1:7" s="2775" customFormat="1" ht="14.25" customHeight="1">
      <c r="A156" s="2941" t="s">
        <v>29</v>
      </c>
      <c r="B156" s="2941" t="s">
        <v>3080</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3081</v>
      </c>
      <c r="C160" s="2941">
        <v>11180</v>
      </c>
      <c r="D160" s="2941">
        <v>11140</v>
      </c>
      <c r="E160" s="2941">
        <v>14050</v>
      </c>
      <c r="F160" s="2941">
        <v>2270</v>
      </c>
      <c r="G160" s="2941">
        <v>7170</v>
      </c>
    </row>
    <row r="161" spans="1:7" s="2775" customFormat="1" ht="14.25" customHeight="1">
      <c r="A161" s="2941" t="s">
        <v>29</v>
      </c>
      <c r="B161" s="2941" t="s">
        <v>2997</v>
      </c>
      <c r="C161" s="2941">
        <v>11160</v>
      </c>
      <c r="D161" s="2941">
        <v>11120</v>
      </c>
      <c r="E161" s="2941">
        <v>14020</v>
      </c>
      <c r="F161" s="2941">
        <v>2150</v>
      </c>
      <c r="G161" s="2941">
        <v>7160</v>
      </c>
    </row>
    <row r="162" spans="1:7" s="2775" customFormat="1" ht="14.25" customHeight="1">
      <c r="A162" s="2941" t="s">
        <v>29</v>
      </c>
      <c r="B162" s="2941" t="s">
        <v>3002</v>
      </c>
      <c r="C162" s="2941">
        <v>9620</v>
      </c>
      <c r="D162" s="2941">
        <v>9570</v>
      </c>
      <c r="E162" s="2941">
        <v>12320</v>
      </c>
      <c r="F162" s="2941">
        <v>2010</v>
      </c>
      <c r="G162" s="2941">
        <v>6160</v>
      </c>
    </row>
    <row r="163" spans="1:7" s="2775" customFormat="1" ht="14.25" customHeight="1">
      <c r="A163" s="2941" t="s">
        <v>29</v>
      </c>
      <c r="B163" s="2941" t="s">
        <v>3007</v>
      </c>
      <c r="C163" s="2941">
        <v>9320</v>
      </c>
      <c r="D163" s="2941">
        <v>9270</v>
      </c>
      <c r="E163" s="2941">
        <v>11790</v>
      </c>
      <c r="F163" s="2941">
        <v>1920</v>
      </c>
      <c r="G163" s="2941">
        <v>5960</v>
      </c>
    </row>
    <row r="164" spans="1:7" s="2775" customFormat="1" ht="14.25" customHeight="1">
      <c r="A164" s="2941" t="s">
        <v>29</v>
      </c>
      <c r="B164" s="2941" t="s">
        <v>3012</v>
      </c>
      <c r="C164" s="2941"/>
      <c r="D164" s="2941"/>
      <c r="E164" s="2941"/>
      <c r="F164" s="2941">
        <v>1980</v>
      </c>
      <c r="G164" s="2941"/>
    </row>
    <row r="165" spans="1:7" s="2775" customFormat="1" ht="14.25" customHeight="1">
      <c r="A165" s="2941" t="s">
        <v>29</v>
      </c>
      <c r="B165" s="2941" t="s">
        <v>3082</v>
      </c>
      <c r="C165" s="2941">
        <v>11060</v>
      </c>
      <c r="D165" s="2941">
        <v>11030</v>
      </c>
      <c r="E165" s="2941">
        <v>13850</v>
      </c>
      <c r="F165" s="2941">
        <v>2170</v>
      </c>
      <c r="G165" s="2941">
        <v>7090</v>
      </c>
    </row>
    <row r="166" spans="1:7" s="2775" customFormat="1" ht="14.25" customHeight="1">
      <c r="A166" s="2941" t="s">
        <v>29</v>
      </c>
      <c r="B166" s="2941" t="s">
        <v>3022</v>
      </c>
      <c r="C166" s="2941">
        <v>11050</v>
      </c>
      <c r="D166" s="2941">
        <v>11010</v>
      </c>
      <c r="E166" s="2941">
        <v>13920</v>
      </c>
      <c r="F166" s="2941">
        <v>2140</v>
      </c>
      <c r="G166" s="2941">
        <v>7080</v>
      </c>
    </row>
    <row r="167" spans="1:7" s="2775" customFormat="1" ht="14.25" customHeight="1">
      <c r="A167" s="2941" t="s">
        <v>29</v>
      </c>
      <c r="B167" s="2941" t="s">
        <v>3026</v>
      </c>
      <c r="C167" s="2941">
        <v>10930</v>
      </c>
      <c r="D167" s="2941">
        <v>10890</v>
      </c>
      <c r="E167" s="2941">
        <v>13790</v>
      </c>
      <c r="F167" s="2941">
        <v>2010</v>
      </c>
      <c r="G167" s="2941">
        <v>7000</v>
      </c>
    </row>
    <row r="168" spans="1:7" s="2775" customFormat="1" ht="14.25" customHeight="1">
      <c r="A168" s="2941" t="s">
        <v>29</v>
      </c>
      <c r="B168" s="2941" t="s">
        <v>3031</v>
      </c>
      <c r="C168" s="2941">
        <v>9420</v>
      </c>
      <c r="D168" s="2941">
        <v>9380</v>
      </c>
      <c r="E168" s="2941">
        <v>11970</v>
      </c>
      <c r="F168" s="2941"/>
      <c r="G168" s="2941">
        <v>6040</v>
      </c>
    </row>
    <row r="169" spans="1:7" s="2775" customFormat="1" ht="14.25" customHeight="1">
      <c r="A169" s="2941" t="s">
        <v>29</v>
      </c>
      <c r="B169" s="2941" t="s">
        <v>3083</v>
      </c>
      <c r="C169" s="2941"/>
      <c r="D169" s="2941"/>
      <c r="E169" s="2941"/>
      <c r="F169" s="2941">
        <v>2880</v>
      </c>
      <c r="G169" s="2941"/>
    </row>
    <row r="170" spans="1:7" s="2775" customFormat="1" ht="14.25" customHeight="1">
      <c r="A170" s="2941" t="s">
        <v>29</v>
      </c>
      <c r="B170" s="2941" t="s">
        <v>3039</v>
      </c>
      <c r="C170" s="2941"/>
      <c r="D170" s="2941"/>
      <c r="E170" s="2941"/>
      <c r="F170" s="2941">
        <v>2880</v>
      </c>
      <c r="G170" s="2941"/>
    </row>
    <row r="171" spans="1:7" s="2775" customFormat="1" ht="14.25" customHeight="1">
      <c r="A171" s="2941" t="s">
        <v>29</v>
      </c>
      <c r="B171" s="2941" t="s">
        <v>3042</v>
      </c>
      <c r="C171" s="2941"/>
      <c r="D171" s="2941"/>
      <c r="E171" s="2941"/>
      <c r="F171" s="2941">
        <v>2880</v>
      </c>
      <c r="G171" s="2941"/>
    </row>
    <row r="172" spans="1:7" s="2775" customFormat="1" ht="14.25" customHeight="1">
      <c r="A172" s="2941" t="s">
        <v>29</v>
      </c>
      <c r="B172" s="2941" t="s">
        <v>3044</v>
      </c>
      <c r="C172" s="2941"/>
      <c r="D172" s="2941"/>
      <c r="E172" s="2941"/>
      <c r="F172" s="2941">
        <v>2880</v>
      </c>
      <c r="G172" s="2941"/>
    </row>
    <row r="173" spans="1:7" s="2775" customFormat="1" ht="14.25" customHeight="1">
      <c r="A173" s="2941" t="s">
        <v>29</v>
      </c>
      <c r="B173" s="2941" t="s">
        <v>3046</v>
      </c>
      <c r="C173" s="2941"/>
      <c r="D173" s="2941"/>
      <c r="E173" s="2941"/>
      <c r="F173" s="2941">
        <v>2150</v>
      </c>
      <c r="G173" s="2941"/>
    </row>
    <row r="174" spans="1:7" s="2775" customFormat="1" ht="14.25" customHeight="1">
      <c r="A174" s="2941" t="s">
        <v>29</v>
      </c>
      <c r="B174" s="2941" t="s">
        <v>3048</v>
      </c>
      <c r="C174" s="2941"/>
      <c r="D174" s="2941"/>
      <c r="E174" s="2941"/>
      <c r="F174" s="2941">
        <v>2030</v>
      </c>
      <c r="G174" s="2941"/>
    </row>
    <row r="175" spans="1:7" s="2775" customFormat="1" ht="14.25" customHeight="1">
      <c r="A175" s="2941" t="s">
        <v>29</v>
      </c>
      <c r="B175" s="2941" t="s">
        <v>3050</v>
      </c>
      <c r="C175" s="2941"/>
      <c r="D175" s="2941"/>
      <c r="E175" s="2941"/>
      <c r="F175" s="2941">
        <v>2780</v>
      </c>
      <c r="G175" s="2941"/>
    </row>
    <row r="176" spans="1:7" s="2775" customFormat="1" ht="14.25" customHeight="1">
      <c r="A176" s="2941" t="s">
        <v>29</v>
      </c>
      <c r="B176" s="2941" t="s">
        <v>3052</v>
      </c>
      <c r="C176" s="2941"/>
      <c r="D176" s="2941"/>
      <c r="E176" s="2941"/>
      <c r="F176" s="2941">
        <v>2780</v>
      </c>
      <c r="G176" s="2941"/>
    </row>
    <row r="177" spans="1:7" s="2775" customFormat="1" ht="14.25" customHeight="1">
      <c r="A177" s="2941" t="s">
        <v>29</v>
      </c>
      <c r="B177" s="2941" t="s">
        <v>3084</v>
      </c>
      <c r="C177" s="2941"/>
      <c r="D177" s="2941"/>
      <c r="E177" s="2941"/>
      <c r="F177" s="2941">
        <v>2780</v>
      </c>
      <c r="G177" s="2941"/>
    </row>
    <row r="178" spans="1:7" s="2775" customFormat="1" ht="14.25" customHeight="1">
      <c r="A178" s="2941" t="s">
        <v>29</v>
      </c>
      <c r="B178" s="2941" t="s">
        <v>3085</v>
      </c>
      <c r="C178" s="2941"/>
      <c r="D178" s="2941"/>
      <c r="E178" s="2941"/>
      <c r="F178" s="2941">
        <v>2060</v>
      </c>
      <c r="G178" s="2941"/>
    </row>
    <row r="179" spans="1:7" s="2775" customFormat="1" ht="14.25" customHeight="1">
      <c r="A179" s="2941" t="s">
        <v>29</v>
      </c>
      <c r="B179" s="2941" t="s">
        <v>3086</v>
      </c>
      <c r="C179" s="2941"/>
      <c r="D179" s="2941"/>
      <c r="E179" s="2941"/>
      <c r="F179" s="2941">
        <v>2120</v>
      </c>
      <c r="G179" s="2941"/>
    </row>
    <row r="180" spans="1:7" s="2775" customFormat="1" ht="14.25" customHeight="1">
      <c r="A180" s="2941" t="s">
        <v>29</v>
      </c>
      <c r="B180" s="2941" t="s">
        <v>3058</v>
      </c>
      <c r="C180" s="2941"/>
      <c r="D180" s="2941"/>
      <c r="E180" s="2941"/>
      <c r="F180" s="2941">
        <v>2340</v>
      </c>
      <c r="G180" s="2941"/>
    </row>
    <row r="181" spans="1:7" s="2775" customFormat="1" ht="14.25" customHeight="1">
      <c r="A181" s="2941" t="s">
        <v>29</v>
      </c>
      <c r="B181" s="2941" t="s">
        <v>3059</v>
      </c>
      <c r="C181" s="2941"/>
      <c r="D181" s="2941"/>
      <c r="E181" s="2941"/>
      <c r="F181" s="2941">
        <v>2340</v>
      </c>
      <c r="G181" s="2941"/>
    </row>
    <row r="182" spans="1:7" s="2775" customFormat="1" ht="14.25" customHeight="1">
      <c r="A182" s="2941" t="s">
        <v>29</v>
      </c>
      <c r="B182" s="2941" t="s">
        <v>3060</v>
      </c>
      <c r="C182" s="2941"/>
      <c r="D182" s="2941"/>
      <c r="E182" s="2941"/>
      <c r="F182" s="2941">
        <v>2340</v>
      </c>
      <c r="G182" s="2941"/>
    </row>
    <row r="183" spans="1:7" s="2775" customFormat="1" ht="14.25" customHeight="1">
      <c r="A183" s="2941" t="s">
        <v>29</v>
      </c>
      <c r="B183" s="2941" t="s">
        <v>3061</v>
      </c>
      <c r="C183" s="2941"/>
      <c r="D183" s="2941"/>
      <c r="E183" s="2941"/>
      <c r="F183" s="2941">
        <v>2340</v>
      </c>
      <c r="G183" s="2941"/>
    </row>
    <row r="184" spans="1:7" s="2775" customFormat="1" ht="14.25" customHeight="1">
      <c r="A184" s="2941" t="s">
        <v>29</v>
      </c>
      <c r="B184" s="2941" t="s">
        <v>3062</v>
      </c>
      <c r="C184" s="2941"/>
      <c r="D184" s="2941"/>
      <c r="E184" s="2941"/>
      <c r="F184" s="2941">
        <v>2340</v>
      </c>
      <c r="G184" s="2941"/>
    </row>
    <row r="185" spans="1:7" s="2775" customFormat="1" ht="14.25" customHeight="1">
      <c r="A185" s="2941" t="s">
        <v>29</v>
      </c>
      <c r="B185" s="2941" t="s">
        <v>3063</v>
      </c>
      <c r="C185" s="2941"/>
      <c r="D185" s="2941"/>
      <c r="E185" s="2941"/>
      <c r="F185" s="2941">
        <v>2530</v>
      </c>
      <c r="G185" s="2941"/>
    </row>
    <row r="186" spans="1:7" s="2775" customFormat="1" ht="14.25" customHeight="1">
      <c r="A186" s="2941" t="s">
        <v>29</v>
      </c>
      <c r="B186" s="2941" t="s">
        <v>3064</v>
      </c>
      <c r="C186" s="2941"/>
      <c r="D186" s="2941"/>
      <c r="E186" s="2941"/>
      <c r="F186" s="2941">
        <v>2550</v>
      </c>
      <c r="G186" s="2941"/>
    </row>
    <row r="187" spans="1:7" s="2775" customFormat="1" ht="14.25" customHeight="1">
      <c r="A187" s="2941" t="s">
        <v>29</v>
      </c>
      <c r="B187" s="2941" t="s">
        <v>3065</v>
      </c>
      <c r="C187" s="2941"/>
      <c r="D187" s="2941"/>
      <c r="E187" s="2941"/>
      <c r="F187" s="2941">
        <v>2070</v>
      </c>
      <c r="G187" s="2941"/>
    </row>
    <row r="188" spans="1:7" s="2775" customFormat="1" ht="14.25" customHeight="1">
      <c r="A188" s="2941" t="s">
        <v>29</v>
      </c>
      <c r="B188" s="2941" t="s">
        <v>3066</v>
      </c>
      <c r="C188" s="2941"/>
      <c r="D188" s="2941"/>
      <c r="E188" s="2941"/>
      <c r="F188" s="2941">
        <v>2340</v>
      </c>
      <c r="G188" s="2941"/>
    </row>
    <row r="189" spans="1:7" s="2775" customFormat="1" ht="14.25" customHeight="1" thickBot="1">
      <c r="A189" s="2949" t="s">
        <v>29</v>
      </c>
      <c r="B189" s="2952" t="s">
        <v>3067</v>
      </c>
      <c r="C189" s="2952"/>
      <c r="D189" s="2952"/>
      <c r="E189" s="2952"/>
      <c r="F189" s="2952">
        <v>2050</v>
      </c>
      <c r="G189" s="2952"/>
    </row>
    <row r="190" spans="1:7" s="2775" customFormat="1" ht="14.25" customHeight="1">
      <c r="A190" s="2946" t="s">
        <v>304</v>
      </c>
      <c r="B190" s="2937" t="s">
        <v>3087</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3088</v>
      </c>
      <c r="C199" s="2941">
        <v>8690</v>
      </c>
      <c r="D199" s="2941">
        <v>8630</v>
      </c>
      <c r="E199" s="2941">
        <v>11350</v>
      </c>
      <c r="F199" s="2941">
        <v>1600</v>
      </c>
      <c r="G199" s="2954">
        <v>5450</v>
      </c>
    </row>
    <row r="200" spans="1:7" s="2775" customFormat="1" ht="14.25" customHeight="1">
      <c r="A200" s="2941" t="s">
        <v>304</v>
      </c>
      <c r="B200" s="2941" t="s">
        <v>2899</v>
      </c>
      <c r="C200" s="2941"/>
      <c r="D200" s="2941"/>
      <c r="E200" s="2941"/>
      <c r="F200" s="2941">
        <v>1510</v>
      </c>
      <c r="G200" s="2954"/>
    </row>
    <row r="201" spans="1:7" s="2775" customFormat="1" ht="14.25" customHeight="1">
      <c r="A201" s="2941" t="s">
        <v>304</v>
      </c>
      <c r="B201" s="2941" t="s">
        <v>3089</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3090</v>
      </c>
      <c r="C203" s="2941">
        <v>8130</v>
      </c>
      <c r="D203" s="2941">
        <v>8070</v>
      </c>
      <c r="E203" s="2941">
        <v>10820</v>
      </c>
      <c r="F203" s="2941">
        <v>1690</v>
      </c>
      <c r="G203" s="2954">
        <v>5100</v>
      </c>
    </row>
    <row r="204" spans="1:7" s="2775" customFormat="1" ht="14.25" customHeight="1">
      <c r="A204" s="2941" t="s">
        <v>304</v>
      </c>
      <c r="B204" s="2941" t="s">
        <v>2910</v>
      </c>
      <c r="C204" s="2941">
        <v>8350</v>
      </c>
      <c r="D204" s="2941">
        <v>8290</v>
      </c>
      <c r="E204" s="2941">
        <v>11080</v>
      </c>
      <c r="F204" s="2941">
        <v>1450</v>
      </c>
      <c r="G204" s="2954">
        <v>5240</v>
      </c>
    </row>
    <row r="205" spans="1:7" s="2775" customFormat="1" ht="14.25" customHeight="1">
      <c r="A205" s="2941" t="s">
        <v>304</v>
      </c>
      <c r="B205" s="2941" t="s">
        <v>2912</v>
      </c>
      <c r="C205" s="2941">
        <v>7190</v>
      </c>
      <c r="D205" s="2941">
        <v>7130</v>
      </c>
      <c r="E205" s="2941">
        <v>9490</v>
      </c>
      <c r="F205" s="2941">
        <v>1470</v>
      </c>
      <c r="G205" s="2954">
        <v>4510</v>
      </c>
    </row>
    <row r="206" spans="1:7" s="2775" customFormat="1" ht="14.25" customHeight="1">
      <c r="A206" s="2941" t="s">
        <v>304</v>
      </c>
      <c r="B206" s="2941" t="s">
        <v>2915</v>
      </c>
      <c r="C206" s="2941">
        <v>7000</v>
      </c>
      <c r="D206" s="2941">
        <v>6950</v>
      </c>
      <c r="E206" s="2941">
        <v>9170</v>
      </c>
      <c r="F206" s="2941">
        <v>1400</v>
      </c>
      <c r="G206" s="2954">
        <v>4380</v>
      </c>
    </row>
    <row r="207" spans="1:7" s="2775" customFormat="1" ht="14.25" customHeight="1">
      <c r="A207" s="2941" t="s">
        <v>304</v>
      </c>
      <c r="B207" s="2941" t="s">
        <v>2917</v>
      </c>
      <c r="C207" s="2941">
        <v>6950</v>
      </c>
      <c r="D207" s="2941">
        <v>6900</v>
      </c>
      <c r="E207" s="2941">
        <v>9110</v>
      </c>
      <c r="F207" s="2941">
        <v>1790</v>
      </c>
      <c r="G207" s="2954">
        <v>4360</v>
      </c>
    </row>
    <row r="208" spans="1:7" s="2775" customFormat="1" ht="14.25" customHeight="1">
      <c r="A208" s="2941" t="s">
        <v>304</v>
      </c>
      <c r="B208" s="2941" t="s">
        <v>3091</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2927</v>
      </c>
      <c r="C210" s="2941">
        <v>8710</v>
      </c>
      <c r="D210" s="2941">
        <v>8660</v>
      </c>
      <c r="E210" s="2941">
        <v>11440</v>
      </c>
      <c r="F210" s="2941">
        <v>1740</v>
      </c>
      <c r="G210" s="2954">
        <v>5470</v>
      </c>
    </row>
    <row r="211" spans="1:7" s="2775" customFormat="1" ht="14.25" customHeight="1">
      <c r="A211" s="2941" t="s">
        <v>304</v>
      </c>
      <c r="B211" s="2941" t="s">
        <v>3092</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3093</v>
      </c>
      <c r="C214" s="2941">
        <v>8090</v>
      </c>
      <c r="D214" s="2941">
        <v>8030</v>
      </c>
      <c r="E214" s="2941">
        <v>10780</v>
      </c>
      <c r="F214" s="2941">
        <v>1570</v>
      </c>
      <c r="G214" s="2954">
        <v>5070</v>
      </c>
    </row>
    <row r="215" spans="1:7" s="2775" customFormat="1" ht="14.25" customHeight="1">
      <c r="A215" s="2941" t="s">
        <v>304</v>
      </c>
      <c r="B215" s="2941" t="s">
        <v>3094</v>
      </c>
      <c r="C215" s="2941">
        <v>7950</v>
      </c>
      <c r="D215" s="2941">
        <v>7900</v>
      </c>
      <c r="E215" s="2941">
        <v>10560</v>
      </c>
      <c r="F215" s="2941">
        <v>1630</v>
      </c>
      <c r="G215" s="2954">
        <v>4990</v>
      </c>
    </row>
    <row r="216" spans="1:7" s="2775" customFormat="1" ht="14.25" customHeight="1">
      <c r="A216" s="2941" t="s">
        <v>304</v>
      </c>
      <c r="B216" s="2941" t="s">
        <v>3095</v>
      </c>
      <c r="C216" s="2941">
        <v>8490</v>
      </c>
      <c r="D216" s="2941">
        <v>8440</v>
      </c>
      <c r="E216" s="2941">
        <v>11260</v>
      </c>
      <c r="F216" s="2941">
        <v>1690</v>
      </c>
      <c r="G216" s="2954">
        <v>5330</v>
      </c>
    </row>
    <row r="217" spans="1:7" s="2775" customFormat="1" ht="14.25" customHeight="1">
      <c r="A217" s="2941" t="s">
        <v>304</v>
      </c>
      <c r="B217" s="2941" t="s">
        <v>2960</v>
      </c>
      <c r="C217" s="2941">
        <v>8200</v>
      </c>
      <c r="D217" s="2941">
        <v>8150</v>
      </c>
      <c r="E217" s="2941">
        <v>10910</v>
      </c>
      <c r="F217" s="2941">
        <v>1670</v>
      </c>
      <c r="G217" s="2954">
        <v>5150</v>
      </c>
    </row>
    <row r="218" spans="1:7" s="2775" customFormat="1" ht="14.25" customHeight="1">
      <c r="A218" s="2941" t="s">
        <v>304</v>
      </c>
      <c r="B218" s="2941" t="s">
        <v>3096</v>
      </c>
      <c r="C218" s="2941"/>
      <c r="D218" s="2941"/>
      <c r="E218" s="2941"/>
      <c r="F218" s="2941">
        <v>2040</v>
      </c>
      <c r="G218" s="2954"/>
    </row>
    <row r="219" spans="1:7" s="2775" customFormat="1" ht="14.25" customHeight="1">
      <c r="A219" s="2941" t="s">
        <v>304</v>
      </c>
      <c r="B219" s="2941" t="s">
        <v>3097</v>
      </c>
      <c r="C219" s="2941"/>
      <c r="D219" s="2941"/>
      <c r="E219" s="2941"/>
      <c r="F219" s="2941">
        <v>2040</v>
      </c>
      <c r="G219" s="2954"/>
    </row>
    <row r="220" spans="1:7" s="2775" customFormat="1" ht="14.25" customHeight="1">
      <c r="A220" s="2941" t="s">
        <v>304</v>
      </c>
      <c r="B220" s="2941" t="s">
        <v>3098</v>
      </c>
      <c r="C220" s="2941"/>
      <c r="D220" s="2941"/>
      <c r="E220" s="2941"/>
      <c r="F220" s="2941">
        <v>2040</v>
      </c>
      <c r="G220" s="2954"/>
    </row>
    <row r="221" spans="1:7" s="2775" customFormat="1" ht="14.25" customHeight="1">
      <c r="A221" s="2941" t="s">
        <v>304</v>
      </c>
      <c r="B221" s="2941" t="s">
        <v>3099</v>
      </c>
      <c r="C221" s="2941"/>
      <c r="D221" s="2941"/>
      <c r="E221" s="2941"/>
      <c r="F221" s="2941">
        <v>2040</v>
      </c>
      <c r="G221" s="2954"/>
    </row>
    <row r="222" spans="1:7" s="2775" customFormat="1" ht="14.25" customHeight="1">
      <c r="A222" s="2941" t="s">
        <v>304</v>
      </c>
      <c r="B222" s="2941" t="s">
        <v>3100</v>
      </c>
      <c r="C222" s="2941"/>
      <c r="D222" s="2941"/>
      <c r="E222" s="2941"/>
      <c r="F222" s="2941">
        <v>2040</v>
      </c>
      <c r="G222" s="2954"/>
    </row>
    <row r="223" spans="1:7" s="2775" customFormat="1" ht="14.25" customHeight="1">
      <c r="A223" s="2941" t="s">
        <v>304</v>
      </c>
      <c r="B223" s="2941" t="s">
        <v>3101</v>
      </c>
      <c r="C223" s="2941"/>
      <c r="D223" s="2941"/>
      <c r="E223" s="2941"/>
      <c r="F223" s="2941">
        <v>1930</v>
      </c>
      <c r="G223" s="2954"/>
    </row>
    <row r="224" spans="1:7" s="2775" customFormat="1" ht="14.25" customHeight="1">
      <c r="A224" s="2941" t="s">
        <v>304</v>
      </c>
      <c r="B224" s="2941" t="s">
        <v>3102</v>
      </c>
      <c r="C224" s="2941"/>
      <c r="D224" s="2941"/>
      <c r="E224" s="2941"/>
      <c r="F224" s="2941">
        <v>1930</v>
      </c>
      <c r="G224" s="2954"/>
    </row>
    <row r="225" spans="1:7" s="2775" customFormat="1" ht="14.25" customHeight="1">
      <c r="A225" s="2941" t="s">
        <v>304</v>
      </c>
      <c r="B225" s="2941" t="s">
        <v>3103</v>
      </c>
      <c r="C225" s="2941"/>
      <c r="D225" s="2941"/>
      <c r="E225" s="2941"/>
      <c r="F225" s="2941">
        <v>1930</v>
      </c>
      <c r="G225" s="2954"/>
    </row>
    <row r="226" spans="1:7" s="2775" customFormat="1" ht="14.25" customHeight="1">
      <c r="A226" s="2941" t="s">
        <v>304</v>
      </c>
      <c r="B226" s="2941" t="s">
        <v>3104</v>
      </c>
      <c r="C226" s="2941"/>
      <c r="D226" s="2941"/>
      <c r="E226" s="2941"/>
      <c r="F226" s="2941">
        <v>1700</v>
      </c>
      <c r="G226" s="2954"/>
    </row>
    <row r="227" spans="1:7" s="2775" customFormat="1" ht="14.25" customHeight="1">
      <c r="A227" s="2941" t="s">
        <v>304</v>
      </c>
      <c r="B227" s="2941" t="s">
        <v>3105</v>
      </c>
      <c r="C227" s="2941"/>
      <c r="D227" s="2941"/>
      <c r="E227" s="2941"/>
      <c r="F227" s="2941">
        <v>1520</v>
      </c>
      <c r="G227" s="2954"/>
    </row>
    <row r="228" spans="1:7" s="2775" customFormat="1" ht="14.25" customHeight="1">
      <c r="A228" s="2941" t="s">
        <v>304</v>
      </c>
      <c r="B228" s="2941" t="s">
        <v>3106</v>
      </c>
      <c r="C228" s="2941"/>
      <c r="D228" s="2941"/>
      <c r="E228" s="2941"/>
      <c r="F228" s="2941">
        <v>1520</v>
      </c>
      <c r="G228" s="2954"/>
    </row>
    <row r="229" spans="1:7" s="2775" customFormat="1" ht="14.25" customHeight="1">
      <c r="A229" s="2941" t="s">
        <v>304</v>
      </c>
      <c r="B229" s="2941" t="s">
        <v>3023</v>
      </c>
      <c r="C229" s="2941"/>
      <c r="D229" s="2941"/>
      <c r="E229" s="2941"/>
      <c r="F229" s="2941">
        <v>1520</v>
      </c>
      <c r="G229" s="2954"/>
    </row>
    <row r="230" spans="1:7" s="2775" customFormat="1" ht="14.25" customHeight="1">
      <c r="A230" s="2941" t="s">
        <v>304</v>
      </c>
      <c r="B230" s="2941" t="s">
        <v>3107</v>
      </c>
      <c r="C230" s="2941"/>
      <c r="D230" s="2941"/>
      <c r="E230" s="2941"/>
      <c r="F230" s="2941">
        <v>1820</v>
      </c>
      <c r="G230" s="2954"/>
    </row>
    <row r="231" spans="1:7" s="2775" customFormat="1" ht="14.25" customHeight="1">
      <c r="A231" s="2941" t="s">
        <v>304</v>
      </c>
      <c r="B231" s="2941" t="s">
        <v>3108</v>
      </c>
      <c r="C231" s="2941"/>
      <c r="D231" s="2941"/>
      <c r="E231" s="2941"/>
      <c r="F231" s="2941">
        <v>1760</v>
      </c>
      <c r="G231" s="2954"/>
    </row>
    <row r="232" spans="1:7" s="2775" customFormat="1" ht="14.25" customHeight="1">
      <c r="A232" s="2941" t="s">
        <v>304</v>
      </c>
      <c r="B232" s="2941" t="s">
        <v>3109</v>
      </c>
      <c r="C232" s="2941"/>
      <c r="D232" s="2941"/>
      <c r="E232" s="2941"/>
      <c r="F232" s="2941">
        <v>1840</v>
      </c>
      <c r="G232" s="2954"/>
    </row>
    <row r="233" spans="1:7" s="2775" customFormat="1" ht="14.25" customHeight="1" thickBot="1">
      <c r="A233" s="2955" t="s">
        <v>304</v>
      </c>
      <c r="B233" s="2948" t="s">
        <v>3040</v>
      </c>
      <c r="C233" s="2948"/>
      <c r="D233" s="2948"/>
      <c r="E233" s="2948"/>
      <c r="F233" s="2948">
        <v>1770</v>
      </c>
      <c r="G233" s="2956"/>
    </row>
    <row r="234" spans="1:7" s="2775" customFormat="1" ht="14.25" customHeight="1">
      <c r="A234" s="2946" t="s">
        <v>305</v>
      </c>
      <c r="B234" s="2937" t="s">
        <v>3110</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2881</v>
      </c>
      <c r="C238" s="2941">
        <v>6920</v>
      </c>
      <c r="D238" s="2941">
        <v>6890</v>
      </c>
      <c r="E238" s="2941">
        <v>8640</v>
      </c>
      <c r="F238" s="2941">
        <v>1310</v>
      </c>
      <c r="G238" s="2941">
        <v>4230</v>
      </c>
    </row>
    <row r="239" spans="1:7" s="2775" customFormat="1" ht="14.25" customHeight="1">
      <c r="A239" s="2941" t="s">
        <v>305</v>
      </c>
      <c r="B239" s="2941" t="s">
        <v>3111</v>
      </c>
      <c r="C239" s="2941">
        <v>6780</v>
      </c>
      <c r="D239" s="2941">
        <v>6750</v>
      </c>
      <c r="E239" s="2941">
        <v>8440</v>
      </c>
      <c r="F239" s="2941">
        <v>1160</v>
      </c>
      <c r="G239" s="2941">
        <v>4140</v>
      </c>
    </row>
    <row r="240" spans="1:7" s="2775" customFormat="1" ht="14.25" customHeight="1">
      <c r="A240" s="2941" t="s">
        <v>305</v>
      </c>
      <c r="B240" s="2941" t="s">
        <v>3112</v>
      </c>
      <c r="C240" s="2941">
        <v>5420</v>
      </c>
      <c r="D240" s="2941">
        <v>5380</v>
      </c>
      <c r="E240" s="2941">
        <v>6640</v>
      </c>
      <c r="F240" s="2941">
        <v>1020</v>
      </c>
      <c r="G240" s="2941">
        <v>3300</v>
      </c>
    </row>
    <row r="241" spans="1:7" s="2775" customFormat="1" ht="14.25" customHeight="1">
      <c r="A241" s="2941" t="s">
        <v>305</v>
      </c>
      <c r="B241" s="2941" t="s">
        <v>3113</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3114</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3115</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3116</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3117</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3118</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2943</v>
      </c>
      <c r="C258" s="2941">
        <v>6190</v>
      </c>
      <c r="D258" s="2941">
        <v>6160</v>
      </c>
      <c r="E258" s="2941">
        <v>7680</v>
      </c>
      <c r="F258" s="2941">
        <v>1170</v>
      </c>
      <c r="G258" s="2941">
        <v>3780</v>
      </c>
    </row>
    <row r="259" spans="1:7" s="2775" customFormat="1" ht="14.25" customHeight="1">
      <c r="A259" s="2941" t="s">
        <v>305</v>
      </c>
      <c r="B259" s="2941" t="s">
        <v>3119</v>
      </c>
      <c r="C259" s="2941">
        <v>7610</v>
      </c>
      <c r="D259" s="2941">
        <v>7570</v>
      </c>
      <c r="E259" s="2941">
        <v>9350</v>
      </c>
      <c r="F259" s="2941">
        <v>1350</v>
      </c>
      <c r="G259" s="2941">
        <v>4650</v>
      </c>
    </row>
    <row r="260" spans="1:7" s="2775" customFormat="1" ht="14.25" customHeight="1">
      <c r="A260" s="2941" t="s">
        <v>305</v>
      </c>
      <c r="B260" s="2941" t="s">
        <v>3120</v>
      </c>
      <c r="C260" s="2941">
        <v>6920</v>
      </c>
      <c r="D260" s="2941">
        <v>6880</v>
      </c>
      <c r="E260" s="2941">
        <v>8380</v>
      </c>
      <c r="F260" s="2941">
        <v>1160</v>
      </c>
      <c r="G260" s="2941">
        <v>4220</v>
      </c>
    </row>
    <row r="261" spans="1:7" s="2775" customFormat="1" ht="14.25" customHeight="1">
      <c r="A261" s="2941" t="s">
        <v>305</v>
      </c>
      <c r="B261" s="2941" t="s">
        <v>3121</v>
      </c>
      <c r="C261" s="2941">
        <v>6850</v>
      </c>
      <c r="D261" s="2941">
        <v>6810</v>
      </c>
      <c r="E261" s="2941">
        <v>8290</v>
      </c>
      <c r="F261" s="2941">
        <v>1130</v>
      </c>
      <c r="G261" s="2941">
        <v>4180</v>
      </c>
    </row>
    <row r="262" spans="1:7" s="2775" customFormat="1" ht="14.25" customHeight="1">
      <c r="A262" s="2941" t="s">
        <v>305</v>
      </c>
      <c r="B262" s="2941" t="s">
        <v>3122</v>
      </c>
      <c r="C262" s="2941">
        <v>5860</v>
      </c>
      <c r="D262" s="2941">
        <v>5820</v>
      </c>
      <c r="E262" s="2941">
        <v>7640</v>
      </c>
      <c r="F262" s="2941">
        <v>1070</v>
      </c>
      <c r="G262" s="2941">
        <v>3570</v>
      </c>
    </row>
    <row r="263" spans="1:7" s="2775" customFormat="1" ht="14.25" customHeight="1">
      <c r="A263" s="2941" t="s">
        <v>305</v>
      </c>
      <c r="B263" s="2941" t="s">
        <v>3123</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3124</v>
      </c>
      <c r="C265" s="2941"/>
      <c r="D265" s="2941"/>
      <c r="E265" s="2941"/>
      <c r="F265" s="2941">
        <v>1500</v>
      </c>
      <c r="G265" s="2941"/>
    </row>
    <row r="266" spans="1:7" s="2775" customFormat="1" ht="14.25" customHeight="1">
      <c r="A266" s="2941" t="s">
        <v>305</v>
      </c>
      <c r="B266" s="2941" t="s">
        <v>3125</v>
      </c>
      <c r="C266" s="2941"/>
      <c r="D266" s="2941"/>
      <c r="E266" s="2941"/>
      <c r="F266" s="2941">
        <v>1500</v>
      </c>
      <c r="G266" s="2941"/>
    </row>
    <row r="267" spans="1:7" s="2775" customFormat="1" ht="14.25" customHeight="1">
      <c r="A267" s="2941" t="s">
        <v>305</v>
      </c>
      <c r="B267" s="2941" t="s">
        <v>3126</v>
      </c>
      <c r="C267" s="2941"/>
      <c r="D267" s="2941"/>
      <c r="E267" s="2941"/>
      <c r="F267" s="2941">
        <v>1500</v>
      </c>
      <c r="G267" s="2941"/>
    </row>
    <row r="268" spans="1:7" s="2775" customFormat="1" ht="14.25" customHeight="1">
      <c r="A268" s="2941" t="s">
        <v>305</v>
      </c>
      <c r="B268" s="2941" t="s">
        <v>3127</v>
      </c>
      <c r="C268" s="2941"/>
      <c r="D268" s="2941"/>
      <c r="E268" s="2941"/>
      <c r="F268" s="2941">
        <v>1290</v>
      </c>
      <c r="G268" s="2941"/>
    </row>
    <row r="269" spans="1:7" s="2775" customFormat="1" ht="14.25" customHeight="1">
      <c r="A269" s="2941" t="s">
        <v>305</v>
      </c>
      <c r="B269" s="2941" t="s">
        <v>3128</v>
      </c>
      <c r="C269" s="2941"/>
      <c r="D269" s="2941"/>
      <c r="E269" s="2941"/>
      <c r="F269" s="2941">
        <v>1150</v>
      </c>
      <c r="G269" s="2941"/>
    </row>
    <row r="270" spans="1:7" s="2775" customFormat="1" ht="14.25" customHeight="1">
      <c r="A270" s="2941" t="s">
        <v>305</v>
      </c>
      <c r="B270" s="2941" t="s">
        <v>3129</v>
      </c>
      <c r="C270" s="2941"/>
      <c r="D270" s="2941"/>
      <c r="E270" s="2941"/>
      <c r="F270" s="2941">
        <v>1380</v>
      </c>
      <c r="G270" s="2941"/>
    </row>
    <row r="271" spans="1:7" s="2775" customFormat="1" ht="14.25" customHeight="1">
      <c r="A271" s="2941" t="s">
        <v>305</v>
      </c>
      <c r="B271" s="2941" t="s">
        <v>3130</v>
      </c>
      <c r="C271" s="2941"/>
      <c r="D271" s="2941"/>
      <c r="E271" s="2941"/>
      <c r="F271" s="2941">
        <v>1460</v>
      </c>
      <c r="G271" s="2941"/>
    </row>
    <row r="272" spans="1:7" s="2775" customFormat="1" ht="14.25" customHeight="1">
      <c r="A272" s="2941" t="s">
        <v>305</v>
      </c>
      <c r="B272" s="2941" t="s">
        <v>3131</v>
      </c>
      <c r="C272" s="2941"/>
      <c r="D272" s="2941"/>
      <c r="E272" s="2941"/>
      <c r="F272" s="2941">
        <v>1460</v>
      </c>
      <c r="G272" s="2941"/>
    </row>
    <row r="273" spans="1:7" s="2775" customFormat="1" ht="14.25" customHeight="1">
      <c r="A273" s="2941" t="s">
        <v>305</v>
      </c>
      <c r="B273" s="2941" t="s">
        <v>3024</v>
      </c>
      <c r="C273" s="2941"/>
      <c r="D273" s="2941"/>
      <c r="E273" s="2941"/>
      <c r="F273" s="2941">
        <v>1490</v>
      </c>
      <c r="G273" s="2941"/>
    </row>
    <row r="274" spans="1:7" s="2775" customFormat="1" ht="14.25" customHeight="1">
      <c r="A274" s="2941" t="s">
        <v>305</v>
      </c>
      <c r="B274" s="2941" t="s">
        <v>3132</v>
      </c>
      <c r="C274" s="2941"/>
      <c r="D274" s="2941"/>
      <c r="E274" s="2941"/>
      <c r="F274" s="2941">
        <v>1490</v>
      </c>
      <c r="G274" s="2941"/>
    </row>
    <row r="275" spans="1:7" s="2775" customFormat="1" ht="14.25" customHeight="1">
      <c r="A275" s="2941" t="s">
        <v>305</v>
      </c>
      <c r="B275" s="2941" t="s">
        <v>3133</v>
      </c>
      <c r="C275" s="2941"/>
      <c r="D275" s="2941"/>
      <c r="E275" s="2941"/>
      <c r="F275" s="2941">
        <v>1220</v>
      </c>
      <c r="G275" s="2941"/>
    </row>
    <row r="276" spans="1:7" s="2775" customFormat="1" ht="14.25" customHeight="1" thickBot="1">
      <c r="A276" s="2949" t="s">
        <v>305</v>
      </c>
      <c r="B276" s="2951" t="s">
        <v>3134</v>
      </c>
      <c r="C276" s="2952"/>
      <c r="D276" s="2952"/>
      <c r="E276" s="2952"/>
      <c r="F276" s="2952">
        <v>1380</v>
      </c>
      <c r="G276" s="2952"/>
    </row>
    <row r="277" spans="1:7" s="2775" customFormat="1" ht="14.25" customHeight="1">
      <c r="A277" s="2946" t="s">
        <v>306</v>
      </c>
      <c r="B277" s="2937" t="s">
        <v>3135</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3136</v>
      </c>
      <c r="C279" s="2941">
        <v>4760</v>
      </c>
      <c r="D279" s="2941">
        <v>4720</v>
      </c>
      <c r="E279" s="2941">
        <v>5540</v>
      </c>
      <c r="F279" s="2941">
        <v>810</v>
      </c>
      <c r="G279" s="2954">
        <v>2850</v>
      </c>
    </row>
    <row r="280" spans="1:7" s="2775" customFormat="1" ht="14.25" customHeight="1">
      <c r="A280" s="2941" t="s">
        <v>306</v>
      </c>
      <c r="B280" s="2941" t="s">
        <v>3137</v>
      </c>
      <c r="C280" s="2941">
        <v>4010</v>
      </c>
      <c r="D280" s="2941">
        <v>3950</v>
      </c>
      <c r="E280" s="2941">
        <v>4710</v>
      </c>
      <c r="F280" s="2941">
        <v>800</v>
      </c>
      <c r="G280" s="2954">
        <v>2390</v>
      </c>
    </row>
    <row r="281" spans="1:7" s="2775" customFormat="1" ht="14.25" customHeight="1">
      <c r="A281" s="2941" t="s">
        <v>306</v>
      </c>
      <c r="B281" s="2941" t="s">
        <v>3138</v>
      </c>
      <c r="C281" s="2941">
        <v>4480</v>
      </c>
      <c r="D281" s="2941">
        <v>4420</v>
      </c>
      <c r="E281" s="2941">
        <v>5230</v>
      </c>
      <c r="F281" s="2941">
        <v>870</v>
      </c>
      <c r="G281" s="2954">
        <v>2660</v>
      </c>
    </row>
    <row r="282" spans="1:7" s="2775" customFormat="1" ht="14.25" customHeight="1">
      <c r="A282" s="2941" t="s">
        <v>306</v>
      </c>
      <c r="B282" s="2941" t="s">
        <v>3139</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3140</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3141</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2916</v>
      </c>
      <c r="C293" s="2941">
        <v>5320</v>
      </c>
      <c r="D293" s="2941">
        <v>5270</v>
      </c>
      <c r="E293" s="2941">
        <v>6160</v>
      </c>
      <c r="F293" s="2941">
        <v>990</v>
      </c>
      <c r="G293" s="2954">
        <v>3170</v>
      </c>
    </row>
    <row r="294" spans="1:7" s="2775" customFormat="1" ht="14.25" customHeight="1">
      <c r="A294" s="2941" t="s">
        <v>306</v>
      </c>
      <c r="B294" s="2941" t="s">
        <v>3142</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2935</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3143</v>
      </c>
      <c r="C302" s="2941">
        <v>5520</v>
      </c>
      <c r="D302" s="2941">
        <v>5470</v>
      </c>
      <c r="E302" s="2941">
        <v>6410</v>
      </c>
      <c r="F302" s="2941">
        <v>950</v>
      </c>
      <c r="G302" s="2954">
        <v>3300</v>
      </c>
    </row>
    <row r="303" spans="1:7" s="2775" customFormat="1" ht="14.25" customHeight="1">
      <c r="A303" s="2941" t="s">
        <v>306</v>
      </c>
      <c r="B303" s="2941" t="s">
        <v>2955</v>
      </c>
      <c r="C303" s="2941">
        <v>5630</v>
      </c>
      <c r="D303" s="2941">
        <v>5590</v>
      </c>
      <c r="E303" s="2941">
        <v>6550</v>
      </c>
      <c r="F303" s="2941">
        <v>1010</v>
      </c>
      <c r="G303" s="2954">
        <v>3370</v>
      </c>
    </row>
    <row r="304" spans="1:7" s="2775" customFormat="1" ht="14.25" customHeight="1">
      <c r="A304" s="2941" t="s">
        <v>306</v>
      </c>
      <c r="B304" s="2941" t="s">
        <v>2962</v>
      </c>
      <c r="C304" s="2941">
        <v>5680</v>
      </c>
      <c r="D304" s="2941">
        <v>5620</v>
      </c>
      <c r="E304" s="2941">
        <v>6620</v>
      </c>
      <c r="F304" s="2941">
        <v>1050</v>
      </c>
      <c r="G304" s="2954">
        <v>3390</v>
      </c>
    </row>
    <row r="305" spans="1:7" s="2775" customFormat="1" ht="14.25" customHeight="1">
      <c r="A305" s="2941" t="s">
        <v>306</v>
      </c>
      <c r="B305" s="2941" t="s">
        <v>2968</v>
      </c>
      <c r="C305" s="2941">
        <v>5590</v>
      </c>
      <c r="D305" s="2941">
        <v>5530</v>
      </c>
      <c r="E305" s="2941">
        <v>6460</v>
      </c>
      <c r="F305" s="2941">
        <v>900</v>
      </c>
      <c r="G305" s="2954">
        <v>3340</v>
      </c>
    </row>
    <row r="306" spans="1:7" s="2775" customFormat="1" ht="14.25" customHeight="1">
      <c r="A306" s="2941" t="s">
        <v>306</v>
      </c>
      <c r="B306" s="2941" t="s">
        <v>3144</v>
      </c>
      <c r="C306" s="2941">
        <v>5560</v>
      </c>
      <c r="D306" s="2941">
        <v>5510</v>
      </c>
      <c r="E306" s="2941">
        <v>6440</v>
      </c>
      <c r="F306" s="2941">
        <v>900</v>
      </c>
      <c r="G306" s="2954">
        <v>3320</v>
      </c>
    </row>
    <row r="307" spans="1:7" s="2775" customFormat="1" ht="14.25" customHeight="1">
      <c r="A307" s="2941" t="s">
        <v>306</v>
      </c>
      <c r="B307" s="2941" t="s">
        <v>2980</v>
      </c>
      <c r="C307" s="2941">
        <v>5650</v>
      </c>
      <c r="D307" s="2941">
        <v>5600</v>
      </c>
      <c r="E307" s="2941">
        <v>6590</v>
      </c>
      <c r="F307" s="2941">
        <v>930</v>
      </c>
      <c r="G307" s="2954">
        <v>3380</v>
      </c>
    </row>
    <row r="308" spans="1:7" s="2775" customFormat="1" ht="14.25" customHeight="1">
      <c r="A308" s="2941" t="s">
        <v>306</v>
      </c>
      <c r="B308" s="2941" t="s">
        <v>3145</v>
      </c>
      <c r="C308" s="2941">
        <v>5620</v>
      </c>
      <c r="D308" s="2941">
        <v>5580</v>
      </c>
      <c r="E308" s="2941">
        <v>6540</v>
      </c>
      <c r="F308" s="2941">
        <v>910</v>
      </c>
      <c r="G308" s="2954">
        <v>3370</v>
      </c>
    </row>
    <row r="309" spans="1:7" s="2775" customFormat="1" ht="14.25" customHeight="1">
      <c r="A309" s="2941" t="s">
        <v>306</v>
      </c>
      <c r="B309" s="2941" t="s">
        <v>3146</v>
      </c>
      <c r="C309" s="2941">
        <v>5060</v>
      </c>
      <c r="D309" s="2941">
        <v>5020</v>
      </c>
      <c r="E309" s="2941">
        <v>6370</v>
      </c>
      <c r="F309" s="2941">
        <v>800</v>
      </c>
      <c r="G309" s="2954">
        <v>3020</v>
      </c>
    </row>
    <row r="310" spans="1:7" s="2775" customFormat="1" ht="14.25" customHeight="1">
      <c r="A310" s="2941" t="s">
        <v>306</v>
      </c>
      <c r="B310" s="2941" t="s">
        <v>2995</v>
      </c>
      <c r="C310" s="2941">
        <v>5150</v>
      </c>
      <c r="D310" s="2941">
        <v>5110</v>
      </c>
      <c r="E310" s="2941">
        <v>6500</v>
      </c>
      <c r="F310" s="2941">
        <v>880</v>
      </c>
      <c r="G310" s="2954">
        <v>3080</v>
      </c>
    </row>
    <row r="311" spans="1:7" s="2775" customFormat="1" ht="14.25" customHeight="1">
      <c r="A311" s="2941" t="s">
        <v>306</v>
      </c>
      <c r="B311" s="2941" t="s">
        <v>3147</v>
      </c>
      <c r="C311" s="2941">
        <v>4750</v>
      </c>
      <c r="D311" s="2941">
        <v>4710</v>
      </c>
      <c r="E311" s="2941">
        <v>5510</v>
      </c>
      <c r="F311" s="2941">
        <v>880</v>
      </c>
      <c r="G311" s="2954">
        <v>2840</v>
      </c>
    </row>
    <row r="312" spans="1:7" s="2775" customFormat="1" ht="14.25" customHeight="1">
      <c r="A312" s="2941" t="s">
        <v>306</v>
      </c>
      <c r="B312" s="2941" t="s">
        <v>3005</v>
      </c>
      <c r="C312" s="2941">
        <v>4690</v>
      </c>
      <c r="D312" s="2941">
        <v>4640</v>
      </c>
      <c r="E312" s="2941">
        <v>5420</v>
      </c>
      <c r="F312" s="2941">
        <v>800</v>
      </c>
      <c r="G312" s="2954">
        <v>2800</v>
      </c>
    </row>
    <row r="313" spans="1:7" s="2775" customFormat="1" ht="14.25" customHeight="1">
      <c r="A313" s="2941" t="s">
        <v>306</v>
      </c>
      <c r="B313" s="2941" t="s">
        <v>3010</v>
      </c>
      <c r="C313" s="2941">
        <v>4810</v>
      </c>
      <c r="D313" s="2941">
        <v>4760</v>
      </c>
      <c r="E313" s="2941">
        <v>5550</v>
      </c>
      <c r="F313" s="2941">
        <v>920</v>
      </c>
      <c r="G313" s="2954">
        <v>2870</v>
      </c>
    </row>
    <row r="314" spans="1:7" s="2775" customFormat="1" ht="14.25" customHeight="1">
      <c r="A314" s="2941" t="s">
        <v>306</v>
      </c>
      <c r="B314" s="2941" t="s">
        <v>3148</v>
      </c>
      <c r="C314" s="2941"/>
      <c r="D314" s="2941"/>
      <c r="E314" s="2941"/>
      <c r="F314" s="2941">
        <v>1020</v>
      </c>
      <c r="G314" s="2954"/>
    </row>
    <row r="315" spans="1:7" s="2775" customFormat="1" ht="14.25" customHeight="1">
      <c r="A315" s="2941" t="s">
        <v>306</v>
      </c>
      <c r="B315" s="2941" t="s">
        <v>3149</v>
      </c>
      <c r="C315" s="2941"/>
      <c r="D315" s="2941"/>
      <c r="E315" s="2941"/>
      <c r="F315" s="2941">
        <v>1050</v>
      </c>
      <c r="G315" s="2954"/>
    </row>
    <row r="316" spans="1:7" s="2775" customFormat="1" ht="14.25" customHeight="1">
      <c r="A316" s="2941" t="s">
        <v>306</v>
      </c>
      <c r="B316" s="2941" t="s">
        <v>3025</v>
      </c>
      <c r="C316" s="2941"/>
      <c r="D316" s="2941"/>
      <c r="E316" s="2941"/>
      <c r="F316" s="2941">
        <v>900</v>
      </c>
      <c r="G316" s="2954"/>
    </row>
    <row r="317" spans="1:7" s="2775" customFormat="1" ht="14.25" customHeight="1">
      <c r="A317" s="2941" t="s">
        <v>306</v>
      </c>
      <c r="B317" s="2941" t="s">
        <v>3150</v>
      </c>
      <c r="C317" s="2941"/>
      <c r="D317" s="2941"/>
      <c r="E317" s="2941"/>
      <c r="F317" s="2941">
        <v>920</v>
      </c>
      <c r="G317" s="2954"/>
    </row>
    <row r="318" spans="1:7" s="2775" customFormat="1" ht="14.25" customHeight="1">
      <c r="A318" s="2941" t="s">
        <v>306</v>
      </c>
      <c r="B318" s="2941" t="s">
        <v>3151</v>
      </c>
      <c r="C318" s="2941"/>
      <c r="D318" s="2941"/>
      <c r="E318" s="2941"/>
      <c r="F318" s="2941">
        <v>1080</v>
      </c>
      <c r="G318" s="2954"/>
    </row>
    <row r="319" spans="1:7" s="2775" customFormat="1" ht="14.25" customHeight="1">
      <c r="A319" s="2941" t="s">
        <v>306</v>
      </c>
      <c r="B319" s="2941" t="s">
        <v>3038</v>
      </c>
      <c r="C319" s="2941"/>
      <c r="D319" s="2941"/>
      <c r="E319" s="2941"/>
      <c r="F319" s="2941">
        <v>1020</v>
      </c>
      <c r="G319" s="2954"/>
    </row>
    <row r="320" spans="1:7" s="2775" customFormat="1" ht="14.25" customHeight="1">
      <c r="A320" s="2941" t="s">
        <v>306</v>
      </c>
      <c r="B320" s="2941" t="s">
        <v>3041</v>
      </c>
      <c r="C320" s="2941"/>
      <c r="D320" s="2941"/>
      <c r="E320" s="2941"/>
      <c r="F320" s="2941">
        <v>1050</v>
      </c>
      <c r="G320" s="2954"/>
    </row>
    <row r="321" spans="1:7" s="2775" customFormat="1" ht="14.25" customHeight="1">
      <c r="A321" s="2941" t="s">
        <v>306</v>
      </c>
      <c r="B321" s="2941" t="s">
        <v>3043</v>
      </c>
      <c r="C321" s="2941"/>
      <c r="D321" s="2941"/>
      <c r="E321" s="2941"/>
      <c r="F321" s="2941">
        <v>960</v>
      </c>
      <c r="G321" s="2954"/>
    </row>
    <row r="322" spans="1:7" s="2775" customFormat="1" ht="14.25" customHeight="1">
      <c r="A322" s="2941" t="s">
        <v>306</v>
      </c>
      <c r="B322" s="2941" t="s">
        <v>3045</v>
      </c>
      <c r="C322" s="2941"/>
      <c r="D322" s="2941"/>
      <c r="E322" s="2941"/>
      <c r="F322" s="2941">
        <v>960</v>
      </c>
      <c r="G322" s="2954"/>
    </row>
    <row r="323" spans="1:7" s="2775" customFormat="1" ht="14.25" customHeight="1">
      <c r="A323" s="2941" t="s">
        <v>306</v>
      </c>
      <c r="B323" s="2941" t="s">
        <v>3047</v>
      </c>
      <c r="C323" s="2941"/>
      <c r="D323" s="2941"/>
      <c r="E323" s="2941"/>
      <c r="F323" s="2941">
        <v>880</v>
      </c>
      <c r="G323" s="2954"/>
    </row>
    <row r="324" spans="1:7" s="2775" customFormat="1" ht="14.25" customHeight="1">
      <c r="A324" s="2941" t="s">
        <v>306</v>
      </c>
      <c r="B324" s="2941" t="s">
        <v>3049</v>
      </c>
      <c r="C324" s="2941"/>
      <c r="D324" s="2941"/>
      <c r="E324" s="2941"/>
      <c r="F324" s="2941">
        <v>930</v>
      </c>
      <c r="G324" s="2954"/>
    </row>
    <row r="325" spans="1:7" s="2775" customFormat="1" ht="14.25" customHeight="1">
      <c r="A325" s="2941" t="s">
        <v>306</v>
      </c>
      <c r="B325" s="2942" t="s">
        <v>3051</v>
      </c>
      <c r="C325" s="2941"/>
      <c r="D325" s="2941"/>
      <c r="E325" s="2941"/>
      <c r="F325" s="2941">
        <v>900</v>
      </c>
      <c r="G325" s="2954"/>
    </row>
    <row r="326" spans="1:7" s="2775" customFormat="1" ht="14.25" customHeight="1" thickBot="1">
      <c r="A326" s="2955" t="s">
        <v>306</v>
      </c>
      <c r="B326" s="2948" t="s">
        <v>3053</v>
      </c>
      <c r="C326" s="2948"/>
      <c r="D326" s="2948"/>
      <c r="E326" s="2948"/>
      <c r="F326" s="2948">
        <v>790</v>
      </c>
      <c r="G326" s="2956"/>
    </row>
    <row r="327" spans="1:7" s="2775" customFormat="1" ht="14.25" customHeight="1">
      <c r="A327" s="2946" t="s">
        <v>307</v>
      </c>
      <c r="B327" s="2937" t="s">
        <v>3152</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3153</v>
      </c>
      <c r="C329" s="2941">
        <v>2730</v>
      </c>
      <c r="D329" s="2941">
        <v>2690</v>
      </c>
      <c r="E329" s="2941">
        <v>3100</v>
      </c>
      <c r="F329" s="2941">
        <v>660</v>
      </c>
      <c r="G329" s="2941">
        <v>1610</v>
      </c>
    </row>
    <row r="330" spans="1:7" s="2775" customFormat="1" ht="14.25" customHeight="1">
      <c r="A330" s="2941" t="s">
        <v>307</v>
      </c>
      <c r="B330" s="2941" t="s">
        <v>3154</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2887</v>
      </c>
      <c r="C332" s="2941">
        <v>3520</v>
      </c>
      <c r="D332" s="2941">
        <v>3480</v>
      </c>
      <c r="E332" s="2941">
        <v>3830</v>
      </c>
      <c r="F332" s="2941">
        <v>720</v>
      </c>
      <c r="G332" s="2941">
        <v>2090</v>
      </c>
    </row>
    <row r="333" spans="1:7" s="2775" customFormat="1" ht="14.25" customHeight="1">
      <c r="A333" s="2941" t="s">
        <v>307</v>
      </c>
      <c r="B333" s="2941" t="s">
        <v>3155</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2897</v>
      </c>
      <c r="C336" s="2941">
        <v>3570</v>
      </c>
      <c r="D336" s="2941">
        <v>3530</v>
      </c>
      <c r="E336" s="2941">
        <v>3880</v>
      </c>
      <c r="F336" s="2941">
        <v>770</v>
      </c>
      <c r="G336" s="2941">
        <v>2110</v>
      </c>
    </row>
    <row r="337" spans="1:10" s="2775" customFormat="1" ht="14.25" customHeight="1">
      <c r="A337" s="2941" t="s">
        <v>307</v>
      </c>
      <c r="B337" s="2941" t="s">
        <v>3156</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3157</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3158</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2922</v>
      </c>
      <c r="C345" s="2941">
        <v>3190</v>
      </c>
      <c r="D345" s="2941">
        <v>3140</v>
      </c>
      <c r="E345" s="2941">
        <v>3450</v>
      </c>
      <c r="F345" s="2941">
        <v>720</v>
      </c>
      <c r="G345" s="2941">
        <v>1880</v>
      </c>
      <c r="J345" s="2775"/>
    </row>
    <row r="346" spans="1:10">
      <c r="A346" s="2941" t="s">
        <v>307</v>
      </c>
      <c r="B346" s="2941" t="s">
        <v>3159</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2931</v>
      </c>
      <c r="C348" s="2941">
        <v>4000</v>
      </c>
      <c r="D348" s="2941">
        <v>3950</v>
      </c>
      <c r="E348" s="2941">
        <v>4430</v>
      </c>
      <c r="F348" s="2941">
        <v>760</v>
      </c>
      <c r="G348" s="2941">
        <v>2360</v>
      </c>
      <c r="J348" s="2775"/>
    </row>
    <row r="349" spans="1:10">
      <c r="A349" s="2941" t="s">
        <v>307</v>
      </c>
      <c r="B349" s="2941" t="s">
        <v>2936</v>
      </c>
      <c r="C349" s="2941">
        <v>3820</v>
      </c>
      <c r="D349" s="2941">
        <v>3780</v>
      </c>
      <c r="E349" s="2941">
        <v>4170</v>
      </c>
      <c r="F349" s="2941">
        <v>710</v>
      </c>
      <c r="G349" s="2941">
        <v>2260</v>
      </c>
      <c r="J349" s="2775"/>
    </row>
    <row r="350" spans="1:10">
      <c r="A350" s="2941" t="s">
        <v>307</v>
      </c>
      <c r="B350" s="2941" t="s">
        <v>3160</v>
      </c>
      <c r="C350" s="2941">
        <v>3760</v>
      </c>
      <c r="D350" s="2941">
        <v>3730</v>
      </c>
      <c r="E350" s="2941">
        <v>4100</v>
      </c>
      <c r="F350" s="2941">
        <v>800</v>
      </c>
      <c r="G350" s="2941">
        <v>2230</v>
      </c>
      <c r="J350" s="2775"/>
    </row>
    <row r="351" spans="1:10">
      <c r="A351" s="2941" t="s">
        <v>307</v>
      </c>
      <c r="B351" s="2941" t="s">
        <v>2944</v>
      </c>
      <c r="C351" s="2941">
        <v>3610</v>
      </c>
      <c r="D351" s="2941">
        <v>3580</v>
      </c>
      <c r="E351" s="2941">
        <v>3930</v>
      </c>
      <c r="F351" s="2941">
        <v>700</v>
      </c>
      <c r="G351" s="2941">
        <v>2140</v>
      </c>
      <c r="J351" s="2775"/>
    </row>
    <row r="352" spans="1:10">
      <c r="A352" s="2941" t="s">
        <v>307</v>
      </c>
      <c r="B352" s="2941" t="s">
        <v>2949</v>
      </c>
      <c r="C352" s="2941">
        <v>3670</v>
      </c>
      <c r="D352" s="2941">
        <v>3630</v>
      </c>
      <c r="E352" s="2941">
        <v>4000</v>
      </c>
      <c r="F352" s="2941">
        <v>750</v>
      </c>
      <c r="G352" s="2941">
        <v>2180</v>
      </c>
    </row>
    <row r="353" spans="1:7" s="2776" customFormat="1">
      <c r="A353" s="2941" t="s">
        <v>307</v>
      </c>
      <c r="B353" s="2941" t="s">
        <v>3161</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2969</v>
      </c>
      <c r="C355" s="2941">
        <v>3650</v>
      </c>
      <c r="D355" s="2941">
        <v>3610</v>
      </c>
      <c r="E355" s="2941">
        <v>4200</v>
      </c>
      <c r="F355" s="2941">
        <v>640</v>
      </c>
      <c r="G355" s="2941">
        <v>2160</v>
      </c>
    </row>
    <row r="356" spans="1:7" s="2776" customFormat="1">
      <c r="A356" s="2941" t="s">
        <v>307</v>
      </c>
      <c r="B356" s="2941" t="s">
        <v>2976</v>
      </c>
      <c r="C356" s="2941">
        <v>3260</v>
      </c>
      <c r="D356" s="2941">
        <v>3230</v>
      </c>
      <c r="E356" s="2941">
        <v>3740</v>
      </c>
      <c r="F356" s="2941">
        <v>600</v>
      </c>
      <c r="G356" s="2941">
        <v>1930</v>
      </c>
    </row>
    <row r="357" spans="1:7" s="2776" customFormat="1" ht="12" thickBot="1">
      <c r="A357" s="2949" t="s">
        <v>307</v>
      </c>
      <c r="B357" s="2952" t="s">
        <v>3162</v>
      </c>
      <c r="C357" s="2952">
        <v>3690</v>
      </c>
      <c r="D357" s="2952">
        <v>3650</v>
      </c>
      <c r="E357" s="2952">
        <v>4020</v>
      </c>
      <c r="F357" s="2952">
        <v>700</v>
      </c>
      <c r="G357" s="2952">
        <v>2190</v>
      </c>
    </row>
    <row r="358" spans="1:7" s="2776" customFormat="1">
      <c r="A358" s="2946" t="s">
        <v>3163</v>
      </c>
      <c r="B358" s="2937" t="s">
        <v>3164</v>
      </c>
      <c r="C358" s="2937">
        <v>2080</v>
      </c>
      <c r="D358" s="2937">
        <v>2040</v>
      </c>
      <c r="E358" s="2937">
        <v>2010</v>
      </c>
      <c r="F358" s="2937">
        <v>530</v>
      </c>
      <c r="G358" s="2953">
        <v>1230</v>
      </c>
    </row>
    <row r="359" spans="1:7" s="2776" customFormat="1">
      <c r="A359" s="2941" t="s">
        <v>3163</v>
      </c>
      <c r="B359" s="2941" t="s">
        <v>3165</v>
      </c>
      <c r="C359" s="2941">
        <v>1850</v>
      </c>
      <c r="D359" s="2941">
        <v>1820</v>
      </c>
      <c r="E359" s="2941">
        <v>1780</v>
      </c>
      <c r="F359" s="2941">
        <v>520</v>
      </c>
      <c r="G359" s="2954">
        <v>1100</v>
      </c>
    </row>
    <row r="360" spans="1:7" s="2776" customFormat="1">
      <c r="A360" s="2941" t="s">
        <v>3163</v>
      </c>
      <c r="B360" s="2941" t="s">
        <v>3166</v>
      </c>
      <c r="C360" s="2941">
        <v>2020</v>
      </c>
      <c r="D360" s="2941">
        <v>1990</v>
      </c>
      <c r="E360" s="2941">
        <v>1950</v>
      </c>
      <c r="F360" s="2941">
        <v>500</v>
      </c>
      <c r="G360" s="2954">
        <v>1200</v>
      </c>
    </row>
    <row r="361" spans="1:7" s="2776" customFormat="1">
      <c r="A361" s="2941" t="s">
        <v>3163</v>
      </c>
      <c r="B361" s="2941" t="s">
        <v>153</v>
      </c>
      <c r="C361" s="2941">
        <v>2260</v>
      </c>
      <c r="D361" s="2941">
        <v>2220</v>
      </c>
      <c r="E361" s="2941">
        <v>2180</v>
      </c>
      <c r="F361" s="2941">
        <v>580</v>
      </c>
      <c r="G361" s="2954">
        <v>1340</v>
      </c>
    </row>
    <row r="362" spans="1:7" s="2776" customFormat="1">
      <c r="A362" s="2941" t="s">
        <v>3163</v>
      </c>
      <c r="B362" s="2941" t="s">
        <v>3167</v>
      </c>
      <c r="C362" s="2941">
        <v>2650</v>
      </c>
      <c r="D362" s="2941">
        <v>2610</v>
      </c>
      <c r="E362" s="2941">
        <v>2570</v>
      </c>
      <c r="F362" s="2941">
        <v>630</v>
      </c>
      <c r="G362" s="2954">
        <v>1570</v>
      </c>
    </row>
    <row r="363" spans="1:7" s="2776" customFormat="1">
      <c r="A363" s="2941" t="s">
        <v>3163</v>
      </c>
      <c r="B363" s="2941" t="s">
        <v>2888</v>
      </c>
      <c r="C363" s="2941">
        <v>2390</v>
      </c>
      <c r="D363" s="2941">
        <v>2360</v>
      </c>
      <c r="E363" s="2941">
        <v>2320</v>
      </c>
      <c r="F363" s="2941">
        <v>600</v>
      </c>
      <c r="G363" s="2954">
        <v>1420</v>
      </c>
    </row>
    <row r="364" spans="1:7" s="2776" customFormat="1">
      <c r="A364" s="2941" t="s">
        <v>3163</v>
      </c>
      <c r="B364" s="2941" t="s">
        <v>3168</v>
      </c>
      <c r="C364" s="2941">
        <v>2050</v>
      </c>
      <c r="D364" s="2941">
        <v>2030</v>
      </c>
      <c r="E364" s="2941">
        <v>1990</v>
      </c>
      <c r="F364" s="2941">
        <v>550</v>
      </c>
      <c r="G364" s="2954">
        <v>1220</v>
      </c>
    </row>
    <row r="365" spans="1:7" s="2776" customFormat="1">
      <c r="A365" s="2941" t="s">
        <v>3163</v>
      </c>
      <c r="B365" s="2941" t="s">
        <v>200</v>
      </c>
      <c r="C365" s="2941">
        <v>2140</v>
      </c>
      <c r="D365" s="2941">
        <v>2100</v>
      </c>
      <c r="E365" s="2941">
        <v>2060</v>
      </c>
      <c r="F365" s="2941">
        <v>540</v>
      </c>
      <c r="G365" s="2954">
        <v>1270</v>
      </c>
    </row>
    <row r="366" spans="1:7" s="2776" customFormat="1">
      <c r="A366" s="2941" t="s">
        <v>3163</v>
      </c>
      <c r="B366" s="2941" t="s">
        <v>2895</v>
      </c>
      <c r="C366" s="2941">
        <v>2410</v>
      </c>
      <c r="D366" s="2941">
        <v>2370</v>
      </c>
      <c r="E366" s="2941">
        <v>2330</v>
      </c>
      <c r="F366" s="2941">
        <v>570</v>
      </c>
      <c r="G366" s="2954">
        <v>1440</v>
      </c>
    </row>
    <row r="367" spans="1:7" s="2776" customFormat="1">
      <c r="A367" s="2941" t="s">
        <v>3163</v>
      </c>
      <c r="B367" s="2941" t="s">
        <v>3169</v>
      </c>
      <c r="C367" s="2941">
        <v>2300</v>
      </c>
      <c r="D367" s="2941">
        <v>2260</v>
      </c>
      <c r="E367" s="2941">
        <v>2220</v>
      </c>
      <c r="F367" s="2941">
        <v>560</v>
      </c>
      <c r="G367" s="2954">
        <v>1370</v>
      </c>
    </row>
    <row r="368" spans="1:7" s="2776" customFormat="1">
      <c r="A368" s="2941" t="s">
        <v>3163</v>
      </c>
      <c r="B368" s="2941" t="s">
        <v>3170</v>
      </c>
      <c r="C368" s="2941">
        <v>2430</v>
      </c>
      <c r="D368" s="2941">
        <v>2390</v>
      </c>
      <c r="E368" s="2941">
        <v>2350</v>
      </c>
      <c r="F368" s="2941">
        <v>570</v>
      </c>
      <c r="G368" s="2954">
        <v>1450</v>
      </c>
    </row>
    <row r="369" spans="1:7" s="2776" customFormat="1">
      <c r="A369" s="2941" t="s">
        <v>3163</v>
      </c>
      <c r="B369" s="2941" t="s">
        <v>214</v>
      </c>
      <c r="C369" s="2941">
        <v>2320</v>
      </c>
      <c r="D369" s="2941">
        <v>2290</v>
      </c>
      <c r="E369" s="2941">
        <v>2250</v>
      </c>
      <c r="F369" s="2941">
        <v>550</v>
      </c>
      <c r="G369" s="2954">
        <v>1380</v>
      </c>
    </row>
    <row r="370" spans="1:7" s="2776" customFormat="1">
      <c r="A370" s="2941" t="s">
        <v>3163</v>
      </c>
      <c r="B370" s="2941" t="s">
        <v>221</v>
      </c>
      <c r="C370" s="2941">
        <v>2190</v>
      </c>
      <c r="D370" s="2941">
        <v>2170</v>
      </c>
      <c r="E370" s="2941">
        <v>2130</v>
      </c>
      <c r="F370" s="2941">
        <v>530</v>
      </c>
      <c r="G370" s="2954">
        <v>1310</v>
      </c>
    </row>
    <row r="371" spans="1:7" s="2776" customFormat="1">
      <c r="A371" s="2941" t="s">
        <v>3163</v>
      </c>
      <c r="B371" s="2941" t="s">
        <v>229</v>
      </c>
      <c r="C371" s="2941">
        <v>2460</v>
      </c>
      <c r="D371" s="2941">
        <v>2420</v>
      </c>
      <c r="E371" s="2941">
        <v>2370</v>
      </c>
      <c r="F371" s="2941">
        <v>560</v>
      </c>
      <c r="G371" s="2954">
        <v>1470</v>
      </c>
    </row>
    <row r="372" spans="1:7" s="2776" customFormat="1">
      <c r="A372" s="2941" t="s">
        <v>3163</v>
      </c>
      <c r="B372" s="2941" t="s">
        <v>3171</v>
      </c>
      <c r="C372" s="2941">
        <v>2250</v>
      </c>
      <c r="D372" s="2941">
        <v>2210</v>
      </c>
      <c r="E372" s="2941">
        <v>2180</v>
      </c>
      <c r="F372" s="2941">
        <v>550</v>
      </c>
      <c r="G372" s="2954">
        <v>1340</v>
      </c>
    </row>
    <row r="373" spans="1:7" s="2776" customFormat="1">
      <c r="A373" s="2941" t="s">
        <v>3163</v>
      </c>
      <c r="B373" s="2941" t="s">
        <v>258</v>
      </c>
      <c r="C373" s="2941">
        <v>2210</v>
      </c>
      <c r="D373" s="2941">
        <v>2190</v>
      </c>
      <c r="E373" s="2941">
        <v>2150</v>
      </c>
      <c r="F373" s="2941">
        <v>530</v>
      </c>
      <c r="G373" s="2954">
        <v>1320</v>
      </c>
    </row>
    <row r="374" spans="1:7" s="2776" customFormat="1">
      <c r="A374" s="2941" t="s">
        <v>3163</v>
      </c>
      <c r="B374" s="2941" t="s">
        <v>266</v>
      </c>
      <c r="C374" s="2941">
        <v>2320</v>
      </c>
      <c r="D374" s="2941">
        <v>2280</v>
      </c>
      <c r="E374" s="2941">
        <v>2230</v>
      </c>
      <c r="F374" s="2941">
        <v>580</v>
      </c>
      <c r="G374" s="2954">
        <v>1380</v>
      </c>
    </row>
    <row r="375" spans="1:7" s="2776" customFormat="1">
      <c r="A375" s="2941" t="s">
        <v>3163</v>
      </c>
      <c r="B375" s="2941" t="s">
        <v>3172</v>
      </c>
      <c r="C375" s="2941">
        <v>2090</v>
      </c>
      <c r="D375" s="2941">
        <v>2050</v>
      </c>
      <c r="E375" s="2941">
        <v>2020</v>
      </c>
      <c r="F375" s="2941">
        <v>520</v>
      </c>
      <c r="G375" s="2954">
        <v>1240</v>
      </c>
    </row>
    <row r="376" spans="1:7" s="2776" customFormat="1">
      <c r="A376" s="2941" t="s">
        <v>3163</v>
      </c>
      <c r="B376" s="2941" t="s">
        <v>277</v>
      </c>
      <c r="C376" s="2941">
        <v>2010</v>
      </c>
      <c r="D376" s="2941">
        <v>1980</v>
      </c>
      <c r="E376" s="2941">
        <v>1940</v>
      </c>
      <c r="F376" s="2941">
        <v>540</v>
      </c>
      <c r="G376" s="2954">
        <v>1190</v>
      </c>
    </row>
    <row r="377" spans="1:7" s="2776" customFormat="1" ht="12" thickBot="1">
      <c r="A377" s="2949" t="s">
        <v>3163</v>
      </c>
      <c r="B377" s="2952" t="s">
        <v>2925</v>
      </c>
      <c r="C377" s="2952">
        <v>1930</v>
      </c>
      <c r="D377" s="2952">
        <v>1890</v>
      </c>
      <c r="E377" s="2952">
        <v>1860</v>
      </c>
      <c r="F377" s="2952">
        <v>530</v>
      </c>
      <c r="G377" s="2957">
        <v>1150</v>
      </c>
    </row>
    <row r="378" spans="1:7" s="2776" customFormat="1">
      <c r="A378" s="2958" t="s">
        <v>3173</v>
      </c>
      <c r="B378" s="2937" t="s">
        <v>3174</v>
      </c>
      <c r="C378" s="2937">
        <v>1520</v>
      </c>
      <c r="D378" s="2937">
        <v>1490</v>
      </c>
      <c r="E378" s="2937">
        <v>1460</v>
      </c>
      <c r="F378" s="2937">
        <v>460</v>
      </c>
      <c r="G378" s="2953">
        <v>940</v>
      </c>
    </row>
    <row r="379" spans="1:7" s="2776" customFormat="1">
      <c r="A379" s="2959" t="s">
        <v>3173</v>
      </c>
      <c r="B379" s="2941" t="s">
        <v>3175</v>
      </c>
      <c r="C379" s="2941">
        <v>1500</v>
      </c>
      <c r="D379" s="2941">
        <v>1470</v>
      </c>
      <c r="E379" s="2941">
        <v>1430</v>
      </c>
      <c r="F379" s="2941">
        <v>460</v>
      </c>
      <c r="G379" s="2954">
        <v>920</v>
      </c>
    </row>
    <row r="380" spans="1:7" s="2776" customFormat="1">
      <c r="A380" s="2959" t="s">
        <v>3173</v>
      </c>
      <c r="B380" s="2941" t="s">
        <v>3176</v>
      </c>
      <c r="C380" s="2941">
        <v>1620</v>
      </c>
      <c r="D380" s="2941">
        <v>1590</v>
      </c>
      <c r="E380" s="2941">
        <v>1560</v>
      </c>
      <c r="F380" s="2941">
        <v>480</v>
      </c>
      <c r="G380" s="2954">
        <v>1000</v>
      </c>
    </row>
    <row r="381" spans="1:7" s="2776" customFormat="1">
      <c r="A381" s="2959" t="s">
        <v>3173</v>
      </c>
      <c r="B381" s="2941" t="s">
        <v>3177</v>
      </c>
      <c r="C381" s="2941">
        <v>1460</v>
      </c>
      <c r="D381" s="2941">
        <v>1430</v>
      </c>
      <c r="E381" s="2941">
        <v>1390</v>
      </c>
      <c r="F381" s="2941">
        <v>450</v>
      </c>
      <c r="G381" s="2954">
        <v>900</v>
      </c>
    </row>
    <row r="382" spans="1:7" s="2776" customFormat="1">
      <c r="A382" s="2959" t="s">
        <v>3173</v>
      </c>
      <c r="B382" s="2941" t="s">
        <v>3178</v>
      </c>
      <c r="C382" s="2941">
        <v>1310</v>
      </c>
      <c r="D382" s="2941">
        <v>1280</v>
      </c>
      <c r="E382" s="2941">
        <v>1250</v>
      </c>
      <c r="F382" s="2941">
        <v>440</v>
      </c>
      <c r="G382" s="2954">
        <v>800</v>
      </c>
    </row>
    <row r="383" spans="1:7" s="2776" customFormat="1">
      <c r="A383" s="2959" t="s">
        <v>3173</v>
      </c>
      <c r="B383" s="2941" t="s">
        <v>3179</v>
      </c>
      <c r="C383" s="2941">
        <v>1260</v>
      </c>
      <c r="D383" s="2941">
        <v>1230</v>
      </c>
      <c r="E383" s="2941">
        <v>1200</v>
      </c>
      <c r="F383" s="2941">
        <v>420</v>
      </c>
      <c r="G383" s="2954">
        <v>770</v>
      </c>
    </row>
    <row r="384" spans="1:7" s="2776" customFormat="1" ht="12" thickBot="1">
      <c r="A384" s="2960" t="s">
        <v>3173</v>
      </c>
      <c r="B384" s="2948" t="s">
        <v>3180</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13" t="s">
        <v>3181</v>
      </c>
      <c r="B1" s="3513"/>
    </row>
    <row r="2" spans="1:7" ht="14.25" thickBot="1">
      <c r="A2" s="2962"/>
      <c r="B2" s="2962"/>
    </row>
    <row r="3" spans="1:7" ht="14.25" thickBot="1">
      <c r="A3" s="2962"/>
      <c r="B3" s="2962"/>
      <c r="C3" s="2963" t="s">
        <v>2809</v>
      </c>
      <c r="D3" s="2963" t="s">
        <v>2867</v>
      </c>
      <c r="E3" s="2963" t="s">
        <v>2811</v>
      </c>
      <c r="F3" s="2963" t="s">
        <v>2868</v>
      </c>
      <c r="G3" s="2963" t="s">
        <v>2629</v>
      </c>
    </row>
    <row r="4" spans="1:7" ht="14.25" thickBot="1">
      <c r="A4" s="2964" t="s">
        <v>2866</v>
      </c>
      <c r="B4" s="2965" t="s">
        <v>2872</v>
      </c>
      <c r="C4" s="2963"/>
      <c r="D4" s="2963"/>
      <c r="E4" s="2963"/>
      <c r="F4" s="2963"/>
      <c r="G4" s="2963"/>
    </row>
    <row r="5" spans="1:7">
      <c r="A5" s="2966" t="s">
        <v>2840</v>
      </c>
      <c r="B5" s="2967" t="s">
        <v>2854</v>
      </c>
      <c r="C5" s="2968">
        <v>9.8000000000000004E-2</v>
      </c>
      <c r="D5" s="2968">
        <v>8.6999999999999994E-2</v>
      </c>
      <c r="E5" s="2968">
        <v>8.6999999999999994E-2</v>
      </c>
      <c r="F5" s="2968">
        <v>9.8000000000000004E-2</v>
      </c>
      <c r="G5" s="2969">
        <v>9.5000000000000001E-2</v>
      </c>
    </row>
    <row r="6" spans="1:7">
      <c r="A6" s="2970" t="s">
        <v>144</v>
      </c>
      <c r="B6" s="2971" t="s">
        <v>2869</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2855</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2905</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2923</v>
      </c>
      <c r="C29" s="2980"/>
      <c r="D29" s="2976">
        <v>5.1999999999999998E-2</v>
      </c>
      <c r="E29" s="2976">
        <v>7.0000000000000007E-2</v>
      </c>
      <c r="F29" s="2980"/>
      <c r="G29" s="2978">
        <v>7.0999999999999994E-2</v>
      </c>
    </row>
    <row r="30" spans="1:7">
      <c r="A30" s="2981" t="s">
        <v>296</v>
      </c>
      <c r="B30" s="2967" t="s">
        <v>2856</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2842</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2926</v>
      </c>
      <c r="C50" s="2972">
        <v>9.8000000000000004E-2</v>
      </c>
      <c r="D50" s="2972">
        <v>7.2999999999999995E-2</v>
      </c>
      <c r="E50" s="2972">
        <v>7.0999999999999994E-2</v>
      </c>
      <c r="F50" s="2983"/>
      <c r="G50" s="2973">
        <v>7.2999999999999995E-2</v>
      </c>
    </row>
    <row r="51" spans="1:7">
      <c r="A51" s="2982" t="s">
        <v>296</v>
      </c>
      <c r="B51" s="2971" t="s">
        <v>2928</v>
      </c>
      <c r="C51" s="2972">
        <v>9.9000000000000005E-2</v>
      </c>
      <c r="D51" s="2972">
        <v>8.5000000000000006E-2</v>
      </c>
      <c r="E51" s="2972">
        <v>6.3E-2</v>
      </c>
      <c r="F51" s="2983"/>
      <c r="G51" s="2973">
        <v>9.6000000000000002E-2</v>
      </c>
    </row>
    <row r="52" spans="1:7">
      <c r="A52" s="2982" t="s">
        <v>296</v>
      </c>
      <c r="B52" s="2971" t="s">
        <v>2932</v>
      </c>
      <c r="C52" s="2972">
        <v>7.3999999999999996E-2</v>
      </c>
      <c r="D52" s="2972">
        <v>9.6000000000000002E-2</v>
      </c>
      <c r="E52" s="2972">
        <v>0.05</v>
      </c>
      <c r="F52" s="2983"/>
      <c r="G52" s="2973">
        <v>9.8000000000000004E-2</v>
      </c>
    </row>
    <row r="53" spans="1:7">
      <c r="A53" s="2982" t="s">
        <v>296</v>
      </c>
      <c r="B53" s="2971" t="s">
        <v>2937</v>
      </c>
      <c r="C53" s="2972">
        <v>8.5999999999999993E-2</v>
      </c>
      <c r="D53" s="2983"/>
      <c r="E53" s="2972">
        <v>9.1999999999999998E-2</v>
      </c>
      <c r="F53" s="2983"/>
      <c r="G53" s="2984"/>
    </row>
    <row r="54" spans="1:7" ht="14.25" thickBot="1">
      <c r="A54" s="2985" t="s">
        <v>296</v>
      </c>
      <c r="B54" s="2975" t="s">
        <v>2940</v>
      </c>
      <c r="C54" s="2976">
        <v>9.6000000000000002E-2</v>
      </c>
      <c r="D54" s="2977"/>
      <c r="E54" s="2986"/>
      <c r="F54" s="2977"/>
      <c r="G54" s="2987"/>
    </row>
    <row r="55" spans="1:7">
      <c r="A55" s="2981" t="s">
        <v>110</v>
      </c>
      <c r="B55" s="2967" t="s">
        <v>2857</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2938</v>
      </c>
      <c r="C78" s="2972">
        <v>0.1</v>
      </c>
      <c r="D78" s="2972">
        <v>8.5000000000000006E-2</v>
      </c>
      <c r="E78" s="2972">
        <v>9.6000000000000002E-2</v>
      </c>
      <c r="F78" s="2983"/>
      <c r="G78" s="2973">
        <v>9.6000000000000002E-2</v>
      </c>
    </row>
    <row r="79" spans="1:7">
      <c r="A79" s="2982" t="s">
        <v>110</v>
      </c>
      <c r="B79" s="2971" t="s">
        <v>2941</v>
      </c>
      <c r="C79" s="2972">
        <v>0.05</v>
      </c>
      <c r="D79" s="2972">
        <v>9.6000000000000002E-2</v>
      </c>
      <c r="E79" s="2972">
        <v>9.5000000000000001E-2</v>
      </c>
      <c r="F79" s="2983"/>
      <c r="G79" s="2973">
        <v>9.8000000000000004E-2</v>
      </c>
    </row>
    <row r="80" spans="1:7">
      <c r="A80" s="2982" t="s">
        <v>110</v>
      </c>
      <c r="B80" s="2971" t="s">
        <v>2945</v>
      </c>
      <c r="C80" s="2972">
        <v>8.5999999999999993E-2</v>
      </c>
      <c r="D80" s="2988"/>
      <c r="E80" s="2972">
        <v>0.1</v>
      </c>
      <c r="F80" s="2983"/>
      <c r="G80" s="2984"/>
    </row>
    <row r="81" spans="1:7">
      <c r="A81" s="2982" t="s">
        <v>110</v>
      </c>
      <c r="B81" s="2971" t="s">
        <v>2950</v>
      </c>
      <c r="C81" s="2972">
        <v>9.6000000000000002E-2</v>
      </c>
      <c r="D81" s="2983"/>
      <c r="E81" s="2972">
        <v>9.8000000000000004E-2</v>
      </c>
      <c r="F81" s="2983"/>
      <c r="G81" s="2984"/>
    </row>
    <row r="82" spans="1:7">
      <c r="A82" s="2982" t="s">
        <v>110</v>
      </c>
      <c r="B82" s="2971" t="s">
        <v>2957</v>
      </c>
      <c r="C82" s="2988"/>
      <c r="D82" s="2983"/>
      <c r="E82" s="2972">
        <v>7.6999999999999999E-2</v>
      </c>
      <c r="F82" s="2983"/>
      <c r="G82" s="2984"/>
    </row>
    <row r="83" spans="1:7">
      <c r="A83" s="2982" t="s">
        <v>110</v>
      </c>
      <c r="B83" s="2971" t="s">
        <v>2963</v>
      </c>
      <c r="C83" s="2983"/>
      <c r="D83" s="2983"/>
      <c r="E83" s="2983"/>
      <c r="F83" s="2972">
        <v>0.1</v>
      </c>
      <c r="G83" s="2989"/>
    </row>
    <row r="84" spans="1:7">
      <c r="A84" s="2982" t="s">
        <v>110</v>
      </c>
      <c r="B84" s="2971" t="s">
        <v>2970</v>
      </c>
      <c r="C84" s="2983"/>
      <c r="D84" s="2983"/>
      <c r="E84" s="2983"/>
      <c r="F84" s="2972">
        <v>0.1</v>
      </c>
      <c r="G84" s="2989"/>
    </row>
    <row r="85" spans="1:7">
      <c r="A85" s="2982" t="s">
        <v>110</v>
      </c>
      <c r="B85" s="2971" t="s">
        <v>2977</v>
      </c>
      <c r="C85" s="2983"/>
      <c r="D85" s="2983"/>
      <c r="E85" s="2983"/>
      <c r="F85" s="2972">
        <v>0.1</v>
      </c>
      <c r="G85" s="2989"/>
    </row>
    <row r="86" spans="1:7" ht="14.25" thickBot="1">
      <c r="A86" s="2985" t="s">
        <v>110</v>
      </c>
      <c r="B86" s="2975" t="s">
        <v>2982</v>
      </c>
      <c r="C86" s="2976">
        <v>9.8000000000000004E-2</v>
      </c>
      <c r="D86" s="2976">
        <v>9.8000000000000004E-2</v>
      </c>
      <c r="E86" s="2976">
        <v>9.6000000000000002E-2</v>
      </c>
      <c r="F86" s="2986"/>
      <c r="G86" s="2978">
        <v>0.1</v>
      </c>
    </row>
    <row r="87" spans="1:7">
      <c r="A87" s="2981" t="s">
        <v>303</v>
      </c>
      <c r="B87" s="2967" t="s">
        <v>2858</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2951</v>
      </c>
      <c r="C113" s="2972">
        <v>0.1</v>
      </c>
      <c r="D113" s="2972">
        <v>0.1</v>
      </c>
      <c r="E113" s="2983"/>
      <c r="F113" s="2983"/>
      <c r="G113" s="2973">
        <v>0.1</v>
      </c>
    </row>
    <row r="114" spans="1:7">
      <c r="A114" s="2982" t="s">
        <v>303</v>
      </c>
      <c r="B114" s="2971" t="s">
        <v>2958</v>
      </c>
      <c r="C114" s="2972">
        <v>9.7000000000000003E-2</v>
      </c>
      <c r="D114" s="2972">
        <v>9.7000000000000003E-2</v>
      </c>
      <c r="E114" s="2983"/>
      <c r="F114" s="2983"/>
      <c r="G114" s="2973">
        <v>9.9000000000000005E-2</v>
      </c>
    </row>
    <row r="115" spans="1:7">
      <c r="A115" s="2982" t="s">
        <v>303</v>
      </c>
      <c r="B115" s="2971" t="s">
        <v>2964</v>
      </c>
      <c r="C115" s="2972">
        <v>0.1</v>
      </c>
      <c r="D115" s="2972">
        <v>0.1</v>
      </c>
      <c r="E115" s="2983"/>
      <c r="F115" s="2983"/>
      <c r="G115" s="2973">
        <v>0.1</v>
      </c>
    </row>
    <row r="116" spans="1:7">
      <c r="A116" s="2982" t="s">
        <v>303</v>
      </c>
      <c r="B116" s="2971" t="s">
        <v>2971</v>
      </c>
      <c r="C116" s="2972">
        <v>0.1</v>
      </c>
      <c r="D116" s="2972">
        <v>0.1</v>
      </c>
      <c r="E116" s="2983"/>
      <c r="F116" s="2983"/>
      <c r="G116" s="2973">
        <v>0.1</v>
      </c>
    </row>
    <row r="117" spans="1:7">
      <c r="A117" s="2982" t="s">
        <v>303</v>
      </c>
      <c r="B117" s="2971" t="s">
        <v>2978</v>
      </c>
      <c r="C117" s="2972">
        <v>9.7000000000000003E-2</v>
      </c>
      <c r="D117" s="2972">
        <v>9.7000000000000003E-2</v>
      </c>
      <c r="E117" s="2983"/>
      <c r="F117" s="2983"/>
      <c r="G117" s="2973">
        <v>9.7000000000000003E-2</v>
      </c>
    </row>
    <row r="118" spans="1:7">
      <c r="A118" s="2982" t="s">
        <v>303</v>
      </c>
      <c r="B118" s="2971" t="s">
        <v>2983</v>
      </c>
      <c r="C118" s="2972">
        <v>0.1</v>
      </c>
      <c r="D118" s="2972">
        <v>0.1</v>
      </c>
      <c r="E118" s="2983"/>
      <c r="F118" s="2983"/>
      <c r="G118" s="2973">
        <v>0.1</v>
      </c>
    </row>
    <row r="119" spans="1:7">
      <c r="A119" s="2982" t="s">
        <v>303</v>
      </c>
      <c r="B119" s="2971" t="s">
        <v>2987</v>
      </c>
      <c r="C119" s="2972">
        <v>5.0999999999999997E-2</v>
      </c>
      <c r="D119" s="2972">
        <v>5.1999999999999998E-2</v>
      </c>
      <c r="E119" s="2983"/>
      <c r="F119" s="2988"/>
      <c r="G119" s="2973">
        <v>0.06</v>
      </c>
    </row>
    <row r="120" spans="1:7">
      <c r="A120" s="2982" t="s">
        <v>303</v>
      </c>
      <c r="B120" s="2971" t="s">
        <v>2991</v>
      </c>
      <c r="C120" s="2983"/>
      <c r="D120" s="2983"/>
      <c r="E120" s="2983"/>
      <c r="F120" s="2972">
        <v>0.1</v>
      </c>
      <c r="G120" s="2989"/>
    </row>
    <row r="121" spans="1:7">
      <c r="A121" s="2982" t="s">
        <v>303</v>
      </c>
      <c r="B121" s="2971" t="s">
        <v>2996</v>
      </c>
      <c r="C121" s="2983"/>
      <c r="D121" s="2983"/>
      <c r="E121" s="2983"/>
      <c r="F121" s="2972">
        <v>0.1</v>
      </c>
      <c r="G121" s="2989"/>
    </row>
    <row r="122" spans="1:7">
      <c r="A122" s="2982" t="s">
        <v>303</v>
      </c>
      <c r="B122" s="2971" t="s">
        <v>3001</v>
      </c>
      <c r="C122" s="2972">
        <v>0.1</v>
      </c>
      <c r="D122" s="2972">
        <v>0.1</v>
      </c>
      <c r="E122" s="2972">
        <v>9.8000000000000004E-2</v>
      </c>
      <c r="F122" s="2972">
        <v>0.1</v>
      </c>
      <c r="G122" s="2973">
        <v>0.1</v>
      </c>
    </row>
    <row r="123" spans="1:7">
      <c r="A123" s="2982" t="s">
        <v>303</v>
      </c>
      <c r="B123" s="2971" t="s">
        <v>3006</v>
      </c>
      <c r="C123" s="2972">
        <v>0.1</v>
      </c>
      <c r="D123" s="2972">
        <v>0.1</v>
      </c>
      <c r="E123" s="2972">
        <v>9.8000000000000004E-2</v>
      </c>
      <c r="F123" s="2972">
        <v>0.1</v>
      </c>
      <c r="G123" s="2973">
        <v>0.1</v>
      </c>
    </row>
    <row r="124" spans="1:7">
      <c r="A124" s="2982" t="s">
        <v>303</v>
      </c>
      <c r="B124" s="2971" t="s">
        <v>3011</v>
      </c>
      <c r="C124" s="2972">
        <v>0.1</v>
      </c>
      <c r="D124" s="2972">
        <v>0.1</v>
      </c>
      <c r="E124" s="2972">
        <v>9.8000000000000004E-2</v>
      </c>
      <c r="F124" s="2988"/>
      <c r="G124" s="2973">
        <v>0.1</v>
      </c>
    </row>
    <row r="125" spans="1:7">
      <c r="A125" s="2982" t="s">
        <v>303</v>
      </c>
      <c r="B125" s="2971" t="s">
        <v>3016</v>
      </c>
      <c r="C125" s="2972">
        <v>9.8000000000000004E-2</v>
      </c>
      <c r="D125" s="2972">
        <v>9.8000000000000004E-2</v>
      </c>
      <c r="E125" s="2972">
        <v>9.6000000000000002E-2</v>
      </c>
      <c r="F125" s="2988"/>
      <c r="G125" s="2973">
        <v>0.1</v>
      </c>
    </row>
    <row r="126" spans="1:7" ht="14.25" thickBot="1">
      <c r="A126" s="2985" t="s">
        <v>303</v>
      </c>
      <c r="B126" s="2975" t="s">
        <v>3182</v>
      </c>
      <c r="C126" s="2976">
        <v>0.1</v>
      </c>
      <c r="D126" s="2976">
        <v>0.1</v>
      </c>
      <c r="E126" s="2976">
        <v>9.8000000000000004E-2</v>
      </c>
      <c r="F126" s="2976">
        <v>0.1</v>
      </c>
      <c r="G126" s="2978">
        <v>0.1</v>
      </c>
    </row>
    <row r="127" spans="1:7">
      <c r="A127" s="2981" t="s">
        <v>29</v>
      </c>
      <c r="B127" s="2967" t="s">
        <v>2859</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2929</v>
      </c>
      <c r="C148" s="2972">
        <v>0.13</v>
      </c>
      <c r="D148" s="2972">
        <v>0.13</v>
      </c>
      <c r="E148" s="2972">
        <v>0.13</v>
      </c>
      <c r="F148" s="2983"/>
      <c r="G148" s="2973">
        <v>0.13</v>
      </c>
    </row>
    <row r="149" spans="1:7">
      <c r="A149" s="2982" t="s">
        <v>29</v>
      </c>
      <c r="B149" s="2971" t="s">
        <v>2933</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2952</v>
      </c>
      <c r="C153" s="2972">
        <v>0.13</v>
      </c>
      <c r="D153" s="2972">
        <v>0.13</v>
      </c>
      <c r="E153" s="2972">
        <v>0.13</v>
      </c>
      <c r="F153" s="2972">
        <v>0.13</v>
      </c>
      <c r="G153" s="2973">
        <v>0.13</v>
      </c>
    </row>
    <row r="154" spans="1:7">
      <c r="A154" s="2982" t="s">
        <v>29</v>
      </c>
      <c r="B154" s="2971" t="s">
        <v>2959</v>
      </c>
      <c r="C154" s="2972">
        <v>0.121</v>
      </c>
      <c r="D154" s="2972">
        <v>0.121</v>
      </c>
      <c r="E154" s="2972">
        <v>0.105</v>
      </c>
      <c r="F154" s="2972">
        <v>0.121</v>
      </c>
      <c r="G154" s="2973">
        <v>0.123</v>
      </c>
    </row>
    <row r="155" spans="1:7">
      <c r="A155" s="2982" t="s">
        <v>29</v>
      </c>
      <c r="B155" s="2971" t="s">
        <v>2965</v>
      </c>
      <c r="C155" s="2972">
        <v>0.1</v>
      </c>
      <c r="D155" s="2972">
        <v>0.1</v>
      </c>
      <c r="E155" s="2972">
        <v>0.1</v>
      </c>
      <c r="F155" s="2972">
        <v>0.1</v>
      </c>
      <c r="G155" s="2973">
        <v>0.1</v>
      </c>
    </row>
    <row r="156" spans="1:7">
      <c r="A156" s="2982" t="s">
        <v>29</v>
      </c>
      <c r="B156" s="2971" t="s">
        <v>2972</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2992</v>
      </c>
      <c r="C160" s="2972">
        <v>0.13</v>
      </c>
      <c r="D160" s="2972">
        <v>0.13</v>
      </c>
      <c r="E160" s="2972">
        <v>0.124</v>
      </c>
      <c r="F160" s="2972">
        <v>0.126</v>
      </c>
      <c r="G160" s="2973">
        <v>0.13</v>
      </c>
    </row>
    <row r="161" spans="1:7">
      <c r="A161" s="2982" t="s">
        <v>29</v>
      </c>
      <c r="B161" s="2971" t="s">
        <v>2997</v>
      </c>
      <c r="C161" s="2972">
        <v>0.13</v>
      </c>
      <c r="D161" s="2972">
        <v>0.13</v>
      </c>
      <c r="E161" s="2972">
        <v>0.124</v>
      </c>
      <c r="F161" s="2972">
        <v>0.127</v>
      </c>
      <c r="G161" s="2973">
        <v>0.13</v>
      </c>
    </row>
    <row r="162" spans="1:7">
      <c r="A162" s="2982" t="s">
        <v>29</v>
      </c>
      <c r="B162" s="2971" t="s">
        <v>3002</v>
      </c>
      <c r="C162" s="2972">
        <v>0.1</v>
      </c>
      <c r="D162" s="2972">
        <v>0.1</v>
      </c>
      <c r="E162" s="2972">
        <v>0.1</v>
      </c>
      <c r="F162" s="2972">
        <v>0.121</v>
      </c>
      <c r="G162" s="2973">
        <v>0.105</v>
      </c>
    </row>
    <row r="163" spans="1:7">
      <c r="A163" s="2982" t="s">
        <v>29</v>
      </c>
      <c r="B163" s="2971" t="s">
        <v>3007</v>
      </c>
      <c r="C163" s="2972">
        <v>0.1</v>
      </c>
      <c r="D163" s="2972">
        <v>0.1</v>
      </c>
      <c r="E163" s="2972">
        <v>0.1</v>
      </c>
      <c r="F163" s="2972">
        <v>0.1</v>
      </c>
      <c r="G163" s="2973">
        <v>0.1</v>
      </c>
    </row>
    <row r="164" spans="1:7">
      <c r="A164" s="2982" t="s">
        <v>29</v>
      </c>
      <c r="B164" s="2971" t="s">
        <v>3012</v>
      </c>
      <c r="C164" s="2988"/>
      <c r="D164" s="2988"/>
      <c r="E164" s="2988"/>
      <c r="F164" s="2972">
        <v>0.1</v>
      </c>
      <c r="G164" s="2984"/>
    </row>
    <row r="165" spans="1:7">
      <c r="A165" s="2982" t="s">
        <v>29</v>
      </c>
      <c r="B165" s="2971" t="s">
        <v>3183</v>
      </c>
      <c r="C165" s="2972">
        <v>0.126</v>
      </c>
      <c r="D165" s="2972">
        <v>0.126</v>
      </c>
      <c r="E165" s="2972">
        <v>0.11899999999999999</v>
      </c>
      <c r="F165" s="2972">
        <v>0.13</v>
      </c>
      <c r="G165" s="2973">
        <v>0.128</v>
      </c>
    </row>
    <row r="166" spans="1:7">
      <c r="A166" s="2982" t="s">
        <v>29</v>
      </c>
      <c r="B166" s="2971" t="s">
        <v>3022</v>
      </c>
      <c r="C166" s="2972">
        <v>0.129</v>
      </c>
      <c r="D166" s="2972">
        <v>0.129</v>
      </c>
      <c r="E166" s="2972">
        <v>0.123</v>
      </c>
      <c r="F166" s="2972">
        <v>0.128</v>
      </c>
      <c r="G166" s="2973">
        <v>0.13</v>
      </c>
    </row>
    <row r="167" spans="1:7">
      <c r="A167" s="2982" t="s">
        <v>29</v>
      </c>
      <c r="B167" s="2971" t="s">
        <v>3026</v>
      </c>
      <c r="C167" s="2972">
        <v>0.125</v>
      </c>
      <c r="D167" s="2972">
        <v>0.125</v>
      </c>
      <c r="E167" s="2972">
        <v>0.11700000000000001</v>
      </c>
      <c r="F167" s="2972">
        <v>0.13</v>
      </c>
      <c r="G167" s="2973">
        <v>0.126</v>
      </c>
    </row>
    <row r="168" spans="1:7">
      <c r="A168" s="2982" t="s">
        <v>29</v>
      </c>
      <c r="B168" s="2971" t="s">
        <v>3031</v>
      </c>
      <c r="C168" s="2972">
        <v>0.128</v>
      </c>
      <c r="D168" s="2972">
        <v>0.128</v>
      </c>
      <c r="E168" s="2972">
        <v>0.123</v>
      </c>
      <c r="F168" s="2983"/>
      <c r="G168" s="2973">
        <v>0.13</v>
      </c>
    </row>
    <row r="169" spans="1:7">
      <c r="A169" s="2982" t="s">
        <v>29</v>
      </c>
      <c r="B169" s="2971" t="s">
        <v>3184</v>
      </c>
      <c r="C169" s="2988"/>
      <c r="D169" s="2988"/>
      <c r="E169" s="2988"/>
      <c r="F169" s="2972">
        <v>0.05</v>
      </c>
      <c r="G169" s="2984"/>
    </row>
    <row r="170" spans="1:7">
      <c r="A170" s="2982" t="s">
        <v>29</v>
      </c>
      <c r="B170" s="2971" t="s">
        <v>3185</v>
      </c>
      <c r="C170" s="2988"/>
      <c r="D170" s="2988"/>
      <c r="E170" s="2988"/>
      <c r="F170" s="2972">
        <v>0.05</v>
      </c>
      <c r="G170" s="2984"/>
    </row>
    <row r="171" spans="1:7">
      <c r="A171" s="2982" t="s">
        <v>29</v>
      </c>
      <c r="B171" s="2971" t="s">
        <v>3186</v>
      </c>
      <c r="C171" s="2988"/>
      <c r="D171" s="2988"/>
      <c r="E171" s="2988"/>
      <c r="F171" s="2972">
        <v>0.05</v>
      </c>
      <c r="G171" s="2989"/>
    </row>
    <row r="172" spans="1:7">
      <c r="A172" s="2982" t="s">
        <v>29</v>
      </c>
      <c r="B172" s="2971" t="s">
        <v>3187</v>
      </c>
      <c r="C172" s="2988"/>
      <c r="D172" s="2988"/>
      <c r="E172" s="2988"/>
      <c r="F172" s="2972">
        <v>0.05</v>
      </c>
      <c r="G172" s="2989"/>
    </row>
    <row r="173" spans="1:7">
      <c r="A173" s="2982" t="s">
        <v>29</v>
      </c>
      <c r="B173" s="2971" t="s">
        <v>3188</v>
      </c>
      <c r="C173" s="2988"/>
      <c r="D173" s="2988"/>
      <c r="E173" s="2988"/>
      <c r="F173" s="2972">
        <v>0.05</v>
      </c>
      <c r="G173" s="2984"/>
    </row>
    <row r="174" spans="1:7">
      <c r="A174" s="2982" t="s">
        <v>29</v>
      </c>
      <c r="B174" s="2971" t="s">
        <v>3189</v>
      </c>
      <c r="C174" s="2988"/>
      <c r="D174" s="2988"/>
      <c r="E174" s="2988"/>
      <c r="F174" s="2972">
        <v>0.05</v>
      </c>
      <c r="G174" s="2984"/>
    </row>
    <row r="175" spans="1:7">
      <c r="A175" s="2982" t="s">
        <v>29</v>
      </c>
      <c r="B175" s="2971" t="s">
        <v>3190</v>
      </c>
      <c r="C175" s="2988"/>
      <c r="D175" s="2988"/>
      <c r="E175" s="2988"/>
      <c r="F175" s="2972">
        <v>0.05</v>
      </c>
      <c r="G175" s="2984"/>
    </row>
    <row r="176" spans="1:7">
      <c r="A176" s="2982" t="s">
        <v>29</v>
      </c>
      <c r="B176" s="2971" t="s">
        <v>3191</v>
      </c>
      <c r="C176" s="2988"/>
      <c r="D176" s="2988"/>
      <c r="E176" s="2988"/>
      <c r="F176" s="2972">
        <v>0.05</v>
      </c>
      <c r="G176" s="2984"/>
    </row>
    <row r="177" spans="1:7">
      <c r="A177" s="2982" t="s">
        <v>29</v>
      </c>
      <c r="B177" s="2971" t="s">
        <v>3192</v>
      </c>
      <c r="C177" s="2983"/>
      <c r="D177" s="2983"/>
      <c r="E177" s="2983"/>
      <c r="F177" s="2972">
        <v>0.05</v>
      </c>
      <c r="G177" s="2989"/>
    </row>
    <row r="178" spans="1:7">
      <c r="A178" s="2982" t="s">
        <v>29</v>
      </c>
      <c r="B178" s="2971" t="s">
        <v>3193</v>
      </c>
      <c r="C178" s="2983"/>
      <c r="D178" s="2983"/>
      <c r="E178" s="2983"/>
      <c r="F178" s="2972">
        <v>0.05</v>
      </c>
      <c r="G178" s="2989"/>
    </row>
    <row r="179" spans="1:7">
      <c r="A179" s="2982" t="s">
        <v>29</v>
      </c>
      <c r="B179" s="2971" t="s">
        <v>3194</v>
      </c>
      <c r="C179" s="2983"/>
      <c r="D179" s="2983"/>
      <c r="E179" s="2983"/>
      <c r="F179" s="2972">
        <v>0.05</v>
      </c>
      <c r="G179" s="2989"/>
    </row>
    <row r="180" spans="1:7">
      <c r="A180" s="2982" t="s">
        <v>29</v>
      </c>
      <c r="B180" s="2971" t="s">
        <v>3195</v>
      </c>
      <c r="C180" s="2983"/>
      <c r="D180" s="2983"/>
      <c r="E180" s="2983"/>
      <c r="F180" s="2972">
        <v>0.05</v>
      </c>
      <c r="G180" s="2989"/>
    </row>
    <row r="181" spans="1:7">
      <c r="A181" s="2982" t="s">
        <v>29</v>
      </c>
      <c r="B181" s="2971" t="s">
        <v>3196</v>
      </c>
      <c r="C181" s="2983"/>
      <c r="D181" s="2983"/>
      <c r="E181" s="2983"/>
      <c r="F181" s="2972">
        <v>0.05</v>
      </c>
      <c r="G181" s="2989"/>
    </row>
    <row r="182" spans="1:7">
      <c r="A182" s="2982" t="s">
        <v>29</v>
      </c>
      <c r="B182" s="2971" t="s">
        <v>3197</v>
      </c>
      <c r="C182" s="2983"/>
      <c r="D182" s="2983"/>
      <c r="E182" s="2983"/>
      <c r="F182" s="2972">
        <v>0.05</v>
      </c>
      <c r="G182" s="2989"/>
    </row>
    <row r="183" spans="1:7">
      <c r="A183" s="2982" t="s">
        <v>29</v>
      </c>
      <c r="B183" s="2971" t="s">
        <v>3198</v>
      </c>
      <c r="C183" s="2983"/>
      <c r="D183" s="2983"/>
      <c r="E183" s="2983"/>
      <c r="F183" s="2972">
        <v>0.05</v>
      </c>
      <c r="G183" s="2989"/>
    </row>
    <row r="184" spans="1:7">
      <c r="A184" s="2982" t="s">
        <v>29</v>
      </c>
      <c r="B184" s="2971" t="s">
        <v>3199</v>
      </c>
      <c r="C184" s="2983"/>
      <c r="D184" s="2983"/>
      <c r="E184" s="2983"/>
      <c r="F184" s="2972">
        <v>0.05</v>
      </c>
      <c r="G184" s="2989"/>
    </row>
    <row r="185" spans="1:7">
      <c r="A185" s="2982" t="s">
        <v>29</v>
      </c>
      <c r="B185" s="2971" t="s">
        <v>3200</v>
      </c>
      <c r="C185" s="2983"/>
      <c r="D185" s="2983"/>
      <c r="E185" s="2983"/>
      <c r="F185" s="2972">
        <v>0.05</v>
      </c>
      <c r="G185" s="2989"/>
    </row>
    <row r="186" spans="1:7">
      <c r="A186" s="2982" t="s">
        <v>29</v>
      </c>
      <c r="B186" s="2971" t="s">
        <v>3201</v>
      </c>
      <c r="C186" s="2983"/>
      <c r="D186" s="2983"/>
      <c r="E186" s="2983"/>
      <c r="F186" s="2972">
        <v>0.05</v>
      </c>
      <c r="G186" s="2989"/>
    </row>
    <row r="187" spans="1:7">
      <c r="A187" s="2982" t="s">
        <v>29</v>
      </c>
      <c r="B187" s="2971" t="s">
        <v>3202</v>
      </c>
      <c r="C187" s="2983"/>
      <c r="D187" s="2983"/>
      <c r="E187" s="2983"/>
      <c r="F187" s="2972">
        <v>0.05</v>
      </c>
      <c r="G187" s="2989"/>
    </row>
    <row r="188" spans="1:7">
      <c r="A188" s="2982" t="s">
        <v>29</v>
      </c>
      <c r="B188" s="2971" t="s">
        <v>3203</v>
      </c>
      <c r="C188" s="2983"/>
      <c r="D188" s="2983"/>
      <c r="E188" s="2983"/>
      <c r="F188" s="2972">
        <v>0.05</v>
      </c>
      <c r="G188" s="2989"/>
    </row>
    <row r="189" spans="1:7" ht="14.25" thickBot="1">
      <c r="A189" s="2985" t="s">
        <v>29</v>
      </c>
      <c r="B189" s="2975" t="s">
        <v>3204</v>
      </c>
      <c r="C189" s="2977"/>
      <c r="D189" s="2977"/>
      <c r="E189" s="2977"/>
      <c r="F189" s="2976">
        <v>0.05</v>
      </c>
      <c r="G189" s="2990"/>
    </row>
    <row r="190" spans="1:7">
      <c r="A190" s="2981" t="s">
        <v>304</v>
      </c>
      <c r="B190" s="2967" t="s">
        <v>2860</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2896</v>
      </c>
      <c r="C199" s="2972">
        <v>0.13</v>
      </c>
      <c r="D199" s="2972">
        <v>0.13</v>
      </c>
      <c r="E199" s="2972">
        <v>0.13</v>
      </c>
      <c r="F199" s="2972">
        <v>0.13</v>
      </c>
      <c r="G199" s="2973">
        <v>0.13</v>
      </c>
    </row>
    <row r="200" spans="1:7">
      <c r="A200" s="2982" t="s">
        <v>304</v>
      </c>
      <c r="B200" s="2971" t="s">
        <v>2899</v>
      </c>
      <c r="C200" s="2988"/>
      <c r="D200" s="2988"/>
      <c r="E200" s="2988"/>
      <c r="F200" s="2972">
        <v>0.13</v>
      </c>
      <c r="G200" s="2984"/>
    </row>
    <row r="201" spans="1:7">
      <c r="A201" s="2982" t="s">
        <v>304</v>
      </c>
      <c r="B201" s="2971" t="s">
        <v>2904</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2907</v>
      </c>
      <c r="C203" s="2972">
        <v>0.129</v>
      </c>
      <c r="D203" s="2972">
        <v>0.129</v>
      </c>
      <c r="E203" s="2972">
        <v>0.13</v>
      </c>
      <c r="F203" s="2972">
        <v>0.13</v>
      </c>
      <c r="G203" s="2973">
        <v>0.13</v>
      </c>
    </row>
    <row r="204" spans="1:7">
      <c r="A204" s="2982" t="s">
        <v>304</v>
      </c>
      <c r="B204" s="2971" t="s">
        <v>2910</v>
      </c>
      <c r="C204" s="2972">
        <v>0.129</v>
      </c>
      <c r="D204" s="2972">
        <v>0.129</v>
      </c>
      <c r="E204" s="2972">
        <v>0.123</v>
      </c>
      <c r="F204" s="2972">
        <v>0.13</v>
      </c>
      <c r="G204" s="2973">
        <v>0.13</v>
      </c>
    </row>
    <row r="205" spans="1:7">
      <c r="A205" s="2982" t="s">
        <v>304</v>
      </c>
      <c r="B205" s="2971" t="s">
        <v>2912</v>
      </c>
      <c r="C205" s="2972">
        <v>0.13</v>
      </c>
      <c r="D205" s="2972">
        <v>0.13</v>
      </c>
      <c r="E205" s="2972">
        <v>0.13</v>
      </c>
      <c r="F205" s="2972">
        <v>0.13</v>
      </c>
      <c r="G205" s="2973">
        <v>0.13</v>
      </c>
    </row>
    <row r="206" spans="1:7">
      <c r="A206" s="2982" t="s">
        <v>304</v>
      </c>
      <c r="B206" s="2971" t="s">
        <v>2915</v>
      </c>
      <c r="C206" s="2972">
        <v>0.13</v>
      </c>
      <c r="D206" s="2972">
        <v>0.13</v>
      </c>
      <c r="E206" s="2972">
        <v>0.13</v>
      </c>
      <c r="F206" s="2972">
        <v>0.128</v>
      </c>
      <c r="G206" s="2973">
        <v>0.13</v>
      </c>
    </row>
    <row r="207" spans="1:7">
      <c r="A207" s="2982" t="s">
        <v>304</v>
      </c>
      <c r="B207" s="2971" t="s">
        <v>2917</v>
      </c>
      <c r="C207" s="2972">
        <v>0.13</v>
      </c>
      <c r="D207" s="2972">
        <v>0.13</v>
      </c>
      <c r="E207" s="2972">
        <v>0.13</v>
      </c>
      <c r="F207" s="2972">
        <v>0.13</v>
      </c>
      <c r="G207" s="2973">
        <v>0.13</v>
      </c>
    </row>
    <row r="208" spans="1:7">
      <c r="A208" s="2982" t="s">
        <v>304</v>
      </c>
      <c r="B208" s="2971" t="s">
        <v>2920</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2927</v>
      </c>
      <c r="C210" s="2972">
        <v>0.121</v>
      </c>
      <c r="D210" s="2972">
        <v>0.121</v>
      </c>
      <c r="E210" s="2972">
        <v>0.125</v>
      </c>
      <c r="F210" s="2972">
        <v>0.13</v>
      </c>
      <c r="G210" s="2973">
        <v>0.123</v>
      </c>
    </row>
    <row r="211" spans="1:7">
      <c r="A211" s="2982" t="s">
        <v>304</v>
      </c>
      <c r="B211" s="2971" t="s">
        <v>2930</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2942</v>
      </c>
      <c r="C214" s="2972">
        <v>0.128</v>
      </c>
      <c r="D214" s="2972">
        <v>0.128</v>
      </c>
      <c r="E214" s="2972">
        <v>0.13</v>
      </c>
      <c r="F214" s="2972">
        <v>0.13</v>
      </c>
      <c r="G214" s="2973">
        <v>0.13</v>
      </c>
    </row>
    <row r="215" spans="1:7">
      <c r="A215" s="2982" t="s">
        <v>304</v>
      </c>
      <c r="B215" s="2971" t="s">
        <v>2946</v>
      </c>
      <c r="C215" s="2972">
        <v>0.13</v>
      </c>
      <c r="D215" s="2972">
        <v>0.13</v>
      </c>
      <c r="E215" s="2972">
        <v>0.13</v>
      </c>
      <c r="F215" s="2972">
        <v>0.129</v>
      </c>
      <c r="G215" s="2973">
        <v>0.13</v>
      </c>
    </row>
    <row r="216" spans="1:7">
      <c r="A216" s="2982" t="s">
        <v>304</v>
      </c>
      <c r="B216" s="2971" t="s">
        <v>2953</v>
      </c>
      <c r="C216" s="2972">
        <v>0.13</v>
      </c>
      <c r="D216" s="2972">
        <v>0.13</v>
      </c>
      <c r="E216" s="2972">
        <v>0.13</v>
      </c>
      <c r="F216" s="2972">
        <v>0.13</v>
      </c>
      <c r="G216" s="2973">
        <v>0.13</v>
      </c>
    </row>
    <row r="217" spans="1:7">
      <c r="A217" s="2982" t="s">
        <v>304</v>
      </c>
      <c r="B217" s="2971" t="s">
        <v>2960</v>
      </c>
      <c r="C217" s="2972">
        <v>0.129</v>
      </c>
      <c r="D217" s="2972">
        <v>0.129</v>
      </c>
      <c r="E217" s="2972">
        <v>0.13</v>
      </c>
      <c r="F217" s="2972">
        <v>0.13</v>
      </c>
      <c r="G217" s="2973">
        <v>0.13</v>
      </c>
    </row>
    <row r="218" spans="1:7">
      <c r="A218" s="2982" t="s">
        <v>304</v>
      </c>
      <c r="B218" s="2971" t="s">
        <v>2966</v>
      </c>
      <c r="C218" s="2983"/>
      <c r="D218" s="2983"/>
      <c r="E218" s="2983"/>
      <c r="F218" s="2972">
        <v>0.05</v>
      </c>
      <c r="G218" s="2989"/>
    </row>
    <row r="219" spans="1:7">
      <c r="A219" s="2982" t="s">
        <v>304</v>
      </c>
      <c r="B219" s="2971" t="s">
        <v>2973</v>
      </c>
      <c r="C219" s="2983"/>
      <c r="D219" s="2983"/>
      <c r="E219" s="2983"/>
      <c r="F219" s="2972">
        <v>0.05</v>
      </c>
      <c r="G219" s="2989"/>
    </row>
    <row r="220" spans="1:7">
      <c r="A220" s="2982" t="s">
        <v>304</v>
      </c>
      <c r="B220" s="2971" t="s">
        <v>2979</v>
      </c>
      <c r="C220" s="2983"/>
      <c r="D220" s="2983"/>
      <c r="E220" s="2983"/>
      <c r="F220" s="2972">
        <v>0.05</v>
      </c>
      <c r="G220" s="2989"/>
    </row>
    <row r="221" spans="1:7">
      <c r="A221" s="2982" t="s">
        <v>304</v>
      </c>
      <c r="B221" s="2971" t="s">
        <v>2984</v>
      </c>
      <c r="C221" s="2983"/>
      <c r="D221" s="2983"/>
      <c r="E221" s="2983"/>
      <c r="F221" s="2972">
        <v>0.05</v>
      </c>
      <c r="G221" s="2989"/>
    </row>
    <row r="222" spans="1:7">
      <c r="A222" s="2982" t="s">
        <v>304</v>
      </c>
      <c r="B222" s="2971" t="s">
        <v>2988</v>
      </c>
      <c r="C222" s="2983"/>
      <c r="D222" s="2983"/>
      <c r="E222" s="2983"/>
      <c r="F222" s="2972">
        <v>0.05</v>
      </c>
      <c r="G222" s="2989"/>
    </row>
    <row r="223" spans="1:7">
      <c r="A223" s="2982" t="s">
        <v>304</v>
      </c>
      <c r="B223" s="2971" t="s">
        <v>2993</v>
      </c>
      <c r="C223" s="2983"/>
      <c r="D223" s="2983"/>
      <c r="E223" s="2983"/>
      <c r="F223" s="2972">
        <v>0.05</v>
      </c>
      <c r="G223" s="2989"/>
    </row>
    <row r="224" spans="1:7">
      <c r="A224" s="2982" t="s">
        <v>304</v>
      </c>
      <c r="B224" s="2971" t="s">
        <v>2998</v>
      </c>
      <c r="C224" s="2983"/>
      <c r="D224" s="2983"/>
      <c r="E224" s="2983"/>
      <c r="F224" s="2972">
        <v>0.05</v>
      </c>
      <c r="G224" s="2989"/>
    </row>
    <row r="225" spans="1:7">
      <c r="A225" s="2982" t="s">
        <v>304</v>
      </c>
      <c r="B225" s="2971" t="s">
        <v>3003</v>
      </c>
      <c r="C225" s="2983"/>
      <c r="D225" s="2983"/>
      <c r="E225" s="2983"/>
      <c r="F225" s="2972">
        <v>0.05</v>
      </c>
      <c r="G225" s="2989"/>
    </row>
    <row r="226" spans="1:7">
      <c r="A226" s="2982" t="s">
        <v>304</v>
      </c>
      <c r="B226" s="2971" t="s">
        <v>3205</v>
      </c>
      <c r="C226" s="2983"/>
      <c r="D226" s="2983"/>
      <c r="E226" s="2983"/>
      <c r="F226" s="2972">
        <v>0.05</v>
      </c>
      <c r="G226" s="2989"/>
    </row>
    <row r="227" spans="1:7">
      <c r="A227" s="2982" t="s">
        <v>304</v>
      </c>
      <c r="B227" s="2971" t="s">
        <v>3206</v>
      </c>
      <c r="C227" s="2983"/>
      <c r="D227" s="2983"/>
      <c r="E227" s="2983"/>
      <c r="F227" s="2972">
        <v>0.05</v>
      </c>
      <c r="G227" s="2989"/>
    </row>
    <row r="228" spans="1:7">
      <c r="A228" s="2982" t="s">
        <v>304</v>
      </c>
      <c r="B228" s="2971" t="s">
        <v>3207</v>
      </c>
      <c r="C228" s="2983"/>
      <c r="D228" s="2983"/>
      <c r="E228" s="2983"/>
      <c r="F228" s="2972">
        <v>0.05</v>
      </c>
      <c r="G228" s="2989"/>
    </row>
    <row r="229" spans="1:7">
      <c r="A229" s="2982" t="s">
        <v>304</v>
      </c>
      <c r="B229" s="2971" t="s">
        <v>3208</v>
      </c>
      <c r="C229" s="2983"/>
      <c r="D229" s="2983"/>
      <c r="E229" s="2983"/>
      <c r="F229" s="2972">
        <v>0.05</v>
      </c>
      <c r="G229" s="2989"/>
    </row>
    <row r="230" spans="1:7">
      <c r="A230" s="2982" t="s">
        <v>304</v>
      </c>
      <c r="B230" s="2971" t="s">
        <v>3209</v>
      </c>
      <c r="C230" s="2983"/>
      <c r="D230" s="2983"/>
      <c r="E230" s="2983"/>
      <c r="F230" s="2972">
        <v>0.05</v>
      </c>
      <c r="G230" s="2989"/>
    </row>
    <row r="231" spans="1:7">
      <c r="A231" s="2982" t="s">
        <v>304</v>
      </c>
      <c r="B231" s="2971" t="s">
        <v>3210</v>
      </c>
      <c r="C231" s="2983"/>
      <c r="D231" s="2983"/>
      <c r="E231" s="2983"/>
      <c r="F231" s="2972">
        <v>0.05</v>
      </c>
      <c r="G231" s="2989"/>
    </row>
    <row r="232" spans="1:7">
      <c r="A232" s="2982" t="s">
        <v>304</v>
      </c>
      <c r="B232" s="2971" t="s">
        <v>3211</v>
      </c>
      <c r="C232" s="2983"/>
      <c r="D232" s="2983"/>
      <c r="E232" s="2983"/>
      <c r="F232" s="2972">
        <v>0.05</v>
      </c>
      <c r="G232" s="2989"/>
    </row>
    <row r="233" spans="1:7" ht="14.25" thickBot="1">
      <c r="A233" s="2985" t="s">
        <v>304</v>
      </c>
      <c r="B233" s="2975" t="s">
        <v>3212</v>
      </c>
      <c r="C233" s="2977"/>
      <c r="D233" s="2977"/>
      <c r="E233" s="2977"/>
      <c r="F233" s="2976">
        <v>0.05</v>
      </c>
      <c r="G233" s="2990"/>
    </row>
    <row r="234" spans="1:7">
      <c r="A234" s="2981" t="s">
        <v>305</v>
      </c>
      <c r="B234" s="2967" t="s">
        <v>2861</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2881</v>
      </c>
      <c r="C238" s="2972">
        <v>0.14899999999999999</v>
      </c>
      <c r="D238" s="2972">
        <v>0.14899999999999999</v>
      </c>
      <c r="E238" s="2972">
        <v>0.15</v>
      </c>
      <c r="F238" s="2972">
        <v>0.15</v>
      </c>
      <c r="G238" s="2973">
        <v>0.15</v>
      </c>
    </row>
    <row r="239" spans="1:7">
      <c r="A239" s="2982" t="s">
        <v>305</v>
      </c>
      <c r="B239" s="2971" t="s">
        <v>2885</v>
      </c>
      <c r="C239" s="2972">
        <v>0.15</v>
      </c>
      <c r="D239" s="2972">
        <v>0.15</v>
      </c>
      <c r="E239" s="2972">
        <v>0.15</v>
      </c>
      <c r="F239" s="2972">
        <v>0.15</v>
      </c>
      <c r="G239" s="2973">
        <v>0.15</v>
      </c>
    </row>
    <row r="240" spans="1:7">
      <c r="A240" s="2982" t="s">
        <v>305</v>
      </c>
      <c r="B240" s="2971" t="s">
        <v>2890</v>
      </c>
      <c r="C240" s="2972">
        <v>0.15</v>
      </c>
      <c r="D240" s="2972">
        <v>0.15</v>
      </c>
      <c r="E240" s="2972">
        <v>0.15</v>
      </c>
      <c r="F240" s="2972">
        <v>0.15</v>
      </c>
      <c r="G240" s="2973">
        <v>0.15</v>
      </c>
    </row>
    <row r="241" spans="1:7">
      <c r="A241" s="2982" t="s">
        <v>305</v>
      </c>
      <c r="B241" s="2971" t="s">
        <v>2894</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2900</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2908</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2913</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2921</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2934</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2943</v>
      </c>
      <c r="C258" s="2972">
        <v>0.14299999999999999</v>
      </c>
      <c r="D258" s="2972">
        <v>0.14299999999999999</v>
      </c>
      <c r="E258" s="2972">
        <v>0.15</v>
      </c>
      <c r="F258" s="2972">
        <v>0.14799999999999999</v>
      </c>
      <c r="G258" s="2973">
        <v>0.14599999999999999</v>
      </c>
    </row>
    <row r="259" spans="1:7">
      <c r="A259" s="2982" t="s">
        <v>305</v>
      </c>
      <c r="B259" s="2971" t="s">
        <v>2947</v>
      </c>
      <c r="C259" s="2972">
        <v>0.14399999999999999</v>
      </c>
      <c r="D259" s="2972">
        <v>0.14399999999999999</v>
      </c>
      <c r="E259" s="2972">
        <v>0.14899999999999999</v>
      </c>
      <c r="F259" s="2972">
        <v>0.14699999999999999</v>
      </c>
      <c r="G259" s="2973">
        <v>0.14599999999999999</v>
      </c>
    </row>
    <row r="260" spans="1:7">
      <c r="A260" s="2982" t="s">
        <v>305</v>
      </c>
      <c r="B260" s="2971" t="s">
        <v>2954</v>
      </c>
      <c r="C260" s="2972">
        <v>0.109</v>
      </c>
      <c r="D260" s="2972">
        <v>0.111</v>
      </c>
      <c r="E260" s="2972">
        <v>0.13100000000000001</v>
      </c>
      <c r="F260" s="2972">
        <v>0.126</v>
      </c>
      <c r="G260" s="2973">
        <v>0.11899999999999999</v>
      </c>
    </row>
    <row r="261" spans="1:7">
      <c r="A261" s="2982" t="s">
        <v>305</v>
      </c>
      <c r="B261" s="2971" t="s">
        <v>2961</v>
      </c>
      <c r="C261" s="2972">
        <v>0.1</v>
      </c>
      <c r="D261" s="2972">
        <v>0.1</v>
      </c>
      <c r="E261" s="2972">
        <v>0.11799999999999999</v>
      </c>
      <c r="F261" s="2972">
        <v>0.108</v>
      </c>
      <c r="G261" s="2973">
        <v>0.107</v>
      </c>
    </row>
    <row r="262" spans="1:7">
      <c r="A262" s="2982" t="s">
        <v>305</v>
      </c>
      <c r="B262" s="2971" t="s">
        <v>2967</v>
      </c>
      <c r="C262" s="2972">
        <v>0.1</v>
      </c>
      <c r="D262" s="2972">
        <v>0.1</v>
      </c>
      <c r="E262" s="2972">
        <v>0.1</v>
      </c>
      <c r="F262" s="2972">
        <v>0.14099999999999999</v>
      </c>
      <c r="G262" s="2973">
        <v>0.1</v>
      </c>
    </row>
    <row r="263" spans="1:7">
      <c r="A263" s="2982" t="s">
        <v>305</v>
      </c>
      <c r="B263" s="2971" t="s">
        <v>2974</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2985</v>
      </c>
      <c r="C265" s="2983"/>
      <c r="D265" s="2983"/>
      <c r="E265" s="2983"/>
      <c r="F265" s="2972">
        <v>0.05</v>
      </c>
      <c r="G265" s="2989"/>
    </row>
    <row r="266" spans="1:7">
      <c r="A266" s="2982" t="s">
        <v>305</v>
      </c>
      <c r="B266" s="2971" t="s">
        <v>2989</v>
      </c>
      <c r="C266" s="2983"/>
      <c r="D266" s="2983"/>
      <c r="E266" s="2983"/>
      <c r="F266" s="2972">
        <v>0.05</v>
      </c>
      <c r="G266" s="2989"/>
    </row>
    <row r="267" spans="1:7">
      <c r="A267" s="2982" t="s">
        <v>305</v>
      </c>
      <c r="B267" s="2971" t="s">
        <v>2994</v>
      </c>
      <c r="C267" s="2983"/>
      <c r="D267" s="2983"/>
      <c r="E267" s="2983"/>
      <c r="F267" s="2972">
        <v>0.05</v>
      </c>
      <c r="G267" s="2989"/>
    </row>
    <row r="268" spans="1:7">
      <c r="A268" s="2982" t="s">
        <v>305</v>
      </c>
      <c r="B268" s="2971" t="s">
        <v>2999</v>
      </c>
      <c r="C268" s="2983"/>
      <c r="D268" s="2983"/>
      <c r="E268" s="2983"/>
      <c r="F268" s="2972">
        <v>0.05</v>
      </c>
      <c r="G268" s="2989"/>
    </row>
    <row r="269" spans="1:7">
      <c r="A269" s="2982" t="s">
        <v>305</v>
      </c>
      <c r="B269" s="2971" t="s">
        <v>3004</v>
      </c>
      <c r="C269" s="2983"/>
      <c r="D269" s="2983"/>
      <c r="E269" s="2983"/>
      <c r="F269" s="2972">
        <v>0.05</v>
      </c>
      <c r="G269" s="2989"/>
    </row>
    <row r="270" spans="1:7">
      <c r="A270" s="2982" t="s">
        <v>305</v>
      </c>
      <c r="B270" s="2971" t="s">
        <v>3009</v>
      </c>
      <c r="C270" s="2983"/>
      <c r="D270" s="2983"/>
      <c r="E270" s="2983"/>
      <c r="F270" s="2972">
        <v>0.05</v>
      </c>
      <c r="G270" s="2989"/>
    </row>
    <row r="271" spans="1:7">
      <c r="A271" s="2982" t="s">
        <v>305</v>
      </c>
      <c r="B271" s="2971" t="s">
        <v>3213</v>
      </c>
      <c r="C271" s="2983"/>
      <c r="D271" s="2983"/>
      <c r="E271" s="2983"/>
      <c r="F271" s="2972">
        <v>0.05</v>
      </c>
      <c r="G271" s="2989"/>
    </row>
    <row r="272" spans="1:7">
      <c r="A272" s="2982" t="s">
        <v>305</v>
      </c>
      <c r="B272" s="2971" t="s">
        <v>3214</v>
      </c>
      <c r="C272" s="2983"/>
      <c r="D272" s="2983"/>
      <c r="E272" s="2983"/>
      <c r="F272" s="2972">
        <v>0.05</v>
      </c>
      <c r="G272" s="2989"/>
    </row>
    <row r="273" spans="1:7">
      <c r="A273" s="2982" t="s">
        <v>305</v>
      </c>
      <c r="B273" s="2971" t="s">
        <v>3215</v>
      </c>
      <c r="C273" s="2983"/>
      <c r="D273" s="2983"/>
      <c r="E273" s="2983"/>
      <c r="F273" s="2972">
        <v>0.05</v>
      </c>
      <c r="G273" s="2989"/>
    </row>
    <row r="274" spans="1:7">
      <c r="A274" s="2982" t="s">
        <v>305</v>
      </c>
      <c r="B274" s="2971" t="s">
        <v>3216</v>
      </c>
      <c r="C274" s="2983"/>
      <c r="D274" s="2983"/>
      <c r="E274" s="2983"/>
      <c r="F274" s="2972">
        <v>0.05</v>
      </c>
      <c r="G274" s="2989"/>
    </row>
    <row r="275" spans="1:7">
      <c r="A275" s="2982" t="s">
        <v>305</v>
      </c>
      <c r="B275" s="2971" t="s">
        <v>3217</v>
      </c>
      <c r="C275" s="2983"/>
      <c r="D275" s="2983"/>
      <c r="E275" s="2983"/>
      <c r="F275" s="2972">
        <v>0.05</v>
      </c>
      <c r="G275" s="2989"/>
    </row>
    <row r="276" spans="1:7" ht="14.25" thickBot="1">
      <c r="A276" s="2985" t="s">
        <v>305</v>
      </c>
      <c r="B276" s="2975" t="s">
        <v>3218</v>
      </c>
      <c r="C276" s="2977"/>
      <c r="D276" s="2977"/>
      <c r="E276" s="2977"/>
      <c r="F276" s="2976">
        <v>0.05</v>
      </c>
      <c r="G276" s="2990"/>
    </row>
    <row r="277" spans="1:7">
      <c r="A277" s="2981" t="s">
        <v>306</v>
      </c>
      <c r="B277" s="2967" t="s">
        <v>2862</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2874</v>
      </c>
      <c r="C279" s="2972">
        <v>0.15</v>
      </c>
      <c r="D279" s="2972">
        <v>0.15</v>
      </c>
      <c r="E279" s="2972">
        <v>0.15</v>
      </c>
      <c r="F279" s="2972">
        <v>0.15</v>
      </c>
      <c r="G279" s="2973">
        <v>0.15</v>
      </c>
    </row>
    <row r="280" spans="1:7">
      <c r="A280" s="2982" t="s">
        <v>306</v>
      </c>
      <c r="B280" s="2971" t="s">
        <v>2878</v>
      </c>
      <c r="C280" s="2972">
        <v>0.15</v>
      </c>
      <c r="D280" s="2972">
        <v>0.15</v>
      </c>
      <c r="E280" s="2972">
        <v>0.15</v>
      </c>
      <c r="F280" s="2972">
        <v>0.15</v>
      </c>
      <c r="G280" s="2973">
        <v>0.15</v>
      </c>
    </row>
    <row r="281" spans="1:7">
      <c r="A281" s="2982" t="s">
        <v>306</v>
      </c>
      <c r="B281" s="2971" t="s">
        <v>2882</v>
      </c>
      <c r="C281" s="2972">
        <v>0.15</v>
      </c>
      <c r="D281" s="2972">
        <v>0.15</v>
      </c>
      <c r="E281" s="2972">
        <v>0.15</v>
      </c>
      <c r="F281" s="2972">
        <v>0.15</v>
      </c>
      <c r="G281" s="2973">
        <v>0.15</v>
      </c>
    </row>
    <row r="282" spans="1:7">
      <c r="A282" s="2982" t="s">
        <v>306</v>
      </c>
      <c r="B282" s="2971" t="s">
        <v>2886</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2901</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2906</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2916</v>
      </c>
      <c r="C293" s="2972">
        <v>0.15</v>
      </c>
      <c r="D293" s="2972">
        <v>0.15</v>
      </c>
      <c r="E293" s="2972">
        <v>0.15</v>
      </c>
      <c r="F293" s="2972">
        <v>0.14499999999999999</v>
      </c>
      <c r="G293" s="2973">
        <v>0.15</v>
      </c>
    </row>
    <row r="294" spans="1:7">
      <c r="A294" s="2982" t="s">
        <v>306</v>
      </c>
      <c r="B294" s="2971" t="s">
        <v>2918</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2935</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2948</v>
      </c>
      <c r="C302" s="2972">
        <v>0.15</v>
      </c>
      <c r="D302" s="2972">
        <v>0.15</v>
      </c>
      <c r="E302" s="2972">
        <v>0.15</v>
      </c>
      <c r="F302" s="2972">
        <v>0.14699999999999999</v>
      </c>
      <c r="G302" s="2973">
        <v>0.15</v>
      </c>
    </row>
    <row r="303" spans="1:7">
      <c r="A303" s="2982" t="s">
        <v>306</v>
      </c>
      <c r="B303" s="2971" t="s">
        <v>2955</v>
      </c>
      <c r="C303" s="2972">
        <v>0.15</v>
      </c>
      <c r="D303" s="2972">
        <v>0.15</v>
      </c>
      <c r="E303" s="2972">
        <v>0.15</v>
      </c>
      <c r="F303" s="2972">
        <v>0.14199999999999999</v>
      </c>
      <c r="G303" s="2973">
        <v>0.15</v>
      </c>
    </row>
    <row r="304" spans="1:7">
      <c r="A304" s="2982" t="s">
        <v>306</v>
      </c>
      <c r="B304" s="2971" t="s">
        <v>2962</v>
      </c>
      <c r="C304" s="2972">
        <v>0.15</v>
      </c>
      <c r="D304" s="2972">
        <v>0.15</v>
      </c>
      <c r="E304" s="2972">
        <v>0.15</v>
      </c>
      <c r="F304" s="2972">
        <v>0.14499999999999999</v>
      </c>
      <c r="G304" s="2973">
        <v>0.15</v>
      </c>
    </row>
    <row r="305" spans="1:7">
      <c r="A305" s="2982" t="s">
        <v>306</v>
      </c>
      <c r="B305" s="2971" t="s">
        <v>2968</v>
      </c>
      <c r="C305" s="2972">
        <v>0.15</v>
      </c>
      <c r="D305" s="2972">
        <v>0.15</v>
      </c>
      <c r="E305" s="2972">
        <v>0.15</v>
      </c>
      <c r="F305" s="2972">
        <v>0.111</v>
      </c>
      <c r="G305" s="2973">
        <v>0.15</v>
      </c>
    </row>
    <row r="306" spans="1:7">
      <c r="A306" s="2982" t="s">
        <v>306</v>
      </c>
      <c r="B306" s="2971" t="s">
        <v>2975</v>
      </c>
      <c r="C306" s="2972">
        <v>0.15</v>
      </c>
      <c r="D306" s="2972">
        <v>0.15</v>
      </c>
      <c r="E306" s="2972">
        <v>0.15</v>
      </c>
      <c r="F306" s="2972">
        <v>0.126</v>
      </c>
      <c r="G306" s="2973">
        <v>0.15</v>
      </c>
    </row>
    <row r="307" spans="1:7">
      <c r="A307" s="2982" t="s">
        <v>306</v>
      </c>
      <c r="B307" s="2971" t="s">
        <v>2980</v>
      </c>
      <c r="C307" s="2972">
        <v>0.15</v>
      </c>
      <c r="D307" s="2972">
        <v>0.15</v>
      </c>
      <c r="E307" s="2972">
        <v>0.15</v>
      </c>
      <c r="F307" s="2972">
        <v>0.12</v>
      </c>
      <c r="G307" s="2973">
        <v>0.15</v>
      </c>
    </row>
    <row r="308" spans="1:7">
      <c r="A308" s="2982" t="s">
        <v>306</v>
      </c>
      <c r="B308" s="2971" t="s">
        <v>2986</v>
      </c>
      <c r="C308" s="2972">
        <v>0.15</v>
      </c>
      <c r="D308" s="2972">
        <v>0.15</v>
      </c>
      <c r="E308" s="2972">
        <v>0.15</v>
      </c>
      <c r="F308" s="2972">
        <v>0.13</v>
      </c>
      <c r="G308" s="2973">
        <v>0.15</v>
      </c>
    </row>
    <row r="309" spans="1:7">
      <c r="A309" s="2982" t="s">
        <v>306</v>
      </c>
      <c r="B309" s="2971" t="s">
        <v>2990</v>
      </c>
      <c r="C309" s="2972">
        <v>0.15</v>
      </c>
      <c r="D309" s="2972">
        <v>0.15</v>
      </c>
      <c r="E309" s="2972">
        <v>0.15</v>
      </c>
      <c r="F309" s="2972">
        <v>0.14099999999999999</v>
      </c>
      <c r="G309" s="2973">
        <v>0.15</v>
      </c>
    </row>
    <row r="310" spans="1:7">
      <c r="A310" s="2982" t="s">
        <v>306</v>
      </c>
      <c r="B310" s="2971" t="s">
        <v>2995</v>
      </c>
      <c r="C310" s="2972">
        <v>0.15</v>
      </c>
      <c r="D310" s="2972">
        <v>0.15</v>
      </c>
      <c r="E310" s="2972">
        <v>0.15</v>
      </c>
      <c r="F310" s="2972">
        <v>0.15</v>
      </c>
      <c r="G310" s="2973">
        <v>0.15</v>
      </c>
    </row>
    <row r="311" spans="1:7">
      <c r="A311" s="2982" t="s">
        <v>306</v>
      </c>
      <c r="B311" s="2971" t="s">
        <v>3000</v>
      </c>
      <c r="C311" s="2972">
        <v>0.13200000000000001</v>
      </c>
      <c r="D311" s="2972">
        <v>0.13300000000000001</v>
      </c>
      <c r="E311" s="2972">
        <v>0.14499999999999999</v>
      </c>
      <c r="F311" s="2972">
        <v>0.14199999999999999</v>
      </c>
      <c r="G311" s="2973">
        <v>0.14000000000000001</v>
      </c>
    </row>
    <row r="312" spans="1:7">
      <c r="A312" s="2982" t="s">
        <v>306</v>
      </c>
      <c r="B312" s="2971" t="s">
        <v>3005</v>
      </c>
      <c r="C312" s="2972">
        <v>0.13800000000000001</v>
      </c>
      <c r="D312" s="2972">
        <v>0.14000000000000001</v>
      </c>
      <c r="E312" s="2972">
        <v>0.14599999999999999</v>
      </c>
      <c r="F312" s="2972">
        <v>0.14899999999999999</v>
      </c>
      <c r="G312" s="2973">
        <v>0.14199999999999999</v>
      </c>
    </row>
    <row r="313" spans="1:7">
      <c r="A313" s="2982" t="s">
        <v>306</v>
      </c>
      <c r="B313" s="2971" t="s">
        <v>3010</v>
      </c>
      <c r="C313" s="2972">
        <v>0.125</v>
      </c>
      <c r="D313" s="2972">
        <v>0.127</v>
      </c>
      <c r="E313" s="2972">
        <v>0.14399999999999999</v>
      </c>
      <c r="F313" s="2972">
        <v>0.115</v>
      </c>
      <c r="G313" s="2973">
        <v>0.13600000000000001</v>
      </c>
    </row>
    <row r="314" spans="1:7">
      <c r="A314" s="2982" t="s">
        <v>306</v>
      </c>
      <c r="B314" s="2971" t="s">
        <v>3219</v>
      </c>
      <c r="C314" s="2988"/>
      <c r="D314" s="2988"/>
      <c r="E314" s="2988"/>
      <c r="F314" s="2972">
        <v>0.05</v>
      </c>
      <c r="G314" s="2989"/>
    </row>
    <row r="315" spans="1:7">
      <c r="A315" s="2982" t="s">
        <v>306</v>
      </c>
      <c r="B315" s="2971" t="s">
        <v>3220</v>
      </c>
      <c r="C315" s="2988"/>
      <c r="D315" s="2988"/>
      <c r="E315" s="2988"/>
      <c r="F315" s="2972">
        <v>0.05</v>
      </c>
      <c r="G315" s="2989"/>
    </row>
    <row r="316" spans="1:7">
      <c r="A316" s="2982" t="s">
        <v>306</v>
      </c>
      <c r="B316" s="2971" t="s">
        <v>3221</v>
      </c>
      <c r="C316" s="2983"/>
      <c r="D316" s="2983"/>
      <c r="E316" s="2983"/>
      <c r="F316" s="2972">
        <v>0.05</v>
      </c>
      <c r="G316" s="2989"/>
    </row>
    <row r="317" spans="1:7">
      <c r="A317" s="2982" t="s">
        <v>306</v>
      </c>
      <c r="B317" s="2971" t="s">
        <v>3222</v>
      </c>
      <c r="C317" s="2983"/>
      <c r="D317" s="2983"/>
      <c r="E317" s="2983"/>
      <c r="F317" s="2972">
        <v>0.05</v>
      </c>
      <c r="G317" s="2989"/>
    </row>
    <row r="318" spans="1:7">
      <c r="A318" s="2982" t="s">
        <v>306</v>
      </c>
      <c r="B318" s="2971" t="s">
        <v>3223</v>
      </c>
      <c r="C318" s="2983"/>
      <c r="D318" s="2983"/>
      <c r="E318" s="2983"/>
      <c r="F318" s="2972">
        <v>0.05</v>
      </c>
      <c r="G318" s="2989"/>
    </row>
    <row r="319" spans="1:7">
      <c r="A319" s="2982" t="s">
        <v>306</v>
      </c>
      <c r="B319" s="2971" t="s">
        <v>3224</v>
      </c>
      <c r="C319" s="2983"/>
      <c r="D319" s="2983"/>
      <c r="E319" s="2983"/>
      <c r="F319" s="2972">
        <v>0.05</v>
      </c>
      <c r="G319" s="2989"/>
    </row>
    <row r="320" spans="1:7">
      <c r="A320" s="2982" t="s">
        <v>306</v>
      </c>
      <c r="B320" s="2971" t="s">
        <v>3225</v>
      </c>
      <c r="C320" s="2983"/>
      <c r="D320" s="2983"/>
      <c r="E320" s="2983"/>
      <c r="F320" s="2972">
        <v>0.05</v>
      </c>
      <c r="G320" s="2989"/>
    </row>
    <row r="321" spans="1:7">
      <c r="A321" s="2982" t="s">
        <v>306</v>
      </c>
      <c r="B321" s="2971" t="s">
        <v>3226</v>
      </c>
      <c r="C321" s="2983"/>
      <c r="D321" s="2983"/>
      <c r="E321" s="2983"/>
      <c r="F321" s="2972">
        <v>0.05</v>
      </c>
      <c r="G321" s="2989"/>
    </row>
    <row r="322" spans="1:7">
      <c r="A322" s="2982" t="s">
        <v>306</v>
      </c>
      <c r="B322" s="2971" t="s">
        <v>3227</v>
      </c>
      <c r="C322" s="2983"/>
      <c r="D322" s="2983"/>
      <c r="E322" s="2983"/>
      <c r="F322" s="2972">
        <v>0.05</v>
      </c>
      <c r="G322" s="2989"/>
    </row>
    <row r="323" spans="1:7">
      <c r="A323" s="2982" t="s">
        <v>306</v>
      </c>
      <c r="B323" s="2971" t="s">
        <v>3228</v>
      </c>
      <c r="C323" s="2983"/>
      <c r="D323" s="2983"/>
      <c r="E323" s="2983"/>
      <c r="F323" s="2972">
        <v>0.05</v>
      </c>
      <c r="G323" s="2989"/>
    </row>
    <row r="324" spans="1:7">
      <c r="A324" s="2982" t="s">
        <v>306</v>
      </c>
      <c r="B324" s="2971" t="s">
        <v>3229</v>
      </c>
      <c r="C324" s="2983"/>
      <c r="D324" s="2983"/>
      <c r="E324" s="2983"/>
      <c r="F324" s="2972">
        <v>0.05</v>
      </c>
      <c r="G324" s="2989"/>
    </row>
    <row r="325" spans="1:7">
      <c r="A325" s="2982" t="s">
        <v>306</v>
      </c>
      <c r="B325" s="2971" t="s">
        <v>3230</v>
      </c>
      <c r="C325" s="2983"/>
      <c r="D325" s="2983"/>
      <c r="E325" s="2983"/>
      <c r="F325" s="2972">
        <v>0.05</v>
      </c>
      <c r="G325" s="2989"/>
    </row>
    <row r="326" spans="1:7" ht="14.25" thickBot="1">
      <c r="A326" s="2985" t="s">
        <v>306</v>
      </c>
      <c r="B326" s="2975" t="s">
        <v>3231</v>
      </c>
      <c r="C326" s="2977"/>
      <c r="D326" s="2977"/>
      <c r="E326" s="2977"/>
      <c r="F326" s="2976">
        <v>0.05</v>
      </c>
      <c r="G326" s="2990"/>
    </row>
    <row r="327" spans="1:7">
      <c r="A327" s="2981" t="s">
        <v>307</v>
      </c>
      <c r="B327" s="2967" t="s">
        <v>2863</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2875</v>
      </c>
      <c r="C329" s="2972">
        <v>0.15</v>
      </c>
      <c r="D329" s="2972">
        <v>0.15</v>
      </c>
      <c r="E329" s="2972">
        <v>0.15</v>
      </c>
      <c r="F329" s="2972">
        <v>0.15</v>
      </c>
      <c r="G329" s="2973">
        <v>0.15</v>
      </c>
    </row>
    <row r="330" spans="1:7">
      <c r="A330" s="2982" t="s">
        <v>307</v>
      </c>
      <c r="B330" s="2971" t="s">
        <v>2879</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2887</v>
      </c>
      <c r="C332" s="2972">
        <v>0.15</v>
      </c>
      <c r="D332" s="2972">
        <v>0.15</v>
      </c>
      <c r="E332" s="2972">
        <v>0.15</v>
      </c>
      <c r="F332" s="2972">
        <v>0.15</v>
      </c>
      <c r="G332" s="2973">
        <v>0.15</v>
      </c>
    </row>
    <row r="333" spans="1:7">
      <c r="A333" s="2982" t="s">
        <v>307</v>
      </c>
      <c r="B333" s="2971" t="s">
        <v>2891</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2897</v>
      </c>
      <c r="C336" s="2972">
        <v>0.15</v>
      </c>
      <c r="D336" s="2972">
        <v>0.15</v>
      </c>
      <c r="E336" s="2972">
        <v>0.15</v>
      </c>
      <c r="F336" s="2972">
        <v>0.14199999999999999</v>
      </c>
      <c r="G336" s="2973">
        <v>0.15</v>
      </c>
    </row>
    <row r="337" spans="1:7">
      <c r="A337" s="2982" t="s">
        <v>307</v>
      </c>
      <c r="B337" s="2971" t="s">
        <v>2902</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2909</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2914</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2922</v>
      </c>
      <c r="C345" s="2972">
        <v>0.15</v>
      </c>
      <c r="D345" s="2972">
        <v>0.15</v>
      </c>
      <c r="E345" s="2972">
        <v>0.15</v>
      </c>
      <c r="F345" s="2972">
        <v>0.13800000000000001</v>
      </c>
      <c r="G345" s="2973">
        <v>0.15</v>
      </c>
    </row>
    <row r="346" spans="1:7">
      <c r="A346" s="2982" t="s">
        <v>307</v>
      </c>
      <c r="B346" s="2971" t="s">
        <v>2924</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2931</v>
      </c>
      <c r="C348" s="2972">
        <v>0.15</v>
      </c>
      <c r="D348" s="2972">
        <v>0.15</v>
      </c>
      <c r="E348" s="2972">
        <v>0.15</v>
      </c>
      <c r="F348" s="2972">
        <v>0.14399999999999999</v>
      </c>
      <c r="G348" s="2973">
        <v>0.15</v>
      </c>
    </row>
    <row r="349" spans="1:7">
      <c r="A349" s="2982" t="s">
        <v>307</v>
      </c>
      <c r="B349" s="2971" t="s">
        <v>2936</v>
      </c>
      <c r="C349" s="2972">
        <v>0.15</v>
      </c>
      <c r="D349" s="2972">
        <v>0.15</v>
      </c>
      <c r="E349" s="2972">
        <v>0.15</v>
      </c>
      <c r="F349" s="2972">
        <v>0.15</v>
      </c>
      <c r="G349" s="2973">
        <v>0.15</v>
      </c>
    </row>
    <row r="350" spans="1:7">
      <c r="A350" s="2982" t="s">
        <v>307</v>
      </c>
      <c r="B350" s="2971" t="s">
        <v>2939</v>
      </c>
      <c r="C350" s="2972">
        <v>0.15</v>
      </c>
      <c r="D350" s="2972">
        <v>0.15</v>
      </c>
      <c r="E350" s="2972">
        <v>0.15</v>
      </c>
      <c r="F350" s="2972">
        <v>0.14699999999999999</v>
      </c>
      <c r="G350" s="2973">
        <v>0.15</v>
      </c>
    </row>
    <row r="351" spans="1:7">
      <c r="A351" s="2982" t="s">
        <v>307</v>
      </c>
      <c r="B351" s="2971" t="s">
        <v>2944</v>
      </c>
      <c r="C351" s="2972">
        <v>0.15</v>
      </c>
      <c r="D351" s="2972">
        <v>0.15</v>
      </c>
      <c r="E351" s="2972">
        <v>0.15</v>
      </c>
      <c r="F351" s="2972">
        <v>0.13</v>
      </c>
      <c r="G351" s="2973">
        <v>0.15</v>
      </c>
    </row>
    <row r="352" spans="1:7">
      <c r="A352" s="2982" t="s">
        <v>307</v>
      </c>
      <c r="B352" s="2971" t="s">
        <v>2949</v>
      </c>
      <c r="C352" s="2972">
        <v>0.15</v>
      </c>
      <c r="D352" s="2972">
        <v>0.15</v>
      </c>
      <c r="E352" s="2972">
        <v>0.15</v>
      </c>
      <c r="F352" s="2972">
        <v>0.14599999999999999</v>
      </c>
      <c r="G352" s="2973">
        <v>0.15</v>
      </c>
    </row>
    <row r="353" spans="1:7">
      <c r="A353" s="2982" t="s">
        <v>307</v>
      </c>
      <c r="B353" s="2971" t="s">
        <v>2956</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2969</v>
      </c>
      <c r="C355" s="2972">
        <v>0.15</v>
      </c>
      <c r="D355" s="2972">
        <v>0.15</v>
      </c>
      <c r="E355" s="2972">
        <v>0.15</v>
      </c>
      <c r="F355" s="2972">
        <v>0.15</v>
      </c>
      <c r="G355" s="2973">
        <v>0.15</v>
      </c>
    </row>
    <row r="356" spans="1:7">
      <c r="A356" s="2982" t="s">
        <v>307</v>
      </c>
      <c r="B356" s="2971" t="s">
        <v>2976</v>
      </c>
      <c r="C356" s="2972">
        <v>0.15</v>
      </c>
      <c r="D356" s="2972">
        <v>0.15</v>
      </c>
      <c r="E356" s="2972">
        <v>0.15</v>
      </c>
      <c r="F356" s="2972">
        <v>0.15</v>
      </c>
      <c r="G356" s="2973">
        <v>0.15</v>
      </c>
    </row>
    <row r="357" spans="1:7" ht="14.25" thickBot="1">
      <c r="A357" s="2985" t="s">
        <v>307</v>
      </c>
      <c r="B357" s="2975" t="s">
        <v>2981</v>
      </c>
      <c r="C357" s="2976">
        <v>0.126</v>
      </c>
      <c r="D357" s="2976">
        <v>0.127</v>
      </c>
      <c r="E357" s="2976">
        <v>0.14299999999999999</v>
      </c>
      <c r="F357" s="2976">
        <v>0.125</v>
      </c>
      <c r="G357" s="2978">
        <v>0.129</v>
      </c>
    </row>
    <row r="358" spans="1:7">
      <c r="A358" s="2981" t="s">
        <v>2850</v>
      </c>
      <c r="B358" s="2967" t="s">
        <v>2864</v>
      </c>
      <c r="C358" s="2968">
        <v>0.15</v>
      </c>
      <c r="D358" s="2968">
        <v>0.15</v>
      </c>
      <c r="E358" s="2968">
        <v>0.15</v>
      </c>
      <c r="F358" s="2968">
        <v>0.15</v>
      </c>
      <c r="G358" s="2969">
        <v>0.15</v>
      </c>
    </row>
    <row r="359" spans="1:7">
      <c r="A359" s="2982" t="s">
        <v>2850</v>
      </c>
      <c r="B359" s="2971" t="s">
        <v>2870</v>
      </c>
      <c r="C359" s="2972">
        <v>0.1</v>
      </c>
      <c r="D359" s="2972">
        <v>0.1</v>
      </c>
      <c r="E359" s="2972">
        <v>0.1</v>
      </c>
      <c r="F359" s="2972">
        <v>0.1</v>
      </c>
      <c r="G359" s="2973">
        <v>0.1</v>
      </c>
    </row>
    <row r="360" spans="1:7">
      <c r="A360" s="2982" t="s">
        <v>2850</v>
      </c>
      <c r="B360" s="2971" t="s">
        <v>2876</v>
      </c>
      <c r="C360" s="2972">
        <v>0.15</v>
      </c>
      <c r="D360" s="2972">
        <v>0.15</v>
      </c>
      <c r="E360" s="2972">
        <v>0.15</v>
      </c>
      <c r="F360" s="2972">
        <v>0.14899999999999999</v>
      </c>
      <c r="G360" s="2973">
        <v>0.15</v>
      </c>
    </row>
    <row r="361" spans="1:7">
      <c r="A361" s="2982" t="s">
        <v>2850</v>
      </c>
      <c r="B361" s="2971" t="s">
        <v>153</v>
      </c>
      <c r="C361" s="2972">
        <v>0.15</v>
      </c>
      <c r="D361" s="2972">
        <v>0.15</v>
      </c>
      <c r="E361" s="2972">
        <v>0.15</v>
      </c>
      <c r="F361" s="2972">
        <v>0.115</v>
      </c>
      <c r="G361" s="2973">
        <v>0.15</v>
      </c>
    </row>
    <row r="362" spans="1:7">
      <c r="A362" s="2982" t="s">
        <v>2850</v>
      </c>
      <c r="B362" s="2971" t="s">
        <v>2883</v>
      </c>
      <c r="C362" s="2972">
        <v>0.15</v>
      </c>
      <c r="D362" s="2972">
        <v>0.15</v>
      </c>
      <c r="E362" s="2972">
        <v>0.15</v>
      </c>
      <c r="F362" s="2972">
        <v>0.106</v>
      </c>
      <c r="G362" s="2973">
        <v>0.15</v>
      </c>
    </row>
    <row r="363" spans="1:7">
      <c r="A363" s="2982" t="s">
        <v>2850</v>
      </c>
      <c r="B363" s="2971" t="s">
        <v>2888</v>
      </c>
      <c r="C363" s="2972">
        <v>0.15</v>
      </c>
      <c r="D363" s="2972">
        <v>0.15</v>
      </c>
      <c r="E363" s="2972">
        <v>0.15</v>
      </c>
      <c r="F363" s="2972">
        <v>0.14699999999999999</v>
      </c>
      <c r="G363" s="2973">
        <v>0.15</v>
      </c>
    </row>
    <row r="364" spans="1:7">
      <c r="A364" s="2982" t="s">
        <v>2850</v>
      </c>
      <c r="B364" s="2971" t="s">
        <v>2892</v>
      </c>
      <c r="C364" s="2972">
        <v>0.15</v>
      </c>
      <c r="D364" s="2972">
        <v>0.15</v>
      </c>
      <c r="E364" s="2972">
        <v>0.15</v>
      </c>
      <c r="F364" s="2972">
        <v>0.14799999999999999</v>
      </c>
      <c r="G364" s="2973">
        <v>0.15</v>
      </c>
    </row>
    <row r="365" spans="1:7">
      <c r="A365" s="2982" t="s">
        <v>2850</v>
      </c>
      <c r="B365" s="2971" t="s">
        <v>200</v>
      </c>
      <c r="C365" s="2972">
        <v>0.15</v>
      </c>
      <c r="D365" s="2972">
        <v>0.15</v>
      </c>
      <c r="E365" s="2972">
        <v>0.15</v>
      </c>
      <c r="F365" s="2972">
        <v>0.15</v>
      </c>
      <c r="G365" s="2973">
        <v>0.15</v>
      </c>
    </row>
    <row r="366" spans="1:7">
      <c r="A366" s="2982" t="s">
        <v>2850</v>
      </c>
      <c r="B366" s="2971" t="s">
        <v>2895</v>
      </c>
      <c r="C366" s="2972">
        <v>0.15</v>
      </c>
      <c r="D366" s="2972">
        <v>0.15</v>
      </c>
      <c r="E366" s="2972">
        <v>0.15</v>
      </c>
      <c r="F366" s="2972">
        <v>0.15</v>
      </c>
      <c r="G366" s="2973">
        <v>0.15</v>
      </c>
    </row>
    <row r="367" spans="1:7">
      <c r="A367" s="2982" t="s">
        <v>2850</v>
      </c>
      <c r="B367" s="2971" t="s">
        <v>2898</v>
      </c>
      <c r="C367" s="2972">
        <v>0.15</v>
      </c>
      <c r="D367" s="2972">
        <v>0.15</v>
      </c>
      <c r="E367" s="2972">
        <v>0.15</v>
      </c>
      <c r="F367" s="2972">
        <v>0.14699999999999999</v>
      </c>
      <c r="G367" s="2973">
        <v>0.15</v>
      </c>
    </row>
    <row r="368" spans="1:7">
      <c r="A368" s="2982" t="s">
        <v>2850</v>
      </c>
      <c r="B368" s="2971" t="s">
        <v>2903</v>
      </c>
      <c r="C368" s="2972">
        <v>0.15</v>
      </c>
      <c r="D368" s="2972">
        <v>0.15</v>
      </c>
      <c r="E368" s="2972">
        <v>0.15</v>
      </c>
      <c r="F368" s="2972">
        <v>0.13600000000000001</v>
      </c>
      <c r="G368" s="2973">
        <v>0.15</v>
      </c>
    </row>
    <row r="369" spans="1:7">
      <c r="A369" s="2982" t="s">
        <v>2850</v>
      </c>
      <c r="B369" s="2971" t="s">
        <v>214</v>
      </c>
      <c r="C369" s="2972">
        <v>0.15</v>
      </c>
      <c r="D369" s="2972">
        <v>0.15</v>
      </c>
      <c r="E369" s="2972">
        <v>0.15</v>
      </c>
      <c r="F369" s="2972">
        <v>0.14399999999999999</v>
      </c>
      <c r="G369" s="2973">
        <v>0.15</v>
      </c>
    </row>
    <row r="370" spans="1:7">
      <c r="A370" s="2982" t="s">
        <v>2850</v>
      </c>
      <c r="B370" s="2971" t="s">
        <v>221</v>
      </c>
      <c r="C370" s="2972">
        <v>0.15</v>
      </c>
      <c r="D370" s="2972">
        <v>0.15</v>
      </c>
      <c r="E370" s="2972">
        <v>0.15</v>
      </c>
      <c r="F370" s="2972">
        <v>0.14599999999999999</v>
      </c>
      <c r="G370" s="2973">
        <v>0.15</v>
      </c>
    </row>
    <row r="371" spans="1:7">
      <c r="A371" s="2982" t="s">
        <v>2850</v>
      </c>
      <c r="B371" s="2971" t="s">
        <v>229</v>
      </c>
      <c r="C371" s="2972">
        <v>0.15</v>
      </c>
      <c r="D371" s="2972">
        <v>0.15</v>
      </c>
      <c r="E371" s="2972">
        <v>0.15</v>
      </c>
      <c r="F371" s="2972">
        <v>0.12</v>
      </c>
      <c r="G371" s="2973">
        <v>0.15</v>
      </c>
    </row>
    <row r="372" spans="1:7">
      <c r="A372" s="2982" t="s">
        <v>2850</v>
      </c>
      <c r="B372" s="2971" t="s">
        <v>2911</v>
      </c>
      <c r="C372" s="2972">
        <v>0.15</v>
      </c>
      <c r="D372" s="2972">
        <v>0.15</v>
      </c>
      <c r="E372" s="2972">
        <v>0.15</v>
      </c>
      <c r="F372" s="2972">
        <v>0.14299999999999999</v>
      </c>
      <c r="G372" s="2973">
        <v>0.15</v>
      </c>
    </row>
    <row r="373" spans="1:7">
      <c r="A373" s="2982" t="s">
        <v>2850</v>
      </c>
      <c r="B373" s="2971" t="s">
        <v>258</v>
      </c>
      <c r="C373" s="2972">
        <v>0.15</v>
      </c>
      <c r="D373" s="2972">
        <v>0.15</v>
      </c>
      <c r="E373" s="2972">
        <v>0.15</v>
      </c>
      <c r="F373" s="2972">
        <v>0.14599999999999999</v>
      </c>
      <c r="G373" s="2973">
        <v>0.15</v>
      </c>
    </row>
    <row r="374" spans="1:7">
      <c r="A374" s="2982" t="s">
        <v>2850</v>
      </c>
      <c r="B374" s="2971" t="s">
        <v>266</v>
      </c>
      <c r="C374" s="2972">
        <v>0.15</v>
      </c>
      <c r="D374" s="2972">
        <v>0.15</v>
      </c>
      <c r="E374" s="2972">
        <v>0.15</v>
      </c>
      <c r="F374" s="2972">
        <v>0.14399999999999999</v>
      </c>
      <c r="G374" s="2973">
        <v>0.15</v>
      </c>
    </row>
    <row r="375" spans="1:7">
      <c r="A375" s="2982" t="s">
        <v>2850</v>
      </c>
      <c r="B375" s="2971" t="s">
        <v>2919</v>
      </c>
      <c r="C375" s="2972">
        <v>0.15</v>
      </c>
      <c r="D375" s="2972">
        <v>0.15</v>
      </c>
      <c r="E375" s="2972">
        <v>0.15</v>
      </c>
      <c r="F375" s="2972">
        <v>0.13</v>
      </c>
      <c r="G375" s="2973">
        <v>0.15</v>
      </c>
    </row>
    <row r="376" spans="1:7">
      <c r="A376" s="2982" t="s">
        <v>2850</v>
      </c>
      <c r="B376" s="2971" t="s">
        <v>277</v>
      </c>
      <c r="C376" s="2972">
        <v>0.15</v>
      </c>
      <c r="D376" s="2972">
        <v>0.15</v>
      </c>
      <c r="E376" s="2972">
        <v>0.15</v>
      </c>
      <c r="F376" s="2972">
        <v>0.14199999999999999</v>
      </c>
      <c r="G376" s="2973">
        <v>0.15</v>
      </c>
    </row>
    <row r="377" spans="1:7" ht="14.25" thickBot="1">
      <c r="A377" s="2985" t="s">
        <v>2850</v>
      </c>
      <c r="B377" s="2975" t="s">
        <v>2925</v>
      </c>
      <c r="C377" s="2976">
        <v>0.15</v>
      </c>
      <c r="D377" s="2976">
        <v>0.15</v>
      </c>
      <c r="E377" s="2976">
        <v>0.15</v>
      </c>
      <c r="F377" s="2976">
        <v>0.14000000000000001</v>
      </c>
      <c r="G377" s="2978">
        <v>0.15</v>
      </c>
    </row>
    <row r="378" spans="1:7">
      <c r="A378" s="2981" t="s">
        <v>2851</v>
      </c>
      <c r="B378" s="2967" t="s">
        <v>2865</v>
      </c>
      <c r="C378" s="2968">
        <v>0.15</v>
      </c>
      <c r="D378" s="2968">
        <v>0.15</v>
      </c>
      <c r="E378" s="2968">
        <v>0.15</v>
      </c>
      <c r="F378" s="2968">
        <v>0.107</v>
      </c>
      <c r="G378" s="2969">
        <v>0.15</v>
      </c>
    </row>
    <row r="379" spans="1:7">
      <c r="A379" s="2982" t="s">
        <v>2851</v>
      </c>
      <c r="B379" s="2971" t="s">
        <v>2871</v>
      </c>
      <c r="C379" s="2972">
        <v>0.15</v>
      </c>
      <c r="D379" s="2972">
        <v>0.15</v>
      </c>
      <c r="E379" s="2972">
        <v>0.15</v>
      </c>
      <c r="F379" s="2972">
        <v>0.115</v>
      </c>
      <c r="G379" s="2973">
        <v>0.14899999999999999</v>
      </c>
    </row>
    <row r="380" spans="1:7">
      <c r="A380" s="2982" t="s">
        <v>2851</v>
      </c>
      <c r="B380" s="2971" t="s">
        <v>2877</v>
      </c>
      <c r="C380" s="2972">
        <v>0.15</v>
      </c>
      <c r="D380" s="2972">
        <v>0.15</v>
      </c>
      <c r="E380" s="2972">
        <v>0.15</v>
      </c>
      <c r="F380" s="2972">
        <v>0.1</v>
      </c>
      <c r="G380" s="2973">
        <v>0.14799999999999999</v>
      </c>
    </row>
    <row r="381" spans="1:7">
      <c r="A381" s="2982" t="s">
        <v>2851</v>
      </c>
      <c r="B381" s="2971" t="s">
        <v>2880</v>
      </c>
      <c r="C381" s="2972">
        <v>0.15</v>
      </c>
      <c r="D381" s="2972">
        <v>0.15</v>
      </c>
      <c r="E381" s="2972">
        <v>0.15</v>
      </c>
      <c r="F381" s="2972">
        <v>0.126</v>
      </c>
      <c r="G381" s="2973">
        <v>0.15</v>
      </c>
    </row>
    <row r="382" spans="1:7">
      <c r="A382" s="2982" t="s">
        <v>2851</v>
      </c>
      <c r="B382" s="2971" t="s">
        <v>2884</v>
      </c>
      <c r="C382" s="2972">
        <v>0.15</v>
      </c>
      <c r="D382" s="2972">
        <v>0.15</v>
      </c>
      <c r="E382" s="2972">
        <v>0.15</v>
      </c>
      <c r="F382" s="2972">
        <v>0.15</v>
      </c>
      <c r="G382" s="2973">
        <v>0.15</v>
      </c>
    </row>
    <row r="383" spans="1:7">
      <c r="A383" s="2982" t="s">
        <v>2851</v>
      </c>
      <c r="B383" s="2971" t="s">
        <v>2889</v>
      </c>
      <c r="C383" s="2972">
        <v>0.15</v>
      </c>
      <c r="D383" s="2972">
        <v>0.15</v>
      </c>
      <c r="E383" s="2972">
        <v>0.15</v>
      </c>
      <c r="F383" s="2972">
        <v>0.14699999999999999</v>
      </c>
      <c r="G383" s="2973">
        <v>0.15</v>
      </c>
    </row>
    <row r="384" spans="1:7" ht="14.25" thickBot="1">
      <c r="A384" s="2992" t="s">
        <v>2851</v>
      </c>
      <c r="B384" s="2993" t="s">
        <v>2893</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7"/>
  </cols>
  <sheetData>
    <row r="1" spans="1:6" ht="14.25">
      <c r="A1" s="3514" t="s">
        <v>3232</v>
      </c>
      <c r="B1" s="3514"/>
      <c r="C1" s="3514"/>
      <c r="D1" s="3514"/>
      <c r="E1" s="3514"/>
      <c r="F1" s="3515"/>
    </row>
    <row r="2" spans="1:6" ht="14.25">
      <c r="A2" s="2996" t="s">
        <v>3233</v>
      </c>
    </row>
    <row r="3" spans="1:6" ht="14.25">
      <c r="A3" s="2996" t="s">
        <v>3234</v>
      </c>
      <c r="F3" s="2997" t="s">
        <v>3235</v>
      </c>
    </row>
    <row r="4" spans="1:6">
      <c r="A4" s="2998" t="s">
        <v>672</v>
      </c>
      <c r="B4" s="2998" t="s">
        <v>673</v>
      </c>
      <c r="C4" s="2998" t="s">
        <v>21</v>
      </c>
      <c r="D4" s="2998" t="s">
        <v>674</v>
      </c>
      <c r="E4" s="2998" t="s">
        <v>3</v>
      </c>
      <c r="F4" s="2998" t="s">
        <v>3236</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1">
        <f>基准地价修正!G23</f>
        <v>45583</v>
      </c>
      <c r="B1" s="2923" t="s">
        <v>2838</v>
      </c>
      <c r="C1" s="2924"/>
      <c r="D1" s="2924"/>
      <c r="E1" s="2924"/>
      <c r="F1" s="2924"/>
      <c r="G1" s="2924"/>
      <c r="H1" s="2924"/>
      <c r="I1" s="2924"/>
      <c r="J1" s="2890"/>
      <c r="K1" s="2924" t="s">
        <v>454</v>
      </c>
      <c r="L1" s="2924"/>
      <c r="M1" s="2924"/>
      <c r="N1" s="2924"/>
      <c r="O1" s="2924"/>
      <c r="P1" s="2924"/>
      <c r="Q1" s="2890"/>
      <c r="R1" s="3516" t="s">
        <v>456</v>
      </c>
      <c r="S1" s="3517"/>
      <c r="T1" s="3517"/>
      <c r="U1" s="3517"/>
      <c r="V1" s="3517"/>
      <c r="W1" s="3517"/>
      <c r="X1" s="2890"/>
      <c r="Y1" s="3516" t="s">
        <v>457</v>
      </c>
      <c r="Z1" s="3517"/>
      <c r="AA1" s="3517"/>
      <c r="AB1" s="3517"/>
      <c r="AC1" s="3517"/>
      <c r="AD1" s="3517"/>
    </row>
    <row r="2" spans="1:30" s="2005" customFormat="1" ht="14.25" thickBot="1">
      <c r="B2" s="2875"/>
      <c r="C2" s="2876"/>
      <c r="D2" s="2006" t="s">
        <v>2808</v>
      </c>
      <c r="E2" s="2007" t="s">
        <v>2809</v>
      </c>
      <c r="F2" s="2007" t="s">
        <v>2810</v>
      </c>
      <c r="G2" s="2007" t="s">
        <v>2811</v>
      </c>
      <c r="H2" s="2007" t="s">
        <v>2812</v>
      </c>
      <c r="I2" s="2007" t="s">
        <v>2629</v>
      </c>
      <c r="J2" s="2877"/>
      <c r="K2" s="2006" t="s">
        <v>2808</v>
      </c>
      <c r="L2" s="2007" t="s">
        <v>2809</v>
      </c>
      <c r="M2" s="2007" t="s">
        <v>2810</v>
      </c>
      <c r="N2" s="2007" t="s">
        <v>2811</v>
      </c>
      <c r="O2" s="2007" t="s">
        <v>2813</v>
      </c>
      <c r="P2" s="2007" t="s">
        <v>2629</v>
      </c>
      <c r="Q2" s="2877"/>
      <c r="R2" s="2006" t="s">
        <v>2808</v>
      </c>
      <c r="S2" s="2007" t="s">
        <v>2809</v>
      </c>
      <c r="T2" s="2007" t="s">
        <v>2810</v>
      </c>
      <c r="U2" s="2007" t="s">
        <v>2814</v>
      </c>
      <c r="V2" s="2007" t="s">
        <v>2815</v>
      </c>
      <c r="W2" s="2007" t="s">
        <v>2629</v>
      </c>
      <c r="X2" s="2877"/>
      <c r="Y2" s="2006" t="s">
        <v>2808</v>
      </c>
      <c r="Z2" s="2007" t="s">
        <v>2809</v>
      </c>
      <c r="AA2" s="2007" t="s">
        <v>2810</v>
      </c>
      <c r="AB2" s="2007" t="s">
        <v>2816</v>
      </c>
      <c r="AC2" s="2007" t="s">
        <v>2815</v>
      </c>
      <c r="AD2" s="2007" t="s">
        <v>2629</v>
      </c>
    </row>
    <row r="3" spans="1:30" s="2880" customFormat="1" ht="12.75">
      <c r="A3" s="2878" t="s">
        <v>2817</v>
      </c>
      <c r="B3" s="2879"/>
      <c r="D3" s="2880">
        <f>ROUND(AVERAGEIF(D4:D16,"&lt;&gt;0"),2)</f>
        <v>0.82</v>
      </c>
      <c r="E3" s="2880">
        <f>ROUND(AVERAGEIF(E4:E16,"&lt;&gt;0"),2)</f>
        <v>0.38</v>
      </c>
      <c r="F3" s="2880">
        <f>ROUND(AVERAGEIF(F4:F16,"&lt;&gt;0"),2)</f>
        <v>0.2</v>
      </c>
      <c r="G3" s="2880">
        <f>ROUND(AVERAGEIF(G4:G16,"&lt;&gt;0"),2)</f>
        <v>0.89</v>
      </c>
      <c r="H3" s="2880">
        <f>ROUND(AVERAGEIF(H4:H16,"&lt;&gt;0"),2)</f>
        <v>0.64</v>
      </c>
      <c r="I3" s="2880">
        <f>F3</f>
        <v>0.2</v>
      </c>
      <c r="J3" s="2881"/>
      <c r="K3" s="2882">
        <f>ROUND(AVERAGEIF(K4:K16,"&lt;&gt;0"),4)</f>
        <v>8.2000000000000007E-3</v>
      </c>
      <c r="L3" s="2883">
        <f>ROUND(AVERAGEIF(L4:L16,"&lt;&gt;0"),4)</f>
        <v>3.8E-3</v>
      </c>
      <c r="M3" s="2883">
        <f>ROUND(AVERAGEIF(M4:M16,"&lt;&gt;0"),4)</f>
        <v>2E-3</v>
      </c>
      <c r="N3" s="2883">
        <f>ROUND(AVERAGEIF(N4:N16,"&lt;&gt;0"),4)</f>
        <v>8.8999999999999999E-3</v>
      </c>
      <c r="O3" s="2883">
        <f>ROUND(AVERAGEIF(O4:O16,"&lt;&gt;0"),4)</f>
        <v>6.4000000000000003E-3</v>
      </c>
      <c r="P3" s="2883">
        <f>M3</f>
        <v>2E-3</v>
      </c>
      <c r="Q3" s="2881"/>
      <c r="R3" s="2884">
        <f>ROUND(SUMPRODUCT(PRODUCT(1+K4:K16)),4)</f>
        <v>1.0763</v>
      </c>
      <c r="S3" s="2885">
        <f>ROUND(SUMPRODUCT(PRODUCT(1+L4:L16)),4)</f>
        <v>1.0343</v>
      </c>
      <c r="T3" s="2885">
        <f>ROUND(SUMPRODUCT(PRODUCT(1+M4:M16)),4)</f>
        <v>1.0177</v>
      </c>
      <c r="U3" s="2885">
        <f>ROUND(SUMPRODUCT(PRODUCT(1+N4:N16)),4)</f>
        <v>1.0833999999999999</v>
      </c>
      <c r="V3" s="2885">
        <f>ROUND(SUMPRODUCT(PRODUCT(1+O4:O16)),4)</f>
        <v>1.0592999999999999</v>
      </c>
      <c r="W3" s="2884">
        <f>T3</f>
        <v>1.0177</v>
      </c>
      <c r="X3" s="2881"/>
      <c r="Y3" s="2886">
        <f>ROUND(AVERAGEIF(Y5:Y16,"&lt;&gt;0"),4)</f>
        <v>8.6999999999999994E-3</v>
      </c>
      <c r="Z3" s="2887">
        <f>ROUND(AVERAGEIF(Z5:Z16,"&lt;&gt;0"),4)</f>
        <v>3.5000000000000001E-3</v>
      </c>
      <c r="AA3" s="2888">
        <f>ROUND(AVERAGEIF(AA5:AA16,"&lt;&gt;0"),4)</f>
        <v>8.9999999999999998E-4</v>
      </c>
      <c r="AB3" s="2886">
        <f>ROUND(AVERAGEIF(AB5:AB16,"&lt;&gt;0"),4)</f>
        <v>9.4999999999999998E-3</v>
      </c>
      <c r="AC3" s="2889">
        <f>ROUND(AVERAGEIF(AC5:AC16,"&lt;&gt;0"),4)</f>
        <v>6.1000000000000004E-3</v>
      </c>
      <c r="AD3" s="2886">
        <f>AA3</f>
        <v>8.9999999999999998E-4</v>
      </c>
    </row>
    <row r="4" spans="1:30" s="2004" customFormat="1" ht="12.75">
      <c r="B4" s="2020"/>
      <c r="J4" s="2890"/>
      <c r="K4" s="2891"/>
      <c r="L4" s="2892"/>
      <c r="M4" s="2892"/>
      <c r="N4" s="2892"/>
      <c r="O4" s="2892"/>
      <c r="P4" s="2892"/>
      <c r="Q4" s="2890"/>
      <c r="R4" s="2022"/>
      <c r="S4" s="2893"/>
      <c r="T4" s="2894"/>
      <c r="U4" s="2022"/>
      <c r="V4" s="2895"/>
      <c r="W4" s="2022"/>
      <c r="X4" s="2890"/>
      <c r="Y4" s="2023"/>
      <c r="Z4" s="2896"/>
      <c r="AA4" s="2897"/>
      <c r="AB4" s="2023"/>
      <c r="AC4" s="2898"/>
      <c r="AD4" s="2023"/>
    </row>
    <row r="5" spans="1:30" s="2040" customFormat="1" ht="12.75">
      <c r="A5" s="2899" t="s">
        <v>3369</v>
      </c>
      <c r="B5" s="2026">
        <v>2023</v>
      </c>
      <c r="C5" s="2037">
        <v>4</v>
      </c>
      <c r="D5" s="2002">
        <v>0</v>
      </c>
      <c r="E5" s="2002">
        <v>0</v>
      </c>
      <c r="F5" s="2002">
        <v>0</v>
      </c>
      <c r="G5" s="2002">
        <v>0</v>
      </c>
      <c r="H5" s="2002">
        <v>0</v>
      </c>
      <c r="I5" s="2003">
        <f t="shared" ref="I5:I16" si="0">F5</f>
        <v>0</v>
      </c>
      <c r="J5" s="2900"/>
      <c r="K5" s="2038">
        <f t="shared" ref="K5:O16" si="1">D5/100</f>
        <v>0</v>
      </c>
      <c r="L5" s="2023">
        <f t="shared" si="1"/>
        <v>0</v>
      </c>
      <c r="M5" s="2023">
        <f t="shared" si="1"/>
        <v>0</v>
      </c>
      <c r="N5" s="2023">
        <f t="shared" si="1"/>
        <v>0</v>
      </c>
      <c r="O5" s="2023">
        <f t="shared" si="1"/>
        <v>0</v>
      </c>
      <c r="P5" s="2023">
        <f>M5</f>
        <v>0</v>
      </c>
      <c r="Q5" s="2900"/>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0"/>
      <c r="Y5" s="2023">
        <f>IF(D5=0,0,ROUND(AVERAGE(D5:D16)/100,4))</f>
        <v>0</v>
      </c>
      <c r="Z5" s="2023">
        <f>IF(E5=0,0,ROUND(AVERAGE(E5:E16)/100,4))</f>
        <v>0</v>
      </c>
      <c r="AA5" s="2023">
        <f>IF(F5=0,0,ROUND(AVERAGE(F5:F16)/100,4))</f>
        <v>0</v>
      </c>
      <c r="AB5" s="2023">
        <f>IF(G5=0,0,ROUND(AVERAGE(G5:G16)/100,4))</f>
        <v>0</v>
      </c>
      <c r="AC5" s="2023">
        <f>IF(H5=0,0,ROUND(AVERAGE(H5:H16)/100,4))</f>
        <v>0</v>
      </c>
      <c r="AD5" s="2023">
        <f t="shared" ref="AD5:AD15" si="2">AA5</f>
        <v>0</v>
      </c>
    </row>
    <row r="6" spans="1:30" s="2040" customFormat="1" ht="12.75">
      <c r="A6" s="2899" t="s">
        <v>3370</v>
      </c>
      <c r="B6" s="2026">
        <v>2023</v>
      </c>
      <c r="C6" s="2037">
        <v>3</v>
      </c>
      <c r="D6" s="2002">
        <v>0</v>
      </c>
      <c r="E6" s="2002">
        <v>0</v>
      </c>
      <c r="F6" s="2002">
        <v>0</v>
      </c>
      <c r="G6" s="2002">
        <v>0</v>
      </c>
      <c r="H6" s="2002">
        <v>0</v>
      </c>
      <c r="I6" s="2003">
        <f t="shared" si="0"/>
        <v>0</v>
      </c>
      <c r="J6" s="2900"/>
      <c r="K6" s="2038">
        <f t="shared" ref="K6:O8" si="3">D6/100</f>
        <v>0</v>
      </c>
      <c r="L6" s="2023">
        <f t="shared" si="3"/>
        <v>0</v>
      </c>
      <c r="M6" s="2023">
        <f t="shared" si="3"/>
        <v>0</v>
      </c>
      <c r="N6" s="2023">
        <f t="shared" si="3"/>
        <v>0</v>
      </c>
      <c r="O6" s="2023">
        <f t="shared" si="3"/>
        <v>0</v>
      </c>
      <c r="P6" s="2023">
        <f>M6</f>
        <v>0</v>
      </c>
      <c r="Q6" s="2900"/>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T6</f>
        <v>1.0203</v>
      </c>
      <c r="X6" s="2900"/>
      <c r="Y6" s="2023"/>
      <c r="Z6" s="2023"/>
      <c r="AA6" s="2023"/>
      <c r="AB6" s="2023"/>
      <c r="AC6" s="2023"/>
      <c r="AD6" s="2023"/>
    </row>
    <row r="7" spans="1:30" s="2040" customFormat="1" ht="12.75">
      <c r="A7" s="2899" t="s">
        <v>3368</v>
      </c>
      <c r="B7" s="2026">
        <v>2023</v>
      </c>
      <c r="C7" s="2037">
        <v>2</v>
      </c>
      <c r="D7" s="2002">
        <v>0</v>
      </c>
      <c r="E7" s="2002">
        <v>0</v>
      </c>
      <c r="F7" s="2002">
        <v>0</v>
      </c>
      <c r="G7" s="2002">
        <v>0</v>
      </c>
      <c r="H7" s="2002">
        <v>0</v>
      </c>
      <c r="I7" s="2003">
        <f t="shared" si="0"/>
        <v>0</v>
      </c>
      <c r="J7" s="2900"/>
      <c r="K7" s="2038">
        <f t="shared" si="3"/>
        <v>0</v>
      </c>
      <c r="L7" s="2023">
        <f t="shared" si="3"/>
        <v>0</v>
      </c>
      <c r="M7" s="2023">
        <f t="shared" si="3"/>
        <v>0</v>
      </c>
      <c r="N7" s="2023">
        <f t="shared" si="3"/>
        <v>0</v>
      </c>
      <c r="O7" s="2023">
        <f t="shared" si="3"/>
        <v>0</v>
      </c>
      <c r="P7" s="2023">
        <f>M7</f>
        <v>0</v>
      </c>
      <c r="Q7" s="2900"/>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T7</f>
        <v>1.0203</v>
      </c>
      <c r="X7" s="2900"/>
      <c r="Y7" s="2023"/>
      <c r="Z7" s="2023"/>
      <c r="AA7" s="2023"/>
      <c r="AB7" s="2023"/>
      <c r="AC7" s="2023"/>
      <c r="AD7" s="2023"/>
    </row>
    <row r="8" spans="1:30" s="2910" customFormat="1" ht="12.75">
      <c r="A8" s="2901" t="s">
        <v>3371</v>
      </c>
      <c r="B8" s="2902">
        <v>2023</v>
      </c>
      <c r="C8" s="2903">
        <v>1</v>
      </c>
      <c r="D8" s="2904">
        <v>0.89</v>
      </c>
      <c r="E8" s="2904">
        <v>0.74</v>
      </c>
      <c r="F8" s="2904">
        <v>0.56999999999999995</v>
      </c>
      <c r="G8" s="2904">
        <v>0.92</v>
      </c>
      <c r="H8" s="2905">
        <v>0.5</v>
      </c>
      <c r="I8" s="2906">
        <f t="shared" si="0"/>
        <v>0.56999999999999995</v>
      </c>
      <c r="J8" s="2907"/>
      <c r="K8" s="2908">
        <f t="shared" si="3"/>
        <v>8.8999999999999999E-3</v>
      </c>
      <c r="L8" s="2909">
        <f t="shared" si="3"/>
        <v>7.4000000000000003E-3</v>
      </c>
      <c r="M8" s="2909">
        <f t="shared" si="3"/>
        <v>5.6999999999999993E-3</v>
      </c>
      <c r="N8" s="2909">
        <f t="shared" si="3"/>
        <v>9.1999999999999998E-3</v>
      </c>
      <c r="O8" s="2909">
        <f t="shared" si="3"/>
        <v>5.0000000000000001E-3</v>
      </c>
      <c r="P8" s="2909">
        <f>M8</f>
        <v>5.6999999999999993E-3</v>
      </c>
      <c r="Q8" s="2907"/>
      <c r="R8" s="2907">
        <f>ROUND(IF(项目基本情况!$B$8="出让",SUMPRODUCT(PRODUCT(1+K8:$K$16)),SUMPRODUCT(PRODUCT(1+K8:$K$15))),4)</f>
        <v>1.0659000000000001</v>
      </c>
      <c r="S8" s="2907">
        <f>ROUND(IF(项目基本情况!$B$8="出让",SUMPRODUCT(PRODUCT(1+L8:$L$16)),SUMPRODUCT(PRODUCT(1+L8:$L$15))),4)</f>
        <v>1.0326</v>
      </c>
      <c r="T8" s="2907">
        <f>ROUND(IF(项目基本情况!$B$8="出让",SUMPRODUCT(PRODUCT(1+M8:$M$16)),SUMPRODUCT(PRODUCT(1+M8:$M$15))),4)</f>
        <v>1.0203</v>
      </c>
      <c r="U8" s="2907">
        <f>ROUND(IF(项目基本情况!$B$8="出让",SUMPRODUCT(PRODUCT(1+N8:$N$16)),SUMPRODUCT(PRODUCT(1+N8:$N$15))),4)</f>
        <v>1.0714999999999999</v>
      </c>
      <c r="V8" s="2907">
        <f>ROUND(IF(项目基本情况!$B$8="出让",SUMPRODUCT(PRODUCT(1+O8:$O$16)),SUMPRODUCT(PRODUCT(1+O8:$O$15))),4)</f>
        <v>1.0555000000000001</v>
      </c>
      <c r="W8" s="2907">
        <f>T8</f>
        <v>1.0203</v>
      </c>
      <c r="X8" s="2907"/>
      <c r="Y8" s="2909"/>
      <c r="Z8" s="2909"/>
      <c r="AA8" s="2909"/>
      <c r="AB8" s="2909"/>
      <c r="AC8" s="2909"/>
      <c r="AD8" s="2909"/>
    </row>
    <row r="9" spans="1:30" s="2040" customFormat="1" ht="12.75">
      <c r="A9" s="2899" t="s">
        <v>3372</v>
      </c>
      <c r="B9" s="2026">
        <v>2022</v>
      </c>
      <c r="C9" s="2037">
        <v>4</v>
      </c>
      <c r="D9" s="2002">
        <v>0.62</v>
      </c>
      <c r="E9" s="2002">
        <v>0.2</v>
      </c>
      <c r="F9" s="2002">
        <v>0.11</v>
      </c>
      <c r="G9" s="2002">
        <v>0.69</v>
      </c>
      <c r="H9" s="2911">
        <v>0.53</v>
      </c>
      <c r="I9" s="2003">
        <f t="shared" si="0"/>
        <v>0.11</v>
      </c>
      <c r="J9" s="2900"/>
      <c r="K9" s="2038">
        <f t="shared" si="1"/>
        <v>6.1999999999999998E-3</v>
      </c>
      <c r="L9" s="2023">
        <f t="shared" si="1"/>
        <v>2E-3</v>
      </c>
      <c r="M9" s="2023">
        <f t="shared" si="1"/>
        <v>1.1000000000000001E-3</v>
      </c>
      <c r="N9" s="2023">
        <f t="shared" si="1"/>
        <v>6.8999999999999999E-3</v>
      </c>
      <c r="O9" s="2023">
        <f t="shared" si="1"/>
        <v>5.3E-3</v>
      </c>
      <c r="P9" s="2023">
        <f t="shared" ref="P9:P16" si="4">M9</f>
        <v>1.1000000000000001E-3</v>
      </c>
      <c r="Q9" s="2900"/>
      <c r="R9" s="2022">
        <f>ROUND(IF([2]项目基本情况!B8="出让",SUMPRODUCT(PRODUCT(1+K9:K16)),SUMPRODUCT(PRODUCT(1+K9:K15))),4)</f>
        <v>1.0565</v>
      </c>
      <c r="S9" s="2022">
        <f>ROUND(IF([2]项目基本情况!B8="出让",SUMPRODUCT(PRODUCT(1+L9:L16)),SUMPRODUCT(PRODUCT(1+L9:L15))),4)</f>
        <v>1.0250999999999999</v>
      </c>
      <c r="T9" s="2022">
        <f>ROUND(IF([2]项目基本情况!B8="出让",SUMPRODUCT(PRODUCT(1+M9:M16)),SUMPRODUCT(PRODUCT(1+M9:M15))),4)</f>
        <v>1.0145</v>
      </c>
      <c r="U9" s="2022">
        <f>ROUND(IF([2]项目基本情况!B8="出让",SUMPRODUCT(PRODUCT(1+N9:N16)),SUMPRODUCT(PRODUCT(1+N9:N15))),4)</f>
        <v>1.0618000000000001</v>
      </c>
      <c r="V9" s="2022">
        <f>ROUND(IF([2]项目基本情况!B8="出让",SUMPRODUCT(PRODUCT(1+O9:O16)),SUMPRODUCT(PRODUCT(1+O9:O15))),4)</f>
        <v>1.0502</v>
      </c>
      <c r="W9" s="2022">
        <f t="shared" ref="W9:W16" si="5">T9</f>
        <v>1.0145</v>
      </c>
      <c r="X9" s="2900"/>
      <c r="Y9" s="2023">
        <f>IF(D9=0,0,ROUND(AVERAGE(D9:D17)/100,4))</f>
        <v>8.0999999999999996E-3</v>
      </c>
      <c r="Z9" s="2023">
        <f>IF(E9=0,0,ROUND(AVERAGE(E9:E16)/100,4))</f>
        <v>3.3E-3</v>
      </c>
      <c r="AA9" s="2023">
        <f>IF(F9=0,0,ROUND(AVERAGE(F9:F16)/100,4))</f>
        <v>1.5E-3</v>
      </c>
      <c r="AB9" s="2023">
        <f>IF(G9=0,0,ROUND(AVERAGE(G9:G16)/100,4))</f>
        <v>8.8999999999999999E-3</v>
      </c>
      <c r="AC9" s="2023">
        <f>IF(H9=0,0,ROUND(AVERAGE(H9:H16)/100,4))</f>
        <v>6.6E-3</v>
      </c>
      <c r="AD9" s="2023">
        <f t="shared" si="2"/>
        <v>1.5E-3</v>
      </c>
    </row>
    <row r="10" spans="1:30" s="2040" customFormat="1" ht="12.75">
      <c r="A10" s="2899" t="s">
        <v>3364</v>
      </c>
      <c r="B10" s="2026">
        <v>2022</v>
      </c>
      <c r="C10" s="2037">
        <v>3</v>
      </c>
      <c r="D10" s="2002">
        <v>0.66</v>
      </c>
      <c r="E10" s="2002">
        <v>0.32</v>
      </c>
      <c r="F10" s="2002">
        <v>0.23</v>
      </c>
      <c r="G10" s="2002">
        <v>0.72</v>
      </c>
      <c r="H10" s="2911">
        <v>0.63</v>
      </c>
      <c r="I10" s="2003">
        <f t="shared" si="0"/>
        <v>0.23</v>
      </c>
      <c r="J10" s="2900"/>
      <c r="K10" s="2038">
        <f t="shared" si="1"/>
        <v>6.6E-3</v>
      </c>
      <c r="L10" s="2023">
        <f t="shared" si="1"/>
        <v>3.2000000000000002E-3</v>
      </c>
      <c r="M10" s="2023">
        <f t="shared" si="1"/>
        <v>2.3E-3</v>
      </c>
      <c r="N10" s="2023">
        <f t="shared" si="1"/>
        <v>7.1999999999999998E-3</v>
      </c>
      <c r="O10" s="2023">
        <f t="shared" si="1"/>
        <v>6.3E-3</v>
      </c>
      <c r="P10" s="2023">
        <f t="shared" si="4"/>
        <v>2.3E-3</v>
      </c>
      <c r="Q10" s="2900"/>
      <c r="R10" s="2022">
        <f>ROUND(IF([2]项目基本情况!B8="出让",SUMPRODUCT(PRODUCT(1+K10:K16)),SUMPRODUCT(PRODUCT(1+K10:K15))),4)</f>
        <v>1.05</v>
      </c>
      <c r="S10" s="2022">
        <f>ROUND(IF([2]项目基本情况!B8="出让",SUMPRODUCT(PRODUCT(1+L10:L16)),SUMPRODUCT(PRODUCT(1+L10:L15))),4)</f>
        <v>1.0229999999999999</v>
      </c>
      <c r="T10" s="2022">
        <f>ROUND(IF([2]项目基本情况!B8="出让",SUMPRODUCT(PRODUCT(1+M10:M16)),SUMPRODUCT(PRODUCT(1+M10:M15))),4)</f>
        <v>1.0134000000000001</v>
      </c>
      <c r="U10" s="2022">
        <f>ROUND(IF([2]项目基本情况!B8="出让",SUMPRODUCT(PRODUCT(1+N10:N16)),SUMPRODUCT(PRODUCT(1+N10:N15))),4)</f>
        <v>1.0545</v>
      </c>
      <c r="V10" s="2022">
        <f>ROUND(IF([2]项目基本情况!B8="出让",SUMPRODUCT(PRODUCT(1+O10:O16)),SUMPRODUCT(PRODUCT(1+O10:O15))),4)</f>
        <v>1.0447</v>
      </c>
      <c r="W10" s="2022">
        <f t="shared" si="5"/>
        <v>1.0134000000000001</v>
      </c>
      <c r="X10" s="2900"/>
      <c r="Y10" s="2023">
        <f>IF(D10=0,0,ROUND(AVERAGE(D10:D16)/100,4))</f>
        <v>8.3999999999999995E-3</v>
      </c>
      <c r="Z10" s="2023">
        <f>IF(E10=0,0,ROUND(AVERAGE(E10:E16)/100,4))</f>
        <v>3.5000000000000001E-3</v>
      </c>
      <c r="AA10" s="2023">
        <f>IF(F10=0,0,ROUND(AVERAGE(F10:F16)/100,4))</f>
        <v>1.5E-3</v>
      </c>
      <c r="AB10" s="2023">
        <f>IF(G10=0,0,ROUND(AVERAGE(G10:G16)/100,4))</f>
        <v>9.1999999999999998E-3</v>
      </c>
      <c r="AC10" s="2023">
        <f>IF(H10=0,0,ROUND(AVERAGE(H10:H16)/100,4))</f>
        <v>6.7999999999999996E-3</v>
      </c>
      <c r="AD10" s="2023">
        <f t="shared" si="2"/>
        <v>1.5E-3</v>
      </c>
    </row>
    <row r="11" spans="1:30" s="2040" customFormat="1" ht="12.75">
      <c r="A11" s="2899" t="s">
        <v>3355</v>
      </c>
      <c r="B11" s="2026">
        <v>2022</v>
      </c>
      <c r="C11" s="2037">
        <v>2</v>
      </c>
      <c r="D11" s="2002">
        <v>0.93</v>
      </c>
      <c r="E11" s="2002">
        <v>0.15</v>
      </c>
      <c r="F11" s="2002">
        <v>0.01</v>
      </c>
      <c r="G11" s="2002">
        <v>1.05</v>
      </c>
      <c r="H11" s="2911">
        <v>1.08</v>
      </c>
      <c r="I11" s="2003">
        <f t="shared" si="0"/>
        <v>0.01</v>
      </c>
      <c r="J11" s="2900"/>
      <c r="K11" s="2038">
        <f t="shared" si="1"/>
        <v>9.300000000000001E-3</v>
      </c>
      <c r="L11" s="2023">
        <f t="shared" si="1"/>
        <v>1.5E-3</v>
      </c>
      <c r="M11" s="2023">
        <f t="shared" si="1"/>
        <v>1E-4</v>
      </c>
      <c r="N11" s="2023">
        <f t="shared" si="1"/>
        <v>1.0500000000000001E-2</v>
      </c>
      <c r="O11" s="2023">
        <f t="shared" si="1"/>
        <v>1.0800000000000001E-2</v>
      </c>
      <c r="P11" s="2023">
        <f t="shared" si="4"/>
        <v>1E-4</v>
      </c>
      <c r="Q11" s="2900"/>
      <c r="R11" s="2022">
        <f>ROUND(IF([2]项目基本情况!B8="出让",SUMPRODUCT(PRODUCT(1+K11:K16)),SUMPRODUCT(PRODUCT(1+K11:K15))),4)</f>
        <v>1.0430999999999999</v>
      </c>
      <c r="S11" s="2022">
        <f>ROUND(IF([2]项目基本情况!B8="出让",SUMPRODUCT(PRODUCT(1+L11:L16)),SUMPRODUCT(PRODUCT(1+L11:L15))),4)</f>
        <v>1.0197000000000001</v>
      </c>
      <c r="T11" s="2022">
        <f>ROUND(IF([2]项目基本情况!B8="出让",SUMPRODUCT(PRODUCT(1+M11:M16)),SUMPRODUCT(PRODUCT(1+M11:M15))),4)</f>
        <v>1.0109999999999999</v>
      </c>
      <c r="U11" s="2022">
        <f>ROUND(IF([2]项目基本情况!B8="出让",SUMPRODUCT(PRODUCT(1+N11:N16)),SUMPRODUCT(PRODUCT(1+N11:N15))),4)</f>
        <v>1.0468999999999999</v>
      </c>
      <c r="V11" s="2022">
        <f>ROUND(IF([2]项目基本情况!B8="出让",SUMPRODUCT(PRODUCT(1+O11:O16)),SUMPRODUCT(PRODUCT(1+O11:O15))),4)</f>
        <v>1.0382</v>
      </c>
      <c r="W11" s="2022">
        <f t="shared" si="5"/>
        <v>1.0109999999999999</v>
      </c>
      <c r="X11" s="2900"/>
      <c r="Y11" s="2023">
        <f>IF(D11=0,0,ROUND(AVERAGE(D11:D16)/100,4))</f>
        <v>8.6999999999999994E-3</v>
      </c>
      <c r="Z11" s="2023">
        <f>IF(E11=0,0,ROUND(AVERAGE(E11:E16)/100,4))</f>
        <v>3.5000000000000001E-3</v>
      </c>
      <c r="AA11" s="2023">
        <f>IF(F11=0,0,ROUND(AVERAGE(F11:F16)/100,4))</f>
        <v>1.4E-3</v>
      </c>
      <c r="AB11" s="2023">
        <f>IF(G11=0,0,ROUND(AVERAGE(G11:G16)/100,4))</f>
        <v>9.4999999999999998E-3</v>
      </c>
      <c r="AC11" s="2023">
        <f>IF(H11=0,0,ROUND(AVERAGE(H11:H16)/100,4))</f>
        <v>6.8999999999999999E-3</v>
      </c>
      <c r="AD11" s="2023">
        <f t="shared" si="2"/>
        <v>1.4E-3</v>
      </c>
    </row>
    <row r="12" spans="1:30" s="2040" customFormat="1" ht="12.75">
      <c r="A12" s="2899" t="s">
        <v>2818</v>
      </c>
      <c r="B12" s="2026">
        <v>2022</v>
      </c>
      <c r="C12" s="2037">
        <v>1</v>
      </c>
      <c r="D12" s="2002">
        <v>0.89</v>
      </c>
      <c r="E12" s="2002">
        <v>0.44</v>
      </c>
      <c r="F12" s="2002">
        <v>0.37</v>
      </c>
      <c r="G12" s="2002">
        <v>0.96</v>
      </c>
      <c r="H12" s="2911">
        <v>0.64</v>
      </c>
      <c r="I12" s="2003">
        <f t="shared" si="0"/>
        <v>0.37</v>
      </c>
      <c r="J12" s="2900"/>
      <c r="K12" s="2038">
        <f t="shared" si="1"/>
        <v>8.8999999999999999E-3</v>
      </c>
      <c r="L12" s="2023">
        <f t="shared" si="1"/>
        <v>4.4000000000000003E-3</v>
      </c>
      <c r="M12" s="2023">
        <f t="shared" si="1"/>
        <v>3.7000000000000002E-3</v>
      </c>
      <c r="N12" s="2023">
        <f t="shared" si="1"/>
        <v>9.5999999999999992E-3</v>
      </c>
      <c r="O12" s="2023">
        <f t="shared" si="1"/>
        <v>6.4000000000000003E-3</v>
      </c>
      <c r="P12" s="2023">
        <f t="shared" si="4"/>
        <v>3.7000000000000002E-3</v>
      </c>
      <c r="Q12" s="2900"/>
      <c r="R12" s="2022">
        <f>ROUND(IF([2]项目基本情况!B8="出让",SUMPRODUCT(PRODUCT(1+K12:K16)),SUMPRODUCT(PRODUCT(1+K12:K15))),4)</f>
        <v>1.0335000000000001</v>
      </c>
      <c r="S12" s="2022">
        <f>ROUND(IF([2]项目基本情况!B8="出让",SUMPRODUCT(PRODUCT(1+L12:L16)),SUMPRODUCT(PRODUCT(1+L12:L15))),4)</f>
        <v>1.0182</v>
      </c>
      <c r="T12" s="2022">
        <f>ROUND(IF([2]项目基本情况!B8="出让",SUMPRODUCT(PRODUCT(1+M12:M16)),SUMPRODUCT(PRODUCT(1+M12:M15))),4)</f>
        <v>1.0108999999999999</v>
      </c>
      <c r="U12" s="2022">
        <f>ROUND(IF([2]项目基本情况!B8="出让",SUMPRODUCT(PRODUCT(1+N12:N16)),SUMPRODUCT(PRODUCT(1+N12:N15))),4)</f>
        <v>1.0361</v>
      </c>
      <c r="V12" s="2022">
        <f>ROUND(IF([2]项目基本情况!B8="出让",SUMPRODUCT(PRODUCT(1+O12:O16)),SUMPRODUCT(PRODUCT(1+O12:O15))),4)</f>
        <v>1.0270999999999999</v>
      </c>
      <c r="W12" s="2022">
        <f t="shared" si="5"/>
        <v>1.0108999999999999</v>
      </c>
      <c r="X12" s="2900"/>
      <c r="Y12" s="2023">
        <f>IF(D12=0,0,ROUND(AVERAGE(D12:D16)/100,4))</f>
        <v>8.6E-3</v>
      </c>
      <c r="Z12" s="2023">
        <f>IF(E12=0,0,ROUND(AVERAGE(E12:E16)/100,4))</f>
        <v>3.8999999999999998E-3</v>
      </c>
      <c r="AA12" s="2023">
        <f>IF(F12=0,0,ROUND(AVERAGE(F12:F16)/100,4))</f>
        <v>1.6999999999999999E-3</v>
      </c>
      <c r="AB12" s="2023">
        <f>IF(G12=0,0,ROUND(AVERAGE(G12:G16)/100,4))</f>
        <v>9.2999999999999992E-3</v>
      </c>
      <c r="AC12" s="2023">
        <f>IF(H12=0,0,ROUND(AVERAGE(H12:H16)/100,4))</f>
        <v>6.1000000000000004E-3</v>
      </c>
      <c r="AD12" s="2023">
        <f t="shared" si="2"/>
        <v>1.6999999999999999E-3</v>
      </c>
    </row>
    <row r="13" spans="1:30" s="2040" customFormat="1" ht="12.75">
      <c r="A13" s="2899" t="s">
        <v>2819</v>
      </c>
      <c r="B13" s="2026">
        <v>2021</v>
      </c>
      <c r="C13" s="2037">
        <v>4</v>
      </c>
      <c r="D13" s="2002">
        <v>1.03</v>
      </c>
      <c r="E13" s="2002">
        <v>0.24</v>
      </c>
      <c r="F13" s="2002">
        <v>7.0000000000000007E-2</v>
      </c>
      <c r="G13" s="2002">
        <v>1.17</v>
      </c>
      <c r="H13" s="2911">
        <v>0.55000000000000004</v>
      </c>
      <c r="I13" s="2003">
        <f t="shared" si="0"/>
        <v>7.0000000000000007E-2</v>
      </c>
      <c r="J13" s="2900"/>
      <c r="K13" s="2038">
        <f t="shared" si="1"/>
        <v>1.03E-2</v>
      </c>
      <c r="L13" s="2023">
        <f t="shared" si="1"/>
        <v>2.3999999999999998E-3</v>
      </c>
      <c r="M13" s="2023">
        <f t="shared" si="1"/>
        <v>7.000000000000001E-4</v>
      </c>
      <c r="N13" s="2023">
        <f t="shared" si="1"/>
        <v>1.1699999999999999E-2</v>
      </c>
      <c r="O13" s="2023">
        <f t="shared" si="1"/>
        <v>5.5000000000000005E-3</v>
      </c>
      <c r="P13" s="2023">
        <f t="shared" si="4"/>
        <v>7.000000000000001E-4</v>
      </c>
      <c r="Q13" s="2900"/>
      <c r="R13" s="2022">
        <f>ROUND(IF([2]项目基本情况!B8="出让",SUMPRODUCT(PRODUCT(1+K13:K16)),SUMPRODUCT(PRODUCT(1+K13:K15))),4)</f>
        <v>1.0244</v>
      </c>
      <c r="S13" s="2022">
        <f>ROUND(IF([2]项目基本情况!B8="出让",SUMPRODUCT(PRODUCT(1+L13:L16)),SUMPRODUCT(PRODUCT(1+L13:L15))),4)</f>
        <v>1.0138</v>
      </c>
      <c r="T13" s="2022">
        <f>ROUND(IF([2]项目基本情况!B8="出让",SUMPRODUCT(PRODUCT(1+M13:M16)),SUMPRODUCT(PRODUCT(1+M13:M15))),4)</f>
        <v>1.0072000000000001</v>
      </c>
      <c r="U13" s="2022">
        <f>ROUND(IF([2]项目基本情况!B8="出让",SUMPRODUCT(PRODUCT(1+N13:N16)),SUMPRODUCT(PRODUCT(1+N13:N15))),4)</f>
        <v>1.0262</v>
      </c>
      <c r="V13" s="2022">
        <f>ROUND(IF([2]项目基本情况!B8="出让",SUMPRODUCT(PRODUCT(1+O13:O16)),SUMPRODUCT(PRODUCT(1+O13:O15))),4)</f>
        <v>1.0205</v>
      </c>
      <c r="W13" s="2022">
        <f t="shared" si="5"/>
        <v>1.0072000000000001</v>
      </c>
      <c r="X13" s="2900"/>
      <c r="Y13" s="2023">
        <f>IF(D13=0,0,ROUND(AVERAGE(D13:D16)/100,4))</f>
        <v>8.5000000000000006E-3</v>
      </c>
      <c r="Z13" s="2023">
        <f>IF(E13=0,0,ROUND(AVERAGE(E13:E16)/100,4))</f>
        <v>3.8E-3</v>
      </c>
      <c r="AA13" s="2023">
        <f>IF(F13=0,0,ROUND(AVERAGE(F13:F16)/100,4))</f>
        <v>1.1999999999999999E-3</v>
      </c>
      <c r="AB13" s="2023">
        <f>IF(G13=0,0,ROUND(AVERAGE(G13:G16)/100,4))</f>
        <v>9.2999999999999992E-3</v>
      </c>
      <c r="AC13" s="2023">
        <f>IF(H13=0,0,ROUND(AVERAGE(H13:H16)/100,4))</f>
        <v>6.0000000000000001E-3</v>
      </c>
      <c r="AD13" s="2023">
        <f t="shared" si="2"/>
        <v>1.1999999999999999E-3</v>
      </c>
    </row>
    <row r="14" spans="1:30" s="2040" customFormat="1" ht="12.75">
      <c r="A14" s="2899" t="s">
        <v>2820</v>
      </c>
      <c r="B14" s="2026">
        <v>2021</v>
      </c>
      <c r="C14" s="2037">
        <v>3</v>
      </c>
      <c r="D14" s="2002">
        <v>0.47</v>
      </c>
      <c r="E14" s="2002">
        <v>0.41</v>
      </c>
      <c r="F14" s="2002">
        <v>0.24</v>
      </c>
      <c r="G14" s="2002">
        <v>0.48</v>
      </c>
      <c r="H14" s="2911">
        <v>0.48</v>
      </c>
      <c r="I14" s="2003">
        <f t="shared" si="0"/>
        <v>0.24</v>
      </c>
      <c r="J14" s="2900"/>
      <c r="K14" s="2038">
        <f t="shared" si="1"/>
        <v>4.6999999999999993E-3</v>
      </c>
      <c r="L14" s="2023">
        <f t="shared" si="1"/>
        <v>4.0999999999999995E-3</v>
      </c>
      <c r="M14" s="2023">
        <f t="shared" si="1"/>
        <v>2.3999999999999998E-3</v>
      </c>
      <c r="N14" s="2023">
        <f t="shared" si="1"/>
        <v>4.7999999999999996E-3</v>
      </c>
      <c r="O14" s="2023">
        <f t="shared" si="1"/>
        <v>4.7999999999999996E-3</v>
      </c>
      <c r="P14" s="2023">
        <f t="shared" si="4"/>
        <v>2.3999999999999998E-3</v>
      </c>
      <c r="Q14" s="2900"/>
      <c r="R14" s="2022">
        <f>ROUND(IF([2]项目基本情况!B8="出让",SUMPRODUCT(PRODUCT(1+K14:K16)),SUMPRODUCT(PRODUCT(1+K14:K15))),4)</f>
        <v>1.0139</v>
      </c>
      <c r="S14" s="2022">
        <f>ROUND(IF([2]项目基本情况!B8="出让",SUMPRODUCT(PRODUCT(1+L14:L16)),SUMPRODUCT(PRODUCT(1+L14:L15))),4)</f>
        <v>1.0113000000000001</v>
      </c>
      <c r="T14" s="2022">
        <f>ROUND(IF([2]项目基本情况!B8="出让",SUMPRODUCT(PRODUCT(1+M14:M16)),SUMPRODUCT(PRODUCT(1+M14:M15))),4)</f>
        <v>1.0065</v>
      </c>
      <c r="U14" s="2022">
        <f>ROUND(IF([2]项目基本情况!B8="出让",SUMPRODUCT(PRODUCT(1+N14:N16)),SUMPRODUCT(PRODUCT(1+N14:N15))),4)</f>
        <v>1.0143</v>
      </c>
      <c r="V14" s="2022">
        <f>ROUND(IF([2]项目基本情况!B8="出让",SUMPRODUCT(PRODUCT(1+O14:O16)),SUMPRODUCT(PRODUCT(1+O14:O15))),4)</f>
        <v>1.0148999999999999</v>
      </c>
      <c r="W14" s="2022">
        <f t="shared" si="5"/>
        <v>1.0065</v>
      </c>
      <c r="X14" s="2900"/>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2"/>
        <v>1.2999999999999999E-3</v>
      </c>
    </row>
    <row r="15" spans="1:30" s="2040" customFormat="1" ht="12.75">
      <c r="A15" s="2899" t="s">
        <v>2821</v>
      </c>
      <c r="B15" s="2026">
        <v>2021</v>
      </c>
      <c r="C15" s="2037">
        <v>2</v>
      </c>
      <c r="D15" s="2002">
        <v>0.92</v>
      </c>
      <c r="E15" s="2002">
        <v>0.72</v>
      </c>
      <c r="F15" s="2002">
        <v>0.41</v>
      </c>
      <c r="G15" s="2002">
        <v>0.95</v>
      </c>
      <c r="H15" s="2911">
        <v>1.01</v>
      </c>
      <c r="I15" s="2003">
        <f t="shared" si="0"/>
        <v>0.41</v>
      </c>
      <c r="J15" s="2900"/>
      <c r="K15" s="2038">
        <f t="shared" si="1"/>
        <v>9.1999999999999998E-3</v>
      </c>
      <c r="L15" s="2023">
        <f t="shared" si="1"/>
        <v>7.1999999999999998E-3</v>
      </c>
      <c r="M15" s="2023">
        <f t="shared" si="1"/>
        <v>4.0999999999999995E-3</v>
      </c>
      <c r="N15" s="2023">
        <f t="shared" si="1"/>
        <v>9.4999999999999998E-3</v>
      </c>
      <c r="O15" s="2023">
        <f t="shared" si="1"/>
        <v>1.01E-2</v>
      </c>
      <c r="P15" s="2023">
        <f t="shared" si="4"/>
        <v>4.0999999999999995E-3</v>
      </c>
      <c r="Q15" s="2900"/>
      <c r="R15" s="2022">
        <f>ROUND(IF([2]项目基本情况!B8="出让",SUMPRODUCT(PRODUCT(1+K15:K16)),SUMPRODUCT(PRODUCT(1+K15:K15))),4)</f>
        <v>1.0092000000000001</v>
      </c>
      <c r="S15" s="2022">
        <f>ROUND(IF([2]项目基本情况!B8="出让",SUMPRODUCT(PRODUCT(1+L15:L16)),SUMPRODUCT(PRODUCT(1+L15:L15))),4)</f>
        <v>1.0072000000000001</v>
      </c>
      <c r="T15" s="2022">
        <f>ROUND(IF([2]项目基本情况!B8="出让",SUMPRODUCT(PRODUCT(1+M15:M16)),SUMPRODUCT(PRODUCT(1+M15:M15))),4)</f>
        <v>1.0041</v>
      </c>
      <c r="U15" s="2022">
        <f>ROUND(IF([2]项目基本情况!B8="出让",SUMPRODUCT(PRODUCT(1+N15:N16)),SUMPRODUCT(PRODUCT(1+N15:N15))),4)</f>
        <v>1.0095000000000001</v>
      </c>
      <c r="V15" s="2022">
        <f>ROUND(IF([2]项目基本情况!B8="出让",SUMPRODUCT(PRODUCT(1+O15:O16)),SUMPRODUCT(PRODUCT(1+O15:O15))),4)</f>
        <v>1.0101</v>
      </c>
      <c r="W15" s="2022">
        <f t="shared" si="5"/>
        <v>1.0041</v>
      </c>
      <c r="X15" s="2900"/>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2"/>
        <v>8.0000000000000004E-4</v>
      </c>
    </row>
    <row r="16" spans="1:30" s="2922" customFormat="1" thickBot="1">
      <c r="A16" s="2912" t="s">
        <v>2822</v>
      </c>
      <c r="B16" s="2913">
        <v>2021</v>
      </c>
      <c r="C16" s="2914">
        <v>1</v>
      </c>
      <c r="D16" s="2915">
        <v>0.97</v>
      </c>
      <c r="E16" s="2915">
        <v>0.16</v>
      </c>
      <c r="F16" s="2915">
        <v>-0.25</v>
      </c>
      <c r="G16" s="2915">
        <v>1.1100000000000001</v>
      </c>
      <c r="H16" s="2916">
        <v>0.36</v>
      </c>
      <c r="I16" s="2917">
        <f t="shared" si="0"/>
        <v>-0.25</v>
      </c>
      <c r="J16" s="2918"/>
      <c r="K16" s="2919">
        <f t="shared" si="1"/>
        <v>9.7000000000000003E-3</v>
      </c>
      <c r="L16" s="2920">
        <f t="shared" si="1"/>
        <v>1.6000000000000001E-3</v>
      </c>
      <c r="M16" s="2920">
        <f>F16/100</f>
        <v>-2.5000000000000001E-3</v>
      </c>
      <c r="N16" s="2920">
        <f t="shared" si="1"/>
        <v>1.11E-2</v>
      </c>
      <c r="O16" s="2920">
        <f t="shared" si="1"/>
        <v>3.5999999999999999E-3</v>
      </c>
      <c r="P16" s="2920">
        <f t="shared" si="4"/>
        <v>-2.5000000000000001E-3</v>
      </c>
      <c r="Q16" s="2918"/>
      <c r="R16" s="2921">
        <v>1</v>
      </c>
      <c r="S16" s="2921">
        <v>1</v>
      </c>
      <c r="T16" s="2921">
        <v>1</v>
      </c>
      <c r="U16" s="2921">
        <v>1</v>
      </c>
      <c r="V16" s="2921">
        <v>1</v>
      </c>
      <c r="W16" s="2921">
        <f t="shared" si="5"/>
        <v>1</v>
      </c>
      <c r="X16" s="2918"/>
      <c r="Y16" s="2920">
        <f>IF(D16=0,0,ROUND(AVERAGE(D16:D16)/100,4))</f>
        <v>9.7000000000000003E-3</v>
      </c>
      <c r="Z16" s="2920">
        <f>IF(E16=0,0,ROUND(AVERAGE(E16:E16)/100,4))</f>
        <v>1.6000000000000001E-3</v>
      </c>
      <c r="AA16" s="2920">
        <f>IF(F16=0,0,ROUND(AVERAGE(F16:F16)/100,4))</f>
        <v>-2.5000000000000001E-3</v>
      </c>
      <c r="AB16" s="2920">
        <f>IF(G16=0,0,ROUND(AVERAGE(G16:G16)/100,4))</f>
        <v>1.11E-2</v>
      </c>
      <c r="AC16" s="2920">
        <f>IF(H16=0,0,ROUND(AVERAGE(H16:H16)/100,4))</f>
        <v>3.5999999999999999E-3</v>
      </c>
      <c r="AD16" s="2920">
        <f>AA16</f>
        <v>-2.5000000000000001E-3</v>
      </c>
    </row>
    <row r="17" spans="1:30" ht="14.25" thickTop="1"/>
    <row r="18" spans="1:30">
      <c r="A18" s="3137" t="s">
        <v>3366</v>
      </c>
    </row>
    <row r="19" spans="1:30">
      <c r="I19" s="1403" t="s">
        <v>2823</v>
      </c>
    </row>
    <row r="21" spans="1:30" s="2004" customFormat="1" ht="12.75">
      <c r="B21" s="2923" t="s">
        <v>2824</v>
      </c>
      <c r="C21" s="2924"/>
      <c r="D21" s="2924"/>
      <c r="E21" s="2924"/>
      <c r="F21" s="2924"/>
      <c r="G21" s="2924"/>
      <c r="H21" s="2924"/>
      <c r="I21" s="2924"/>
      <c r="J21" s="2890"/>
      <c r="K21" s="2924" t="s">
        <v>2825</v>
      </c>
      <c r="L21" s="2924"/>
      <c r="M21" s="2924"/>
      <c r="N21" s="2924"/>
      <c r="O21" s="2924"/>
      <c r="P21" s="2924"/>
      <c r="Q21" s="2890"/>
      <c r="R21" s="3516" t="s">
        <v>2826</v>
      </c>
      <c r="S21" s="3517"/>
      <c r="T21" s="3517"/>
      <c r="U21" s="3517"/>
      <c r="V21" s="3517"/>
      <c r="W21" s="3517"/>
      <c r="X21" s="2890"/>
      <c r="Y21" s="3516" t="s">
        <v>2827</v>
      </c>
      <c r="Z21" s="3517"/>
      <c r="AA21" s="3517"/>
      <c r="AB21" s="3517"/>
      <c r="AC21" s="3517"/>
      <c r="AD21" s="3517"/>
    </row>
    <row r="22" spans="1:30" s="2005" customFormat="1" ht="14.25" thickBot="1">
      <c r="B22" s="2875"/>
      <c r="C22" s="2876"/>
      <c r="D22" s="2006" t="s">
        <v>2828</v>
      </c>
      <c r="E22" s="2007" t="s">
        <v>2829</v>
      </c>
      <c r="F22" s="2007" t="s">
        <v>2830</v>
      </c>
      <c r="G22" s="2007" t="s">
        <v>2831</v>
      </c>
      <c r="H22" s="2007"/>
      <c r="I22" s="2007" t="s">
        <v>2832</v>
      </c>
      <c r="J22" s="2877"/>
      <c r="K22" s="2006" t="s">
        <v>2828</v>
      </c>
      <c r="L22" s="2007" t="s">
        <v>2829</v>
      </c>
      <c r="M22" s="2007" t="s">
        <v>2830</v>
      </c>
      <c r="N22" s="2007" t="s">
        <v>2831</v>
      </c>
      <c r="O22" s="2007"/>
      <c r="P22" s="2007" t="s">
        <v>2832</v>
      </c>
      <c r="Q22" s="2877"/>
      <c r="R22" s="2006" t="s">
        <v>2828</v>
      </c>
      <c r="S22" s="2007" t="s">
        <v>2829</v>
      </c>
      <c r="T22" s="2007" t="s">
        <v>2830</v>
      </c>
      <c r="U22" s="2007" t="s">
        <v>2831</v>
      </c>
      <c r="V22" s="2007"/>
      <c r="W22" s="2007" t="s">
        <v>2832</v>
      </c>
      <c r="X22" s="2877"/>
      <c r="Y22" s="2006" t="s">
        <v>2828</v>
      </c>
      <c r="Z22" s="2007" t="s">
        <v>2829</v>
      </c>
      <c r="AA22" s="2007" t="s">
        <v>2830</v>
      </c>
      <c r="AB22" s="2007" t="s">
        <v>2831</v>
      </c>
      <c r="AC22" s="2007"/>
      <c r="AD22" s="2007" t="s">
        <v>2832</v>
      </c>
    </row>
    <row r="23" spans="1:30" s="2880" customFormat="1" ht="12.75">
      <c r="A23" s="2878" t="s">
        <v>2833</v>
      </c>
      <c r="B23" s="2879"/>
      <c r="E23" s="2880">
        <f>ROUND(AVERAGEIF(E24:E36,"&lt;&gt;0"),2)</f>
        <v>0.42</v>
      </c>
      <c r="F23" s="2880">
        <f>ROUND(AVERAGEIF(F24:F36,"&lt;&gt;0"),2)</f>
        <v>0.3</v>
      </c>
      <c r="G23" s="2880">
        <f>ROUND(AVERAGEIF(G24:G36,"&lt;&gt;0"),2)</f>
        <v>0.73</v>
      </c>
      <c r="I23" s="2880">
        <f>F23</f>
        <v>0.3</v>
      </c>
      <c r="J23" s="2881"/>
      <c r="K23" s="2882"/>
      <c r="L23" s="2883">
        <f>ROUND(AVERAGEIF(L24:L36,"&lt;&gt;0"),4)</f>
        <v>4.1999999999999997E-3</v>
      </c>
      <c r="M23" s="2883">
        <f>ROUND(AVERAGEIF(M24:M36,"&lt;&gt;0"),4)</f>
        <v>3.0000000000000001E-3</v>
      </c>
      <c r="N23" s="2883">
        <f>ROUND(AVERAGEIF(N24:N36,"&lt;&gt;0"),4)</f>
        <v>7.3000000000000001E-3</v>
      </c>
      <c r="O23" s="2883"/>
      <c r="P23" s="2883">
        <f>M23</f>
        <v>3.0000000000000001E-3</v>
      </c>
      <c r="Q23" s="2881"/>
      <c r="R23" s="2884"/>
      <c r="S23" s="2885">
        <f>ROUND(SUMPRODUCT(PRODUCT(1+L24:L36)),4)</f>
        <v>1.038</v>
      </c>
      <c r="T23" s="2885">
        <f>ROUND(SUMPRODUCT(PRODUCT(1+M24:M36)),4)</f>
        <v>1.0273000000000001</v>
      </c>
      <c r="U23" s="2885">
        <f>ROUND(SUMPRODUCT(PRODUCT(1+N24:N36)),4)</f>
        <v>1.0677000000000001</v>
      </c>
      <c r="V23" s="2885"/>
      <c r="W23" s="2884">
        <f>T23</f>
        <v>1.0273000000000001</v>
      </c>
      <c r="X23" s="2881"/>
      <c r="Y23" s="2886"/>
      <c r="Z23" s="2887">
        <f>ROUND(AVERAGEIF(Z24:Z36,"&lt;&gt;0"),4)</f>
        <v>4.3E-3</v>
      </c>
      <c r="AA23" s="2888">
        <f>ROUND(AVERAGEIF(AA24:AA36,"&lt;&gt;0"),4)</f>
        <v>3.5999999999999999E-3</v>
      </c>
      <c r="AB23" s="2886">
        <f>ROUND(AVERAGEIF(AB24:AB36,"&lt;&gt;0"),4)</f>
        <v>8.8999999999999999E-3</v>
      </c>
      <c r="AC23" s="2889"/>
      <c r="AD23" s="2886">
        <f>AA23</f>
        <v>3.5999999999999999E-3</v>
      </c>
    </row>
    <row r="24" spans="1:30" s="2004" customFormat="1" ht="12.75">
      <c r="B24" s="2020"/>
      <c r="J24" s="2890"/>
      <c r="K24" s="2891"/>
      <c r="L24" s="2892"/>
      <c r="M24" s="2892"/>
      <c r="N24" s="2892"/>
      <c r="O24" s="2892"/>
      <c r="P24" s="2892"/>
      <c r="Q24" s="2890"/>
      <c r="R24" s="2022"/>
      <c r="S24" s="2893"/>
      <c r="T24" s="2894"/>
      <c r="U24" s="2022"/>
      <c r="V24" s="2895"/>
      <c r="W24" s="2022"/>
      <c r="X24" s="2890"/>
      <c r="Y24" s="2023"/>
      <c r="Z24" s="2896"/>
      <c r="AA24" s="2897"/>
      <c r="AB24" s="2023"/>
      <c r="AC24" s="2898"/>
      <c r="AD24" s="2023"/>
    </row>
    <row r="25" spans="1:30" s="2040" customFormat="1" ht="12.75">
      <c r="A25" s="2899" t="s">
        <v>3369</v>
      </c>
      <c r="B25" s="2026">
        <v>2023</v>
      </c>
      <c r="C25" s="2037">
        <v>4</v>
      </c>
      <c r="D25" s="2002"/>
      <c r="E25" s="2002">
        <v>0</v>
      </c>
      <c r="F25" s="2002">
        <v>0</v>
      </c>
      <c r="G25" s="2002">
        <v>0</v>
      </c>
      <c r="H25" s="2002"/>
      <c r="I25" s="2003">
        <f t="shared" ref="I25:I36" si="6">F25</f>
        <v>0</v>
      </c>
      <c r="J25" s="2900"/>
      <c r="K25" s="2038"/>
      <c r="L25" s="2023">
        <f t="shared" ref="L25:N36" si="7">E25/100</f>
        <v>0</v>
      </c>
      <c r="M25" s="2023">
        <f t="shared" si="7"/>
        <v>0</v>
      </c>
      <c r="N25" s="2023">
        <f t="shared" si="7"/>
        <v>0</v>
      </c>
      <c r="O25" s="2023"/>
      <c r="P25" s="2023">
        <f>M25</f>
        <v>0</v>
      </c>
      <c r="Q25" s="2900"/>
      <c r="R25" s="2022"/>
      <c r="S25" s="2022">
        <f>ROUND(IF([2]项目基本情况!$B$8="出让",SUMPRODUCT(PRODUCT(1+L25:L$36)),SUMPRODUCT(PRODUCT(1+L25:L$35))),4)</f>
        <v>1.0344</v>
      </c>
      <c r="T25" s="2022">
        <f>ROUND(IF([2]项目基本情况!$B$8="出让",SUMPRODUCT(PRODUCT(1+M25:M$36)),SUMPRODUCT(PRODUCT(1+M25:M$35))),4)</f>
        <v>1.0224</v>
      </c>
      <c r="U25" s="2022">
        <f>ROUND(IF([2]项目基本情况!$B$8="出让",SUMPRODUCT(PRODUCT(1+N25:N$36)),SUMPRODUCT(PRODUCT(1+N25:N$35))),4)</f>
        <v>1.0573999999999999</v>
      </c>
      <c r="V25" s="2022"/>
      <c r="W25" s="2022">
        <f>T25</f>
        <v>1.0224</v>
      </c>
      <c r="X25" s="2900"/>
      <c r="Y25" s="2023"/>
      <c r="Z25" s="2896">
        <f>IF(E25=0,0,ROUND(AVERAGE(E25:E36)/100,4))</f>
        <v>0</v>
      </c>
      <c r="AA25" s="2896">
        <f>IF(F25=0,0,ROUND(AVERAGE(F25:F36)/100,4))</f>
        <v>0</v>
      </c>
      <c r="AB25" s="2896">
        <f>IF(G25=0,0,ROUND(AVERAGE(G25:G36)/100,4))</f>
        <v>0</v>
      </c>
      <c r="AC25" s="2898"/>
      <c r="AD25" s="2023">
        <f>IF(I25=0,0,ROUND(AVERAGE(I25:I36)/100,4))</f>
        <v>0</v>
      </c>
    </row>
    <row r="26" spans="1:30" s="2040" customFormat="1" ht="12.75">
      <c r="A26" s="2899" t="s">
        <v>3370</v>
      </c>
      <c r="B26" s="2026">
        <v>2023</v>
      </c>
      <c r="C26" s="2037">
        <v>3</v>
      </c>
      <c r="D26" s="2002"/>
      <c r="E26" s="2002">
        <v>0</v>
      </c>
      <c r="F26" s="2002">
        <v>0</v>
      </c>
      <c r="G26" s="2002">
        <v>0</v>
      </c>
      <c r="H26" s="2911"/>
      <c r="I26" s="2003">
        <f t="shared" si="6"/>
        <v>0</v>
      </c>
      <c r="J26" s="2900"/>
      <c r="K26" s="2038"/>
      <c r="L26" s="2023">
        <f t="shared" ref="L26:N28" si="8">E26/100</f>
        <v>0</v>
      </c>
      <c r="M26" s="2023">
        <f t="shared" si="8"/>
        <v>0</v>
      </c>
      <c r="N26" s="2023">
        <f t="shared" si="8"/>
        <v>0</v>
      </c>
      <c r="O26" s="2023"/>
      <c r="P26" s="2023">
        <f>M26</f>
        <v>0</v>
      </c>
      <c r="Q26" s="2900"/>
      <c r="R26" s="2022"/>
      <c r="S26" s="2022">
        <f>ROUND(IF([2]项目基本情况!$B$8="出让",SUMPRODUCT(PRODUCT(1+L26:L$36)),SUMPRODUCT(PRODUCT(1+L26:L$35))),4)</f>
        <v>1.0344</v>
      </c>
      <c r="T26" s="2022">
        <f>ROUND(IF([2]项目基本情况!$B$8="出让",SUMPRODUCT(PRODUCT(1+M26:M$36)),SUMPRODUCT(PRODUCT(1+M26:M$35))),4)</f>
        <v>1.0224</v>
      </c>
      <c r="U26" s="2022">
        <f>ROUND(IF([2]项目基本情况!$B$8="出让",SUMPRODUCT(PRODUCT(1+N26:N$36)),SUMPRODUCT(PRODUCT(1+N26:N$35))),4)</f>
        <v>1.0573999999999999</v>
      </c>
      <c r="V26" s="2022"/>
      <c r="W26" s="2022">
        <f>T26</f>
        <v>1.0224</v>
      </c>
      <c r="X26" s="2900"/>
      <c r="Y26" s="2023"/>
      <c r="Z26" s="2896"/>
      <c r="AA26" s="2023"/>
      <c r="AB26" s="2023"/>
      <c r="AC26" s="2898"/>
      <c r="AD26" s="2023"/>
    </row>
    <row r="27" spans="1:30" s="2040" customFormat="1" ht="12.75">
      <c r="A27" s="2899" t="s">
        <v>3368</v>
      </c>
      <c r="B27" s="2026">
        <v>2023</v>
      </c>
      <c r="C27" s="2037">
        <v>2</v>
      </c>
      <c r="D27" s="2002"/>
      <c r="E27" s="2002">
        <v>0</v>
      </c>
      <c r="F27" s="2002">
        <v>0</v>
      </c>
      <c r="G27" s="2002">
        <v>0</v>
      </c>
      <c r="H27" s="2911"/>
      <c r="I27" s="2003">
        <f t="shared" si="6"/>
        <v>0</v>
      </c>
      <c r="J27" s="2900"/>
      <c r="K27" s="2038"/>
      <c r="L27" s="2023">
        <f t="shared" si="8"/>
        <v>0</v>
      </c>
      <c r="M27" s="2023">
        <f t="shared" si="8"/>
        <v>0</v>
      </c>
      <c r="N27" s="2023">
        <f t="shared" si="8"/>
        <v>0</v>
      </c>
      <c r="O27" s="2023"/>
      <c r="P27" s="2023">
        <f>M27</f>
        <v>0</v>
      </c>
      <c r="Q27" s="2900"/>
      <c r="R27" s="2022"/>
      <c r="S27" s="2022">
        <f>ROUND(IF([2]项目基本情况!$B$8="出让",SUMPRODUCT(PRODUCT(1+L27:L$36)),SUMPRODUCT(PRODUCT(1+L27:L$35))),4)</f>
        <v>1.0344</v>
      </c>
      <c r="T27" s="2022">
        <f>ROUND(IF([2]项目基本情况!$B$8="出让",SUMPRODUCT(PRODUCT(1+M27:M$36)),SUMPRODUCT(PRODUCT(1+M27:M$35))),4)</f>
        <v>1.0224</v>
      </c>
      <c r="U27" s="2022">
        <f>ROUND(IF([2]项目基本情况!$B$8="出让",SUMPRODUCT(PRODUCT(1+N27:N$36)),SUMPRODUCT(PRODUCT(1+N27:N$35))),4)</f>
        <v>1.0573999999999999</v>
      </c>
      <c r="V27" s="2022"/>
      <c r="W27" s="2022">
        <f>T27</f>
        <v>1.0224</v>
      </c>
      <c r="X27" s="2900"/>
      <c r="Y27" s="2023"/>
      <c r="Z27" s="2896"/>
      <c r="AA27" s="2023"/>
      <c r="AB27" s="2023"/>
      <c r="AC27" s="2898"/>
      <c r="AD27" s="2023"/>
    </row>
    <row r="28" spans="1:30" s="2910" customFormat="1" ht="12.75">
      <c r="A28" s="2901" t="s">
        <v>3371</v>
      </c>
      <c r="B28" s="2902">
        <v>2023</v>
      </c>
      <c r="C28" s="2903">
        <v>1</v>
      </c>
      <c r="D28" s="2904"/>
      <c r="E28" s="2904">
        <v>0.55000000000000004</v>
      </c>
      <c r="F28" s="2904">
        <v>0.59</v>
      </c>
      <c r="G28" s="2904">
        <v>0.64</v>
      </c>
      <c r="H28" s="2905"/>
      <c r="I28" s="2906">
        <f t="shared" si="6"/>
        <v>0.59</v>
      </c>
      <c r="J28" s="2907"/>
      <c r="K28" s="2908"/>
      <c r="L28" s="2909">
        <f t="shared" si="8"/>
        <v>5.5000000000000005E-3</v>
      </c>
      <c r="M28" s="2909">
        <f t="shared" si="8"/>
        <v>5.8999999999999999E-3</v>
      </c>
      <c r="N28" s="2909">
        <f t="shared" si="8"/>
        <v>6.4000000000000003E-3</v>
      </c>
      <c r="O28" s="2909"/>
      <c r="P28" s="2909">
        <f>M28</f>
        <v>5.8999999999999999E-3</v>
      </c>
      <c r="Q28" s="2907"/>
      <c r="R28" s="2907"/>
      <c r="S28" s="2907">
        <f>ROUND(IF([2]项目基本情况!$B$8="出让",SUMPRODUCT(PRODUCT(1+L28:L$36)),SUMPRODUCT(PRODUCT(1+L28:L$35))),4)</f>
        <v>1.0344</v>
      </c>
      <c r="T28" s="2907">
        <f>ROUND(IF([2]项目基本情况!$B$8="出让",SUMPRODUCT(PRODUCT(1+M28:M$36)),SUMPRODUCT(PRODUCT(1+M28:M$35))),4)</f>
        <v>1.0224</v>
      </c>
      <c r="U28" s="2907">
        <f>ROUND(IF([2]项目基本情况!$B$8="出让",SUMPRODUCT(PRODUCT(1+N28:N$36)),SUMPRODUCT(PRODUCT(1+N28:N$35))),4)</f>
        <v>1.0573999999999999</v>
      </c>
      <c r="V28" s="2907"/>
      <c r="W28" s="2907">
        <f>T28</f>
        <v>1.0224</v>
      </c>
      <c r="X28" s="2907"/>
      <c r="Y28" s="2909"/>
      <c r="Z28" s="2925"/>
      <c r="AA28" s="2926"/>
      <c r="AB28" s="2909"/>
      <c r="AC28" s="2927"/>
      <c r="AD28" s="2909"/>
    </row>
    <row r="29" spans="1:30" s="2040" customFormat="1" ht="12.75">
      <c r="A29" s="2899" t="s">
        <v>3372</v>
      </c>
      <c r="B29" s="2026">
        <v>2022</v>
      </c>
      <c r="C29" s="2037">
        <v>4</v>
      </c>
      <c r="D29" s="2002"/>
      <c r="E29" s="2002">
        <v>0.45</v>
      </c>
      <c r="F29" s="2002">
        <v>0.2</v>
      </c>
      <c r="G29" s="2002">
        <v>0.38</v>
      </c>
      <c r="H29" s="2911"/>
      <c r="I29" s="2003">
        <f t="shared" si="6"/>
        <v>0.2</v>
      </c>
      <c r="J29" s="2900"/>
      <c r="K29" s="2038"/>
      <c r="L29" s="2023">
        <f t="shared" si="7"/>
        <v>4.5000000000000005E-3</v>
      </c>
      <c r="M29" s="2023">
        <f t="shared" si="7"/>
        <v>2E-3</v>
      </c>
      <c r="N29" s="2023">
        <f t="shared" si="7"/>
        <v>3.8E-3</v>
      </c>
      <c r="O29" s="2023"/>
      <c r="P29" s="2023">
        <f t="shared" ref="P29:P36" si="9">M29</f>
        <v>2E-3</v>
      </c>
      <c r="Q29" s="2900"/>
      <c r="R29" s="2022"/>
      <c r="S29" s="2022">
        <f>ROUND(IF([2]项目基本情况!$B$8="出让",SUMPRODUCT(PRODUCT(1+L29:L$36)),SUMPRODUCT(PRODUCT(1+L29:L$35))),4)</f>
        <v>1.0286999999999999</v>
      </c>
      <c r="T29" s="2022">
        <f>ROUND(IF([2]项目基本情况!$B$8="出让",SUMPRODUCT(PRODUCT(1+M29:M$36)),SUMPRODUCT(PRODUCT(1+M29:M$35))),4)</f>
        <v>1.0164</v>
      </c>
      <c r="U29" s="2022">
        <f>ROUND(IF([2]项目基本情况!$B$8="出让",SUMPRODUCT(PRODUCT(1+N29:N$36)),SUMPRODUCT(PRODUCT(1+N29:N$35))),4)</f>
        <v>1.0506</v>
      </c>
      <c r="V29" s="2022"/>
      <c r="W29" s="2022">
        <f t="shared" ref="W29:W36" si="10">T29</f>
        <v>1.0164</v>
      </c>
      <c r="X29" s="2900"/>
      <c r="Y29" s="2023"/>
      <c r="Z29" s="2896">
        <f t="shared" ref="Z29:AD36" si="11">IF(E29=0,0,ROUND(AVERAGE(E29:E37)/100,4))</f>
        <v>4.0000000000000001E-3</v>
      </c>
      <c r="AA29" s="2897">
        <f t="shared" si="11"/>
        <v>2.5999999999999999E-3</v>
      </c>
      <c r="AB29" s="2023">
        <f t="shared" si="11"/>
        <v>7.4000000000000003E-3</v>
      </c>
      <c r="AC29" s="2898"/>
      <c r="AD29" s="2023">
        <f t="shared" si="11"/>
        <v>2.5999999999999999E-3</v>
      </c>
    </row>
    <row r="30" spans="1:30" s="2040" customFormat="1" ht="12.75">
      <c r="A30" s="2899" t="s">
        <v>3365</v>
      </c>
      <c r="B30" s="2026">
        <v>2022</v>
      </c>
      <c r="C30" s="2037">
        <v>3</v>
      </c>
      <c r="D30" s="2002"/>
      <c r="E30" s="2002">
        <v>0.3</v>
      </c>
      <c r="F30" s="2002">
        <v>0.28999999999999998</v>
      </c>
      <c r="G30" s="2002">
        <v>0.83</v>
      </c>
      <c r="H30" s="2911"/>
      <c r="I30" s="2003">
        <f t="shared" si="6"/>
        <v>0.28999999999999998</v>
      </c>
      <c r="J30" s="2900"/>
      <c r="K30" s="2038"/>
      <c r="L30" s="2023">
        <f t="shared" si="7"/>
        <v>3.0000000000000001E-3</v>
      </c>
      <c r="M30" s="2023">
        <f t="shared" si="7"/>
        <v>2.8999999999999998E-3</v>
      </c>
      <c r="N30" s="2023">
        <f t="shared" si="7"/>
        <v>8.3000000000000001E-3</v>
      </c>
      <c r="O30" s="2023"/>
      <c r="P30" s="2023">
        <f t="shared" si="9"/>
        <v>2.8999999999999998E-3</v>
      </c>
      <c r="Q30" s="2900"/>
      <c r="R30" s="2022"/>
      <c r="S30" s="2022">
        <f>ROUND(IF([2]项目基本情况!$B$8="出让",SUMPRODUCT(PRODUCT(1+L30:L$36)),SUMPRODUCT(PRODUCT(1+L30:L$35))),4)</f>
        <v>1.0241</v>
      </c>
      <c r="T30" s="2022">
        <f>ROUND(IF([2]项目基本情况!$B$8="出让",SUMPRODUCT(PRODUCT(1+M30:M$36)),SUMPRODUCT(PRODUCT(1+M30:M$35))),4)</f>
        <v>1.0144</v>
      </c>
      <c r="U30" s="2022">
        <f>ROUND(IF([2]项目基本情况!$B$8="出让",SUMPRODUCT(PRODUCT(1+N30:N$36)),SUMPRODUCT(PRODUCT(1+N30:N$35))),4)</f>
        <v>1.0467</v>
      </c>
      <c r="V30" s="2022"/>
      <c r="W30" s="2022">
        <f t="shared" si="10"/>
        <v>1.0144</v>
      </c>
      <c r="X30" s="2900"/>
      <c r="Y30" s="2023"/>
      <c r="Z30" s="2896">
        <f t="shared" si="11"/>
        <v>3.8999999999999998E-3</v>
      </c>
      <c r="AA30" s="2897">
        <f t="shared" si="11"/>
        <v>2.7000000000000001E-3</v>
      </c>
      <c r="AB30" s="2023">
        <f t="shared" si="11"/>
        <v>7.9000000000000008E-3</v>
      </c>
      <c r="AC30" s="2898"/>
      <c r="AD30" s="2023">
        <f t="shared" si="11"/>
        <v>2.7000000000000001E-3</v>
      </c>
    </row>
    <row r="31" spans="1:30" s="2040" customFormat="1" ht="12.75">
      <c r="A31" s="2899" t="s">
        <v>3355</v>
      </c>
      <c r="B31" s="2026">
        <v>2022</v>
      </c>
      <c r="C31" s="2037">
        <v>2</v>
      </c>
      <c r="D31" s="2002"/>
      <c r="E31" s="2002">
        <v>-0.11</v>
      </c>
      <c r="F31" s="2002">
        <v>-0.13</v>
      </c>
      <c r="G31" s="2002">
        <v>0.53</v>
      </c>
      <c r="H31" s="2911"/>
      <c r="I31" s="2003">
        <f t="shared" si="6"/>
        <v>-0.13</v>
      </c>
      <c r="J31" s="2900"/>
      <c r="K31" s="2038"/>
      <c r="L31" s="2023">
        <f t="shared" si="7"/>
        <v>-1.1000000000000001E-3</v>
      </c>
      <c r="M31" s="2023">
        <f t="shared" si="7"/>
        <v>-1.2999999999999999E-3</v>
      </c>
      <c r="N31" s="2023">
        <f t="shared" si="7"/>
        <v>5.3E-3</v>
      </c>
      <c r="O31" s="2023"/>
      <c r="P31" s="2023">
        <f t="shared" si="9"/>
        <v>-1.2999999999999999E-3</v>
      </c>
      <c r="Q31" s="2900"/>
      <c r="R31" s="2022"/>
      <c r="S31" s="2022">
        <f>ROUND(IF([2]项目基本情况!$B$8="出让",SUMPRODUCT(PRODUCT(1+L31:L$36)),SUMPRODUCT(PRODUCT(1+L31:L$35))),4)</f>
        <v>1.0210999999999999</v>
      </c>
      <c r="T31" s="2022">
        <f>ROUND(IF([2]项目基本情况!$B$8="出让",SUMPRODUCT(PRODUCT(1+M31:M$36)),SUMPRODUCT(PRODUCT(1+M31:M$35))),4)</f>
        <v>1.0114000000000001</v>
      </c>
      <c r="U31" s="2022">
        <f>ROUND(IF([2]项目基本情况!$B$8="出让",SUMPRODUCT(PRODUCT(1+N31:N$36)),SUMPRODUCT(PRODUCT(1+N31:N$35))),4)</f>
        <v>1.0381</v>
      </c>
      <c r="V31" s="2022"/>
      <c r="W31" s="2022">
        <f t="shared" si="10"/>
        <v>1.0114000000000001</v>
      </c>
      <c r="X31" s="2900"/>
      <c r="Y31" s="2023"/>
      <c r="Z31" s="2896">
        <f t="shared" si="11"/>
        <v>4.1000000000000003E-3</v>
      </c>
      <c r="AA31" s="2897">
        <f t="shared" si="11"/>
        <v>2.7000000000000001E-3</v>
      </c>
      <c r="AB31" s="2023">
        <f t="shared" si="11"/>
        <v>7.9000000000000008E-3</v>
      </c>
      <c r="AC31" s="2898"/>
      <c r="AD31" s="2023">
        <f t="shared" si="11"/>
        <v>2.7000000000000001E-3</v>
      </c>
    </row>
    <row r="32" spans="1:30" s="2040" customFormat="1" ht="12.75">
      <c r="A32" s="2899" t="s">
        <v>2834</v>
      </c>
      <c r="B32" s="2026">
        <v>2022</v>
      </c>
      <c r="C32" s="2037">
        <v>1</v>
      </c>
      <c r="D32" s="2002"/>
      <c r="E32" s="2002">
        <v>0.6</v>
      </c>
      <c r="F32" s="2002">
        <v>0.45</v>
      </c>
      <c r="G32" s="2002">
        <v>0.53</v>
      </c>
      <c r="H32" s="2911"/>
      <c r="I32" s="2003">
        <f t="shared" si="6"/>
        <v>0.45</v>
      </c>
      <c r="J32" s="2900"/>
      <c r="K32" s="2038"/>
      <c r="L32" s="2023">
        <f t="shared" si="7"/>
        <v>6.0000000000000001E-3</v>
      </c>
      <c r="M32" s="2023">
        <f t="shared" si="7"/>
        <v>4.5000000000000005E-3</v>
      </c>
      <c r="N32" s="2023">
        <f t="shared" si="7"/>
        <v>5.3E-3</v>
      </c>
      <c r="O32" s="2023"/>
      <c r="P32" s="2023">
        <f t="shared" si="9"/>
        <v>4.5000000000000005E-3</v>
      </c>
      <c r="Q32" s="2900"/>
      <c r="R32" s="2022"/>
      <c r="S32" s="2022">
        <f>ROUND(IF([2]项目基本情况!$B$8="出让",SUMPRODUCT(PRODUCT(1+L32:L$36)),SUMPRODUCT(PRODUCT(1+L32:L$35))),4)</f>
        <v>1.0222</v>
      </c>
      <c r="T32" s="2022">
        <f>ROUND(IF([2]项目基本情况!$B$8="出让",SUMPRODUCT(PRODUCT(1+M32:M$36)),SUMPRODUCT(PRODUCT(1+M32:M$35))),4)</f>
        <v>1.0127999999999999</v>
      </c>
      <c r="U32" s="2022">
        <f>ROUND(IF([2]项目基本情况!$B$8="出让",SUMPRODUCT(PRODUCT(1+N32:N$36)),SUMPRODUCT(PRODUCT(1+N32:N$35))),4)</f>
        <v>1.0326</v>
      </c>
      <c r="V32" s="2022"/>
      <c r="W32" s="2022">
        <f t="shared" si="10"/>
        <v>1.0127999999999999</v>
      </c>
      <c r="X32" s="2900"/>
      <c r="Y32" s="2023"/>
      <c r="Z32" s="2896">
        <f t="shared" si="11"/>
        <v>5.1000000000000004E-3</v>
      </c>
      <c r="AA32" s="2897">
        <f t="shared" si="11"/>
        <v>3.5000000000000001E-3</v>
      </c>
      <c r="AB32" s="2023">
        <f t="shared" si="11"/>
        <v>8.3999999999999995E-3</v>
      </c>
      <c r="AC32" s="2898"/>
      <c r="AD32" s="2023">
        <f t="shared" si="11"/>
        <v>3.5000000000000001E-3</v>
      </c>
    </row>
    <row r="33" spans="1:30" s="2040" customFormat="1" ht="12.75">
      <c r="A33" s="2899" t="s">
        <v>2835</v>
      </c>
      <c r="B33" s="2026">
        <v>2021</v>
      </c>
      <c r="C33" s="2037">
        <v>4</v>
      </c>
      <c r="D33" s="2002"/>
      <c r="E33" s="2002">
        <v>0.57999999999999996</v>
      </c>
      <c r="F33" s="2002">
        <v>0.08</v>
      </c>
      <c r="G33" s="2002">
        <v>0.68</v>
      </c>
      <c r="H33" s="2911"/>
      <c r="I33" s="2003">
        <f t="shared" si="6"/>
        <v>0.08</v>
      </c>
      <c r="J33" s="2900"/>
      <c r="K33" s="2038"/>
      <c r="L33" s="2023">
        <f t="shared" si="7"/>
        <v>5.7999999999999996E-3</v>
      </c>
      <c r="M33" s="2023">
        <f t="shared" si="7"/>
        <v>8.0000000000000004E-4</v>
      </c>
      <c r="N33" s="2023">
        <f t="shared" si="7"/>
        <v>6.8000000000000005E-3</v>
      </c>
      <c r="O33" s="2023"/>
      <c r="P33" s="2023">
        <f t="shared" si="9"/>
        <v>8.0000000000000004E-4</v>
      </c>
      <c r="Q33" s="2900"/>
      <c r="R33" s="2022"/>
      <c r="S33" s="2022">
        <f>ROUND(IF([2]项目基本情况!$B$8="出让",SUMPRODUCT(PRODUCT(1+L33:L$36)),SUMPRODUCT(PRODUCT(1+L33:L$35))),4)</f>
        <v>1.0161</v>
      </c>
      <c r="T33" s="2022">
        <f>ROUND(IF([2]项目基本情况!$B$8="出让",SUMPRODUCT(PRODUCT(1+M33:M$36)),SUMPRODUCT(PRODUCT(1+M33:M$35))),4)</f>
        <v>1.0082</v>
      </c>
      <c r="U33" s="2022">
        <f>ROUND(IF([2]项目基本情况!$B$8="出让",SUMPRODUCT(PRODUCT(1+N33:N$36)),SUMPRODUCT(PRODUCT(1+N33:N$35))),4)</f>
        <v>1.0270999999999999</v>
      </c>
      <c r="V33" s="2022"/>
      <c r="W33" s="2022">
        <f t="shared" si="10"/>
        <v>1.0082</v>
      </c>
      <c r="X33" s="2900"/>
      <c r="Y33" s="2023"/>
      <c r="Z33" s="2896">
        <f t="shared" si="11"/>
        <v>4.8999999999999998E-3</v>
      </c>
      <c r="AA33" s="2897">
        <f t="shared" si="11"/>
        <v>3.3E-3</v>
      </c>
      <c r="AB33" s="2023">
        <f t="shared" si="11"/>
        <v>9.1999999999999998E-3</v>
      </c>
      <c r="AC33" s="2898"/>
      <c r="AD33" s="2023">
        <f t="shared" si="11"/>
        <v>3.3E-3</v>
      </c>
    </row>
    <row r="34" spans="1:30" s="2040" customFormat="1" ht="12.75">
      <c r="A34" s="2899" t="s">
        <v>2836</v>
      </c>
      <c r="B34" s="2026">
        <v>2021</v>
      </c>
      <c r="C34" s="2037">
        <v>3</v>
      </c>
      <c r="D34" s="2002"/>
      <c r="E34" s="2002">
        <v>0.47</v>
      </c>
      <c r="F34" s="2002">
        <v>0.28000000000000003</v>
      </c>
      <c r="G34" s="2002">
        <v>0.91</v>
      </c>
      <c r="H34" s="2911"/>
      <c r="I34" s="2003">
        <f t="shared" si="6"/>
        <v>0.28000000000000003</v>
      </c>
      <c r="J34" s="2900"/>
      <c r="K34" s="2038"/>
      <c r="L34" s="2023">
        <f t="shared" si="7"/>
        <v>4.6999999999999993E-3</v>
      </c>
      <c r="M34" s="2023">
        <f t="shared" si="7"/>
        <v>2.8000000000000004E-3</v>
      </c>
      <c r="N34" s="2023">
        <f t="shared" si="7"/>
        <v>9.1000000000000004E-3</v>
      </c>
      <c r="O34" s="2023"/>
      <c r="P34" s="2023">
        <f t="shared" si="9"/>
        <v>2.8000000000000004E-3</v>
      </c>
      <c r="Q34" s="2900"/>
      <c r="R34" s="2022"/>
      <c r="S34" s="2022">
        <f>ROUND(IF([2]项目基本情况!$B$8="出让",SUMPRODUCT(PRODUCT(1+L34:L$36)),SUMPRODUCT(PRODUCT(1+L34:L$35))),4)</f>
        <v>1.0102</v>
      </c>
      <c r="T34" s="2022">
        <f>ROUND(IF([2]项目基本情况!$B$8="出让",SUMPRODUCT(PRODUCT(1+M34:M$36)),SUMPRODUCT(PRODUCT(1+M34:M$35))),4)</f>
        <v>1.0074000000000001</v>
      </c>
      <c r="U34" s="2022">
        <f>ROUND(IF([2]项目基本情况!$B$8="出让",SUMPRODUCT(PRODUCT(1+N34:N$36)),SUMPRODUCT(PRODUCT(1+N34:N$35))),4)</f>
        <v>1.0202</v>
      </c>
      <c r="V34" s="2022"/>
      <c r="W34" s="2022">
        <f t="shared" si="10"/>
        <v>1.0074000000000001</v>
      </c>
      <c r="X34" s="2900"/>
      <c r="Y34" s="2023"/>
      <c r="Z34" s="2896">
        <f t="shared" si="11"/>
        <v>4.5999999999999999E-3</v>
      </c>
      <c r="AA34" s="2897">
        <f t="shared" si="11"/>
        <v>4.1000000000000003E-3</v>
      </c>
      <c r="AB34" s="2023">
        <f t="shared" si="11"/>
        <v>0.01</v>
      </c>
      <c r="AC34" s="2898"/>
      <c r="AD34" s="2023">
        <f t="shared" si="11"/>
        <v>4.1000000000000003E-3</v>
      </c>
    </row>
    <row r="35" spans="1:30" s="2040" customFormat="1" ht="12.75">
      <c r="A35" s="2899" t="s">
        <v>2837</v>
      </c>
      <c r="B35" s="2026">
        <v>2021</v>
      </c>
      <c r="C35" s="2037">
        <v>2</v>
      </c>
      <c r="D35" s="2002"/>
      <c r="E35" s="2002">
        <v>0.55000000000000004</v>
      </c>
      <c r="F35" s="2002">
        <v>0.46</v>
      </c>
      <c r="G35" s="2002">
        <v>1.1000000000000001</v>
      </c>
      <c r="H35" s="2911"/>
      <c r="I35" s="2003">
        <f t="shared" si="6"/>
        <v>0.46</v>
      </c>
      <c r="J35" s="2900"/>
      <c r="K35" s="2038"/>
      <c r="L35" s="2023">
        <f t="shared" si="7"/>
        <v>5.5000000000000005E-3</v>
      </c>
      <c r="M35" s="2023">
        <f t="shared" si="7"/>
        <v>4.5999999999999999E-3</v>
      </c>
      <c r="N35" s="2023">
        <f t="shared" si="7"/>
        <v>1.1000000000000001E-2</v>
      </c>
      <c r="O35" s="2023"/>
      <c r="P35" s="2023">
        <f t="shared" si="9"/>
        <v>4.5999999999999999E-3</v>
      </c>
      <c r="Q35" s="2900"/>
      <c r="R35" s="2022"/>
      <c r="S35" s="2022">
        <f>ROUND(IF([2]项目基本情况!$B$8="出让",SUMPRODUCT(PRODUCT(1+L35:L$36)),SUMPRODUCT(PRODUCT(1+L35:L$35))),4)</f>
        <v>1.0055000000000001</v>
      </c>
      <c r="T35" s="2022">
        <f>ROUND(IF([2]项目基本情况!$B$8="出让",SUMPRODUCT(PRODUCT(1+M35:M$36)),SUMPRODUCT(PRODUCT(1+M35:M$35))),4)</f>
        <v>1.0045999999999999</v>
      </c>
      <c r="U35" s="2022">
        <f>ROUND(IF([2]项目基本情况!$B$8="出让",SUMPRODUCT(PRODUCT(1+N35:N$36)),SUMPRODUCT(PRODUCT(1+N35:N$35))),4)</f>
        <v>1.0109999999999999</v>
      </c>
      <c r="V35" s="2022"/>
      <c r="W35" s="2022">
        <f t="shared" si="10"/>
        <v>1.0045999999999999</v>
      </c>
      <c r="X35" s="2900"/>
      <c r="Y35" s="2023"/>
      <c r="Z35" s="2896">
        <f t="shared" si="11"/>
        <v>4.4999999999999997E-3</v>
      </c>
      <c r="AA35" s="2897">
        <f t="shared" si="11"/>
        <v>4.7000000000000002E-3</v>
      </c>
      <c r="AB35" s="2023">
        <f t="shared" si="11"/>
        <v>1.04E-2</v>
      </c>
      <c r="AC35" s="2898"/>
      <c r="AD35" s="2023">
        <f t="shared" si="11"/>
        <v>4.7000000000000002E-3</v>
      </c>
    </row>
    <row r="36" spans="1:30" s="2922" customFormat="1" thickBot="1">
      <c r="A36" s="2912" t="s">
        <v>2822</v>
      </c>
      <c r="B36" s="2913">
        <v>2021</v>
      </c>
      <c r="C36" s="2914">
        <v>1</v>
      </c>
      <c r="D36" s="2915"/>
      <c r="E36" s="2915">
        <v>0.35</v>
      </c>
      <c r="F36" s="2915">
        <v>0.48</v>
      </c>
      <c r="G36" s="2915">
        <v>0.98</v>
      </c>
      <c r="H36" s="2916"/>
      <c r="I36" s="2917">
        <f t="shared" si="6"/>
        <v>0.48</v>
      </c>
      <c r="J36" s="2918"/>
      <c r="K36" s="2919"/>
      <c r="L36" s="2920">
        <f t="shared" si="7"/>
        <v>3.4999999999999996E-3</v>
      </c>
      <c r="M36" s="2920">
        <f>F36/100</f>
        <v>4.7999999999999996E-3</v>
      </c>
      <c r="N36" s="2920">
        <f t="shared" si="7"/>
        <v>9.7999999999999997E-3</v>
      </c>
      <c r="O36" s="2920"/>
      <c r="P36" s="2920">
        <f t="shared" si="9"/>
        <v>4.7999999999999996E-3</v>
      </c>
      <c r="Q36" s="2918"/>
      <c r="R36" s="2921"/>
      <c r="S36" s="2921">
        <v>1</v>
      </c>
      <c r="T36" s="2921">
        <v>1</v>
      </c>
      <c r="U36" s="2921">
        <v>1</v>
      </c>
      <c r="V36" s="2921"/>
      <c r="W36" s="2921">
        <f t="shared" si="10"/>
        <v>1</v>
      </c>
      <c r="X36" s="2918"/>
      <c r="Y36" s="2920"/>
      <c r="Z36" s="2928">
        <f t="shared" si="11"/>
        <v>3.5000000000000001E-3</v>
      </c>
      <c r="AA36" s="2929">
        <f t="shared" si="11"/>
        <v>4.7999999999999996E-3</v>
      </c>
      <c r="AB36" s="2920">
        <f t="shared" si="11"/>
        <v>9.7999999999999997E-3</v>
      </c>
      <c r="AC36" s="2930"/>
      <c r="AD36" s="2920">
        <f t="shared" si="11"/>
        <v>4.7999999999999996E-3</v>
      </c>
    </row>
    <row r="37" spans="1:30" ht="14.25" thickTop="1"/>
    <row r="38" spans="1:30">
      <c r="A38" s="3137"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21" t="s">
        <v>452</v>
      </c>
      <c r="C1" s="3521"/>
      <c r="D1" s="3521"/>
      <c r="E1" s="3521"/>
      <c r="F1" s="3521"/>
      <c r="G1" s="3517" t="s">
        <v>453</v>
      </c>
      <c r="H1" s="3517"/>
      <c r="I1" s="3517"/>
      <c r="J1" s="3517"/>
      <c r="K1" s="3517"/>
      <c r="L1" s="3517"/>
      <c r="N1" s="3517" t="s">
        <v>454</v>
      </c>
      <c r="O1" s="3517"/>
      <c r="P1" s="3517"/>
      <c r="Q1" s="3517"/>
      <c r="S1" s="3517" t="s">
        <v>455</v>
      </c>
      <c r="T1" s="3517"/>
      <c r="U1" s="3517"/>
      <c r="V1" s="3517"/>
      <c r="X1" s="3516" t="s">
        <v>456</v>
      </c>
      <c r="Y1" s="3517"/>
      <c r="Z1" s="3517"/>
      <c r="AA1" s="3517"/>
      <c r="AB1" s="3517"/>
      <c r="AD1" s="3516" t="s">
        <v>457</v>
      </c>
      <c r="AE1" s="3517"/>
      <c r="AF1" s="3517"/>
      <c r="AG1" s="3517"/>
      <c r="AH1" s="3517"/>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3363</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3360</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3361</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3362</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2434</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2311</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2310</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2309</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2307</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2306</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2127</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2125</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2124</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2123</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2121</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2120</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2122</v>
      </c>
      <c r="B21" s="2044">
        <f t="shared" si="0"/>
        <v>464.37293017158942</v>
      </c>
      <c r="C21" s="2044">
        <f t="shared" si="1"/>
        <v>344.73679941385956</v>
      </c>
      <c r="D21" s="2044">
        <f t="shared" si="2"/>
        <v>344.73679941385956</v>
      </c>
      <c r="E21" s="2044">
        <f t="shared" si="3"/>
        <v>663.2377795103107</v>
      </c>
      <c r="F21" s="2045">
        <f t="shared" si="4"/>
        <v>304.75936311478398</v>
      </c>
      <c r="G21" s="3519">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2118</v>
      </c>
      <c r="B22" s="2036">
        <f t="shared" si="0"/>
        <v>459.95733971036987</v>
      </c>
      <c r="C22" s="2036">
        <f t="shared" si="1"/>
        <v>341.22221064422405</v>
      </c>
      <c r="D22" s="2036">
        <f t="shared" si="2"/>
        <v>341.22221064422405</v>
      </c>
      <c r="E22" s="2036">
        <f t="shared" si="3"/>
        <v>657.19161663724799</v>
      </c>
      <c r="F22" s="2036">
        <f t="shared" si="4"/>
        <v>300.87803644464805</v>
      </c>
      <c r="G22" s="3519"/>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2117</v>
      </c>
      <c r="B23" s="2036">
        <f t="shared" si="0"/>
        <v>453.11529869999993</v>
      </c>
      <c r="C23" s="2036">
        <f t="shared" si="1"/>
        <v>336.47787264000004</v>
      </c>
      <c r="D23" s="2036">
        <f t="shared" si="2"/>
        <v>336.47787264000004</v>
      </c>
      <c r="E23" s="2036">
        <f t="shared" si="3"/>
        <v>647.35186823999993</v>
      </c>
      <c r="F23" s="2036">
        <f t="shared" si="4"/>
        <v>295.73229452000004</v>
      </c>
      <c r="G23" s="3519"/>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2110</v>
      </c>
      <c r="B24" s="2036">
        <f t="shared" si="0"/>
        <v>446.46299999999997</v>
      </c>
      <c r="C24" s="2036">
        <f t="shared" si="1"/>
        <v>333.27840000000003</v>
      </c>
      <c r="D24" s="2036">
        <f t="shared" si="2"/>
        <v>333.27840000000003</v>
      </c>
      <c r="E24" s="2036">
        <f t="shared" si="3"/>
        <v>637.28279999999995</v>
      </c>
      <c r="F24" s="2036">
        <f t="shared" si="4"/>
        <v>288.68830000000003</v>
      </c>
      <c r="G24" s="3526"/>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2108</v>
      </c>
      <c r="B25" s="2044">
        <v>439</v>
      </c>
      <c r="C25" s="2044">
        <v>327</v>
      </c>
      <c r="D25" s="2044">
        <f t="shared" si="2"/>
        <v>327</v>
      </c>
      <c r="E25" s="2044">
        <v>627</v>
      </c>
      <c r="F25" s="2045">
        <v>283</v>
      </c>
      <c r="G25" s="3522">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2109</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19"/>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19"/>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26"/>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22">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19"/>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19"/>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20"/>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18">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19"/>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19"/>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20"/>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18">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19"/>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19"/>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20"/>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23">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24"/>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24"/>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25"/>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18">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19"/>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19"/>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20"/>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18">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19">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19">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20">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18">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19">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19">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20">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18">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19">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19">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20">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18">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19">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19">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20">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18">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19">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19">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20">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18">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19">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19">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20">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18">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19">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19">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20">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18">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19">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19">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20">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18">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19">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19">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20">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18">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19">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19">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20">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1" t="str">
        <f>IF(项目基本情况!B9="房地产市场价值","估价结果一览表","结果表-2")</f>
        <v>结果表-2</v>
      </c>
      <c r="B1" s="3201"/>
      <c r="C1" s="3201"/>
      <c r="D1" s="3201"/>
      <c r="E1" s="3201"/>
      <c r="F1" s="3201"/>
      <c r="G1" s="3201"/>
      <c r="H1" s="3201"/>
      <c r="I1" s="3201"/>
    </row>
    <row r="2" spans="1:9" ht="30" customHeight="1" thickTop="1">
      <c r="A2" s="3202" t="s">
        <v>928</v>
      </c>
      <c r="B2" s="3202" t="s">
        <v>929</v>
      </c>
      <c r="C2" s="3202" t="s">
        <v>930</v>
      </c>
      <c r="D2" s="3202" t="str">
        <f>结果表!D116</f>
        <v>出让国有建设用地使用权价值</v>
      </c>
      <c r="E2" s="3202"/>
      <c r="F2" s="3202" t="str">
        <f>结果表!F116</f>
        <v>在建建筑物价值</v>
      </c>
      <c r="G2" s="3202"/>
      <c r="H2" s="3202" t="str">
        <f>IF(项目基本情况!B9="房地产市场价值","房地产市场价值","房地产价值")</f>
        <v>房地产价值</v>
      </c>
      <c r="I2" s="3202"/>
    </row>
    <row r="3" spans="1:9" ht="15">
      <c r="A3" s="3203"/>
      <c r="B3" s="3203"/>
      <c r="C3" s="3203"/>
      <c r="D3" s="800" t="s">
        <v>925</v>
      </c>
      <c r="E3" s="800" t="s">
        <v>931</v>
      </c>
      <c r="F3" s="800" t="s">
        <v>925</v>
      </c>
      <c r="G3" s="800" t="s">
        <v>926</v>
      </c>
      <c r="H3" s="800" t="s">
        <v>925</v>
      </c>
      <c r="I3" s="800" t="s">
        <v>926</v>
      </c>
    </row>
    <row r="4" spans="1:9" ht="15">
      <c r="A4" s="1401" t="str">
        <f>项目基本情况!S2</f>
        <v>北京市房地产</v>
      </c>
      <c r="B4" s="800">
        <f>项目基本情况!C17</f>
        <v>141.37</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03" t="s">
        <v>927</v>
      </c>
      <c r="B5" s="3203"/>
      <c r="C5" s="3203"/>
      <c r="D5" s="3203" t="e">
        <f ca="1">结果表!D119</f>
        <v>#REF!</v>
      </c>
      <c r="E5" s="3203"/>
      <c r="F5" s="3203" t="e">
        <f ca="1">结果表!F119</f>
        <v>#REF!</v>
      </c>
      <c r="G5" s="3203"/>
      <c r="H5" s="3203" t="e">
        <f ca="1">结果表!H119</f>
        <v>#REF!</v>
      </c>
      <c r="I5" s="3203"/>
    </row>
    <row r="6" spans="1:9" ht="15.75">
      <c r="A6" s="3204" t="str">
        <f>结果表!A120</f>
        <v>估价师知悉的法定优先受偿款</v>
      </c>
      <c r="B6" s="3204"/>
      <c r="C6" s="3204"/>
      <c r="D6" s="3204">
        <f>结果表!D120</f>
        <v>0</v>
      </c>
      <c r="E6" s="3204"/>
      <c r="F6" s="3204"/>
      <c r="G6" s="3204"/>
      <c r="H6" s="3204"/>
      <c r="I6" s="3204"/>
    </row>
    <row r="7" spans="1:9" ht="15">
      <c r="A7" s="3203" t="s">
        <v>927</v>
      </c>
      <c r="B7" s="3203"/>
      <c r="C7" s="3203"/>
      <c r="D7" s="3205" t="str">
        <f>结果表!D121</f>
        <v>零元整</v>
      </c>
      <c r="E7" s="3206"/>
      <c r="F7" s="3206"/>
      <c r="G7" s="3206"/>
      <c r="H7" s="3206"/>
      <c r="I7" s="3207"/>
    </row>
    <row r="8" spans="1:9" ht="15.75">
      <c r="A8" s="3204" t="str">
        <f>结果表!A122</f>
        <v>房地产抵押价值</v>
      </c>
      <c r="B8" s="3204"/>
      <c r="C8" s="3204"/>
      <c r="D8" s="3204" t="e">
        <f ca="1">结果表!D122</f>
        <v>#REF!</v>
      </c>
      <c r="E8" s="3204"/>
      <c r="F8" s="3204"/>
      <c r="G8" s="3204"/>
      <c r="H8" s="3204"/>
      <c r="I8" s="3204"/>
    </row>
    <row r="9" spans="1:9" ht="15">
      <c r="A9" s="3203" t="s">
        <v>927</v>
      </c>
      <c r="B9" s="3203"/>
      <c r="C9" s="3203"/>
      <c r="D9" s="3203" t="e">
        <f ca="1">结果表!D123</f>
        <v>#REF!</v>
      </c>
      <c r="E9" s="3203"/>
      <c r="F9" s="3203"/>
      <c r="G9" s="3203"/>
      <c r="H9" s="3203"/>
      <c r="I9" s="3203"/>
    </row>
    <row r="10" spans="1:9" ht="15.75">
      <c r="A10" s="3204" t="str">
        <f>结果表!A124</f>
        <v/>
      </c>
      <c r="B10" s="3204"/>
      <c r="C10" s="3204"/>
      <c r="D10" s="3204" t="str">
        <f>结果表!D124</f>
        <v>——</v>
      </c>
      <c r="E10" s="3204"/>
      <c r="F10" s="3204"/>
      <c r="G10" s="3204"/>
      <c r="H10" s="3204"/>
      <c r="I10" s="3204"/>
    </row>
    <row r="11" spans="1:9" ht="15">
      <c r="A11" s="3203" t="s">
        <v>927</v>
      </c>
      <c r="B11" s="3203"/>
      <c r="C11" s="3203"/>
      <c r="D11" s="3203" t="e">
        <f>结果表!D125</f>
        <v>#VALUE!</v>
      </c>
      <c r="E11" s="3203"/>
      <c r="F11" s="3203"/>
      <c r="G11" s="3203"/>
      <c r="H11" s="3203"/>
      <c r="I11" s="3203"/>
    </row>
    <row r="12" spans="1:9" ht="15.75">
      <c r="A12" s="3204" t="str">
        <f>结果表!A126</f>
        <v/>
      </c>
      <c r="B12" s="3204"/>
      <c r="C12" s="3204"/>
      <c r="D12" s="3204" t="str">
        <f>结果表!D126</f>
        <v>——</v>
      </c>
      <c r="E12" s="3204"/>
      <c r="F12" s="3204"/>
      <c r="G12" s="3204"/>
      <c r="H12" s="3204"/>
      <c r="I12" s="3204"/>
    </row>
    <row r="13" spans="1:9" ht="15.75" thickBot="1">
      <c r="A13" s="3208" t="s">
        <v>927</v>
      </c>
      <c r="B13" s="3208"/>
      <c r="C13" s="3208"/>
      <c r="D13" s="3208" t="e">
        <f>结果表!D127</f>
        <v>#VALUE!</v>
      </c>
      <c r="E13" s="3208"/>
      <c r="F13" s="3208"/>
      <c r="G13" s="3208"/>
      <c r="H13" s="3208"/>
      <c r="I13" s="3208"/>
    </row>
    <row r="14" spans="1:9" ht="15" thickTop="1">
      <c r="A14" s="3209" t="s">
        <v>932</v>
      </c>
      <c r="B14" s="3209"/>
      <c r="C14" s="3209"/>
      <c r="D14" s="3209"/>
      <c r="E14" s="3209"/>
      <c r="F14" s="3209"/>
      <c r="G14" s="3209"/>
      <c r="H14" s="3209"/>
      <c r="I14" s="3209"/>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0" t="s">
        <v>949</v>
      </c>
      <c r="B1" s="3210"/>
      <c r="C1" s="3210"/>
      <c r="D1" s="3210"/>
    </row>
    <row r="2" spans="1:4" ht="18">
      <c r="A2" s="3211" t="s">
        <v>933</v>
      </c>
      <c r="B2" s="3211"/>
      <c r="C2" s="3211"/>
      <c r="D2" s="3211"/>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11" t="s">
        <v>939</v>
      </c>
      <c r="B6" s="3211"/>
      <c r="C6" s="3211"/>
      <c r="D6" s="3211"/>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12" t="s">
        <v>942</v>
      </c>
      <c r="B11" s="3213"/>
      <c r="C11" s="3213"/>
      <c r="D11" s="3213"/>
    </row>
    <row r="12" spans="1:4" ht="15.75">
      <c r="A12" s="32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4"/>
      <c r="C12" s="3214"/>
      <c r="D12" s="3214"/>
    </row>
    <row r="13" spans="1:4" ht="30" customHeight="1">
      <c r="A13" s="3213" t="str">
        <f>IF(项目基本情况!B8="抵押","3.抵押双方在办理抵押登记手续时，应使用本公司出具的正式《房地产评估报告》，特提醒报告使用者注意。","——")</f>
        <v>——</v>
      </c>
      <c r="B13" s="3214"/>
      <c r="C13" s="3214"/>
      <c r="D13" s="3214"/>
    </row>
    <row r="14" spans="1:4" ht="15.75" customHeight="1">
      <c r="A14" s="3213" t="str">
        <f>IF(项目基本情况!B8="抵押","4.本次评估估价师所知悉的法定优先受偿款情况说明如下：","——")</f>
        <v>——</v>
      </c>
      <c r="B14" s="3214"/>
      <c r="C14" s="3214"/>
      <c r="D14" s="3214"/>
    </row>
    <row r="15" spans="1:4" ht="42" customHeight="1">
      <c r="A15" s="3213" t="str">
        <f>IF(项目基本情况!B8="抵押","（1）"&amp;CONCATENATE(项目基本情况!L20,项目基本情况!L21,项目基本情况!L22),"——")</f>
        <v>——</v>
      </c>
      <c r="B15" s="3213"/>
      <c r="C15" s="3213"/>
      <c r="D15" s="3213"/>
    </row>
    <row r="16" spans="1:4" ht="30" customHeight="1">
      <c r="A16" s="3216" t="s">
        <v>943</v>
      </c>
      <c r="B16" s="3216"/>
      <c r="C16" s="3216"/>
      <c r="D16" s="3216"/>
    </row>
    <row r="17" spans="1:4" ht="144" customHeight="1">
      <c r="A17" s="3216" t="s">
        <v>944</v>
      </c>
      <c r="B17" s="3216"/>
      <c r="C17" s="3216"/>
      <c r="D17" s="3216"/>
    </row>
    <row r="18" spans="1:4" ht="15.75" customHeight="1">
      <c r="A18" s="3213" t="str">
        <f>IF(项目基本情况!B8="抵押",结果表!K120,"——")</f>
        <v>——</v>
      </c>
      <c r="B18" s="3213"/>
      <c r="C18" s="3213"/>
      <c r="D18" s="3213"/>
    </row>
    <row r="19" spans="1:4" ht="46.5" customHeight="1">
      <c r="A19" s="32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3"/>
      <c r="C19" s="3213"/>
      <c r="D19" s="3213"/>
    </row>
    <row r="20" spans="1:4" ht="57.75" customHeight="1">
      <c r="A20" s="32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3"/>
      <c r="C20" s="3213"/>
      <c r="D20" s="3213"/>
    </row>
    <row r="21" spans="1:4" ht="57.75" customHeight="1">
      <c r="A21" s="32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7"/>
      <c r="C21" s="3217"/>
      <c r="D21" s="3217"/>
    </row>
    <row r="22" spans="1:4" ht="18.75" customHeight="1">
      <c r="A22" s="3218" t="s">
        <v>945</v>
      </c>
      <c r="B22" s="3218"/>
      <c r="C22" s="3218"/>
      <c r="D22" s="3218"/>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15">
        <v>42551</v>
      </c>
      <c r="D31" s="32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24" t="s">
        <v>956</v>
      </c>
      <c r="B15" s="3219" t="s">
        <v>109</v>
      </c>
      <c r="C15" s="3220"/>
    </row>
    <row r="16" spans="1:7" ht="13.5">
      <c r="A16" s="3225"/>
      <c r="B16" s="3219" t="s">
        <v>42</v>
      </c>
      <c r="C16" s="3220"/>
    </row>
    <row r="17" spans="1:3" ht="13.5">
      <c r="A17" s="3225"/>
      <c r="B17" s="3222" t="s">
        <v>957</v>
      </c>
      <c r="C17" s="1427" t="s">
        <v>956</v>
      </c>
    </row>
    <row r="18" spans="1:3" ht="13.5">
      <c r="A18" s="3225"/>
      <c r="B18" s="3222"/>
      <c r="C18" s="1427" t="s">
        <v>958</v>
      </c>
    </row>
    <row r="19" spans="1:3" ht="13.5">
      <c r="A19" s="3225"/>
      <c r="B19" s="3222"/>
      <c r="C19" s="1427" t="s">
        <v>959</v>
      </c>
    </row>
    <row r="20" spans="1:3" ht="13.5">
      <c r="A20" s="3226"/>
      <c r="B20" s="3221" t="s">
        <v>960</v>
      </c>
      <c r="C20" s="3220"/>
    </row>
    <row r="21" spans="1:3" ht="13.5">
      <c r="A21" s="1428" t="s">
        <v>961</v>
      </c>
      <c r="B21" s="1429"/>
      <c r="C21" s="1430"/>
    </row>
    <row r="22" spans="1:3" ht="13.5">
      <c r="A22" s="3223" t="s">
        <v>962</v>
      </c>
      <c r="B22" s="3221" t="s">
        <v>963</v>
      </c>
      <c r="C22" s="3220"/>
    </row>
    <row r="23" spans="1:3" ht="13.5">
      <c r="A23" s="3223"/>
      <c r="B23" s="3221" t="s">
        <v>964</v>
      </c>
      <c r="C23" s="3220"/>
    </row>
    <row r="24" spans="1:3" ht="13.5">
      <c r="A24" s="3223"/>
      <c r="B24" s="3221" t="s">
        <v>965</v>
      </c>
      <c r="C24" s="3220"/>
    </row>
    <row r="25" spans="1:3" ht="13.5">
      <c r="A25" s="3223"/>
      <c r="B25" s="3222" t="s">
        <v>966</v>
      </c>
      <c r="C25" s="1427" t="s">
        <v>967</v>
      </c>
    </row>
    <row r="26" spans="1:3" ht="13.5">
      <c r="A26" s="3223"/>
      <c r="B26" s="3222"/>
      <c r="C26" s="1427" t="s">
        <v>968</v>
      </c>
    </row>
    <row r="27" spans="1:3" ht="13.5">
      <c r="A27" s="3223"/>
      <c r="B27" s="3222"/>
      <c r="C27" s="1427" t="s">
        <v>969</v>
      </c>
    </row>
    <row r="28" spans="1:3" ht="13.5">
      <c r="A28" s="3223"/>
      <c r="B28" s="3222"/>
      <c r="C28" s="1427" t="s">
        <v>970</v>
      </c>
    </row>
    <row r="29" spans="1:3" ht="13.5">
      <c r="A29" s="3223"/>
      <c r="B29" s="3222"/>
      <c r="C29" s="1427" t="s">
        <v>971</v>
      </c>
    </row>
    <row r="30" spans="1:3" ht="13.5">
      <c r="A30" s="3223"/>
      <c r="B30" s="3222"/>
      <c r="C30" s="1427" t="s">
        <v>972</v>
      </c>
    </row>
    <row r="31" spans="1:3" ht="13.5">
      <c r="A31" s="3223"/>
      <c r="B31" s="3222"/>
      <c r="C31" s="1427" t="s">
        <v>973</v>
      </c>
    </row>
    <row r="32" spans="1:3" ht="13.5">
      <c r="A32" s="3223"/>
      <c r="B32" s="3222"/>
      <c r="C32" s="1427" t="s">
        <v>974</v>
      </c>
    </row>
    <row r="33" spans="1:3" ht="13.5">
      <c r="A33" s="3223"/>
      <c r="B33" s="3222"/>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45587</v>
      </c>
      <c r="C2" s="2153" t="s">
        <v>2137</v>
      </c>
      <c r="D2" s="2153"/>
      <c r="E2" s="2153"/>
      <c r="F2" s="2149"/>
      <c r="G2" s="2149"/>
      <c r="H2" s="2149"/>
    </row>
    <row r="3" spans="1:8" ht="24" customHeight="1">
      <c r="A3" s="2154" t="s">
        <v>2138</v>
      </c>
      <c r="B3" s="1217" t="s">
        <v>2139</v>
      </c>
      <c r="C3" s="1217" t="s">
        <v>2140</v>
      </c>
      <c r="D3" s="2155" t="s">
        <v>2141</v>
      </c>
      <c r="E3" s="2156" t="s">
        <v>2142</v>
      </c>
      <c r="F3" s="1217" t="s">
        <v>2143</v>
      </c>
      <c r="G3" s="1217" t="s">
        <v>2140</v>
      </c>
      <c r="H3" s="2155" t="s">
        <v>2144</v>
      </c>
    </row>
    <row r="4" spans="1:8" ht="24" customHeight="1">
      <c r="A4" s="1217" t="s">
        <v>2145</v>
      </c>
      <c r="B4" s="1217">
        <f ca="1">IF(C4&lt;B2,"已过期",1119970066)</f>
        <v>1119970066</v>
      </c>
      <c r="C4" s="2157">
        <v>45937</v>
      </c>
      <c r="D4" s="2158" t="str">
        <f ca="1">A4&amp;"（注册号："&amp;B4&amp;"）"</f>
        <v>梁津（注册号：1119970066）</v>
      </c>
      <c r="E4" s="2159" t="s">
        <v>2145</v>
      </c>
      <c r="F4" s="1217">
        <f ca="1">IF(G4&lt;B2,"已过期",96010014)</f>
        <v>96010014</v>
      </c>
      <c r="G4" s="2160">
        <v>47118</v>
      </c>
      <c r="H4" s="2161" t="str">
        <f ca="1">E4&amp;"（注册号："&amp;F4&amp;"）"</f>
        <v>梁津（注册号：96010014）</v>
      </c>
    </row>
    <row r="5" spans="1:8" ht="24" customHeight="1">
      <c r="A5" s="1217" t="s">
        <v>2146</v>
      </c>
      <c r="B5" s="1217">
        <f ca="1">IF(C5&lt;B2,"已过期",1119970111)</f>
        <v>1119970111</v>
      </c>
      <c r="C5" s="2157">
        <v>45937</v>
      </c>
      <c r="D5" s="2158" t="str">
        <f t="shared" ref="D5:D15" ca="1" si="0">A5&amp;"（注册号："&amp;B5&amp;"）"</f>
        <v>叶凌（注册号：1119970111）</v>
      </c>
      <c r="E5" s="2159" t="s">
        <v>2146</v>
      </c>
      <c r="F5" s="1217">
        <f ca="1">IF(G5&lt;B2,"已过期",94010078)</f>
        <v>94010078</v>
      </c>
      <c r="G5" s="2160">
        <v>46387</v>
      </c>
      <c r="H5" s="2161" t="str">
        <f t="shared" ref="H5:H16" ca="1" si="1">E5&amp;"（注册号："&amp;F5&amp;"）"</f>
        <v>叶凌（注册号：94010078）</v>
      </c>
    </row>
    <row r="6" spans="1:8" ht="24" customHeight="1">
      <c r="A6" s="1217" t="s">
        <v>2147</v>
      </c>
      <c r="B6" s="1217" t="str">
        <f ca="1">IF(C6&lt;B2,"已过期",1120050019)</f>
        <v>已过期</v>
      </c>
      <c r="C6" s="2157">
        <v>45410</v>
      </c>
      <c r="D6" s="2158" t="str">
        <f t="shared" ca="1" si="0"/>
        <v>王鹏（注册号：已过期）</v>
      </c>
      <c r="E6" s="2159" t="s">
        <v>2147</v>
      </c>
      <c r="F6" s="1217">
        <f ca="1">IF(G6&lt;B2,"已过期",2002110030)</f>
        <v>2002110030</v>
      </c>
      <c r="G6" s="2160">
        <v>46387</v>
      </c>
      <c r="H6" s="2161" t="str">
        <f t="shared" ca="1" si="1"/>
        <v>王鹏（注册号：2002110030）</v>
      </c>
    </row>
    <row r="7" spans="1:8" ht="24" customHeight="1">
      <c r="A7" s="1217" t="s">
        <v>2148</v>
      </c>
      <c r="B7" s="1217">
        <f ca="1">IF(C7&lt;B2,"已过期",1120000080)</f>
        <v>1120000080</v>
      </c>
      <c r="C7" s="2157">
        <v>45937</v>
      </c>
      <c r="D7" s="2158" t="str">
        <f t="shared" ca="1" si="0"/>
        <v>欧红伟（注册号：1120000080）</v>
      </c>
      <c r="E7" s="2159" t="s">
        <v>2148</v>
      </c>
      <c r="F7" s="1217">
        <f ca="1">IF(G7&lt;B2,"已过期",2000110082)</f>
        <v>2000110082</v>
      </c>
      <c r="G7" s="2160">
        <v>46387</v>
      </c>
      <c r="H7" s="2161" t="str">
        <f t="shared" ca="1" si="1"/>
        <v>欧红伟（注册号：2000110082）</v>
      </c>
    </row>
    <row r="8" spans="1:8" ht="24" customHeight="1">
      <c r="A8" s="1217" t="s">
        <v>2149</v>
      </c>
      <c r="B8" s="1217">
        <f ca="1">IF(C8&lt;B2,"已过期",1419970001)</f>
        <v>1419970001</v>
      </c>
      <c r="C8" s="2157">
        <v>45937</v>
      </c>
      <c r="D8" s="2158" t="str">
        <f t="shared" ca="1" si="0"/>
        <v>吴薇（注册号：1419970001）</v>
      </c>
      <c r="E8" s="2159" t="s">
        <v>2149</v>
      </c>
      <c r="F8" s="1217">
        <f ca="1">IF(G8&lt;B2,"已过期",2002110125)</f>
        <v>2002110125</v>
      </c>
      <c r="G8" s="2160">
        <v>47118</v>
      </c>
      <c r="H8" s="2161" t="str">
        <f t="shared" ca="1" si="1"/>
        <v>吴薇（注册号：2002110125）</v>
      </c>
    </row>
    <row r="9" spans="1:8" ht="24" customHeight="1">
      <c r="A9" s="1217" t="s">
        <v>2150</v>
      </c>
      <c r="B9" s="1217">
        <f ca="1">IF(C9&lt;B2,"已过期",1120060040)</f>
        <v>1120060040</v>
      </c>
      <c r="C9" s="2162">
        <v>45592</v>
      </c>
      <c r="D9" s="2158" t="str">
        <f t="shared" ca="1" si="0"/>
        <v>陈颖（注册号：1120060040）</v>
      </c>
      <c r="E9" s="2159" t="s">
        <v>2150</v>
      </c>
      <c r="F9" s="1217">
        <f ca="1">IF(G9&lt;B2,"已过期",2004110096)</f>
        <v>2004110096</v>
      </c>
      <c r="G9" s="2160">
        <v>47118</v>
      </c>
      <c r="H9" s="2161" t="str">
        <f t="shared" ca="1" si="1"/>
        <v>陈颖（注册号：2004110096）</v>
      </c>
    </row>
    <row r="10" spans="1:8" ht="24" customHeight="1">
      <c r="A10" s="1217" t="s">
        <v>2151</v>
      </c>
      <c r="B10" s="1217">
        <f ca="1">IF(C10&lt;B2,"已过期",1120100036)</f>
        <v>1120100036</v>
      </c>
      <c r="C10" s="2162">
        <v>45752</v>
      </c>
      <c r="D10" s="2158" t="str">
        <f t="shared" ca="1" si="0"/>
        <v>崔锴（注册号：1120100036）</v>
      </c>
      <c r="E10" s="2159" t="s">
        <v>2151</v>
      </c>
      <c r="F10" s="1217">
        <f ca="1">IF(G10&lt;B2,"已过期",2010110070)</f>
        <v>2010110070</v>
      </c>
      <c r="G10" s="2160">
        <v>47907</v>
      </c>
      <c r="H10" s="2161" t="str">
        <f t="shared" ca="1" si="1"/>
        <v>崔锴（注册号：2010110070）</v>
      </c>
    </row>
    <row r="11" spans="1:8" ht="24" customHeight="1">
      <c r="A11" s="1217" t="s">
        <v>2152</v>
      </c>
      <c r="B11" s="1217">
        <f ca="1">IF(C11&lt;B2,"已过期",1120070131)</f>
        <v>1120070131</v>
      </c>
      <c r="C11" s="2157">
        <v>45937</v>
      </c>
      <c r="D11" s="2158" t="str">
        <f t="shared" ca="1" si="0"/>
        <v>郑燚（注册号：1120070131）</v>
      </c>
      <c r="E11" s="2159" t="s">
        <v>2152</v>
      </c>
      <c r="F11" s="1217">
        <f ca="1">IF(G11&lt;B2,"已过期",2014110011)</f>
        <v>2014110011</v>
      </c>
      <c r="G11" s="2160">
        <v>49302</v>
      </c>
      <c r="H11" s="2161" t="str">
        <f t="shared" ca="1" si="1"/>
        <v>郑燚（注册号：2014110011）</v>
      </c>
    </row>
    <row r="12" spans="1:8" ht="24" customHeight="1">
      <c r="A12" s="1217" t="s">
        <v>2153</v>
      </c>
      <c r="B12" s="1217">
        <f ca="1">IF(C12&lt;B2,"已过期",1120040230)</f>
        <v>1120040230</v>
      </c>
      <c r="C12" s="2162">
        <v>45937</v>
      </c>
      <c r="D12" s="2158" t="str">
        <f t="shared" ca="1" si="0"/>
        <v>苏海（注册号：1120040230）</v>
      </c>
      <c r="E12" s="2159" t="s">
        <v>2153</v>
      </c>
      <c r="F12" s="1217">
        <f ca="1">IF(G12&lt;B2,"已过期",98030020)</f>
        <v>98030020</v>
      </c>
      <c r="G12" s="2160">
        <v>47118</v>
      </c>
      <c r="H12" s="2161" t="str">
        <f t="shared" ca="1" si="1"/>
        <v>苏海（注册号：98030020）</v>
      </c>
    </row>
    <row r="13" spans="1:8" ht="24" customHeight="1">
      <c r="A13" s="1217" t="s">
        <v>2154</v>
      </c>
      <c r="B13" s="1217" t="str">
        <f ca="1">IF(C13&lt;B2,"已过期",1120020033)</f>
        <v>已过期</v>
      </c>
      <c r="C13" s="2157">
        <v>45375</v>
      </c>
      <c r="D13" s="2158" t="str">
        <f t="shared" ca="1" si="0"/>
        <v>刘敬东（注册号：已过期）</v>
      </c>
      <c r="E13" s="2159" t="s">
        <v>2154</v>
      </c>
      <c r="F13" s="1217">
        <f ca="1">IF(G13&lt;B2,"已过期",2000110137)</f>
        <v>2000110137</v>
      </c>
      <c r="G13" s="2160">
        <v>46387</v>
      </c>
      <c r="H13" s="2161" t="str">
        <f t="shared" ca="1" si="1"/>
        <v>刘敬东（注册号：2000110137）</v>
      </c>
    </row>
    <row r="14" spans="1:8" ht="24" customHeight="1">
      <c r="A14" s="1217" t="s">
        <v>2155</v>
      </c>
      <c r="B14" s="1217" t="str">
        <f ca="1">IF(C14&lt;B2,"已过期",1119980106)</f>
        <v>已过期</v>
      </c>
      <c r="C14" s="2162">
        <v>44969</v>
      </c>
      <c r="D14" s="2158" t="str">
        <f t="shared" ca="1" si="0"/>
        <v>刘俊财（注册号：已过期）</v>
      </c>
      <c r="E14" s="2159" t="s">
        <v>2155</v>
      </c>
      <c r="F14" s="1217">
        <f ca="1">IF(G14&lt;B2,"已过期",96010063)</f>
        <v>96010063</v>
      </c>
      <c r="G14" s="2160">
        <v>47483</v>
      </c>
      <c r="H14" s="2161" t="str">
        <f t="shared" ca="1" si="1"/>
        <v>刘俊财（注册号：96010063）</v>
      </c>
    </row>
    <row r="15" spans="1:8" ht="24" customHeight="1">
      <c r="A15" s="1217" t="s">
        <v>2435</v>
      </c>
      <c r="B15" s="1217">
        <v>1120210056</v>
      </c>
      <c r="C15" s="2162">
        <v>45410</v>
      </c>
      <c r="D15" s="2158" t="str">
        <f t="shared" si="0"/>
        <v>宁小鳗（注册号：1120210056）</v>
      </c>
      <c r="E15" s="2159" t="s">
        <v>2156</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227" t="s">
        <v>2157</v>
      </c>
      <c r="B17" s="3227"/>
      <c r="C17" s="3227"/>
      <c r="D17" s="3227"/>
      <c r="E17" s="3227"/>
      <c r="F17" s="3227"/>
      <c r="G17" s="3227"/>
      <c r="H17" s="3227"/>
    </row>
    <row r="18" spans="1:8" ht="24" customHeight="1">
      <c r="A18" s="3228" t="s">
        <v>2158</v>
      </c>
      <c r="B18" s="3228"/>
      <c r="C18" s="3228"/>
      <c r="D18" s="2155"/>
      <c r="E18" s="3229" t="s">
        <v>2159</v>
      </c>
      <c r="F18" s="3228"/>
      <c r="G18" s="3228"/>
    </row>
    <row r="19" spans="1:8" s="2165" customFormat="1" ht="24" customHeight="1">
      <c r="A19" s="2164" t="s">
        <v>2160</v>
      </c>
      <c r="B19" s="1217" t="s">
        <v>2161</v>
      </c>
      <c r="C19" s="1217" t="s">
        <v>2140</v>
      </c>
      <c r="D19" s="2155"/>
      <c r="E19" s="2159" t="s">
        <v>2160</v>
      </c>
      <c r="F19" s="1217" t="s">
        <v>2161</v>
      </c>
      <c r="G19" s="1217" t="s">
        <v>2140</v>
      </c>
    </row>
    <row r="20" spans="1:8" s="2165" customFormat="1" ht="24" customHeight="1">
      <c r="A20" s="2166" t="s">
        <v>2162</v>
      </c>
      <c r="B20" s="2166" t="s">
        <v>2163</v>
      </c>
      <c r="C20" s="2160">
        <v>45898</v>
      </c>
      <c r="D20" s="2167"/>
      <c r="E20" s="2168" t="s">
        <v>2164</v>
      </c>
      <c r="F20" s="2171" t="s">
        <v>2436</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存贷款利率</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2024-10-22T05:48:45Z</dcterms:modified>
</cp:coreProperties>
</file>