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金鱼池（前门前）"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典型户型修正" sheetId="31" r:id="rId21"/>
    <sheet name="收益法" sheetId="15" r:id="rId22"/>
    <sheet name="成本法" sheetId="68" r:id="rId23"/>
    <sheet name="成本法 (元)" sheetId="69"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8">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5" i="74"/>
  <c r="B15" i="74"/>
  <c r="B27" i="31" l="1"/>
  <c r="B26" i="31"/>
  <c r="B25" i="31"/>
  <c r="B24" i="31"/>
  <c r="C36" i="33"/>
  <c r="I7" i="33"/>
  <c r="G7" i="33"/>
  <c r="E7" i="33"/>
  <c r="I7" i="34"/>
  <c r="G7" i="34"/>
  <c r="E7" i="34"/>
  <c r="Y6" i="1"/>
  <c r="N19" i="1"/>
  <c r="N21" i="1" s="1"/>
  <c r="G19" i="6"/>
  <c r="F19" i="6"/>
  <c r="K13" i="3"/>
  <c r="I13" i="3"/>
  <c r="G49" i="77"/>
  <c r="G48" i="77"/>
  <c r="G47" i="77"/>
  <c r="G45" i="77"/>
  <c r="E43" i="77"/>
  <c r="E47" i="77"/>
  <c r="E46" i="77"/>
  <c r="E48" i="77"/>
  <c r="I42" i="77" l="1"/>
  <c r="H30" i="77" s="1"/>
  <c r="I29" i="77"/>
  <c r="H23" i="77" s="1"/>
  <c r="I22" i="77"/>
  <c r="H22" i="77"/>
  <c r="I21" i="77"/>
  <c r="H8" i="77" s="1"/>
  <c r="I7" i="77"/>
  <c r="I43" i="77" s="1"/>
  <c r="H5" i="77"/>
  <c r="I4" i="77"/>
  <c r="H4" i="77"/>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M6" i="1" s="1"/>
  <c r="O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AA34" i="33"/>
  <c r="B41" i="1"/>
  <c r="F48" i="9" s="1"/>
  <c r="O52" i="9"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BA13" i="3"/>
  <c r="E10" i="6"/>
  <c r="BA5" i="3"/>
  <c r="E11" i="6"/>
  <c r="E61" i="39" s="1"/>
  <c r="BL17" i="3"/>
  <c r="AZ17" i="3"/>
  <c r="BL13" i="3"/>
  <c r="E65" i="39"/>
  <c r="G30" i="6"/>
  <c r="G31" i="6" s="1"/>
  <c r="J56" i="9"/>
  <c r="J57" i="9" s="1"/>
  <c r="J59" i="9" s="1"/>
  <c r="J61" i="9" s="1"/>
  <c r="A24" i="51"/>
  <c r="B18" i="72" s="1"/>
  <c r="U29" i="34"/>
  <c r="E14" i="6"/>
  <c r="E5" i="6"/>
  <c r="H22" i="43"/>
  <c r="H101" i="43"/>
  <c r="G22" i="43"/>
  <c r="E32" i="6"/>
  <c r="L19" i="6"/>
  <c r="G1" i="68"/>
  <c r="K1" i="12"/>
  <c r="F30" i="6"/>
  <c r="E28" i="6"/>
  <c r="E30" i="6" s="1"/>
  <c r="E57" i="40"/>
  <c r="S2" i="43"/>
  <c r="AQ12" i="1"/>
  <c r="AR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E62" i="39"/>
  <c r="B6" i="1"/>
  <c r="E6" i="1" s="1"/>
  <c r="S8" i="1"/>
  <c r="K11" i="1"/>
  <c r="M11" i="1" s="1"/>
  <c r="AP6" i="1"/>
  <c r="C36" i="69" s="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c r="F28" i="67"/>
  <c r="F31" i="12"/>
  <c r="F52" i="9"/>
  <c r="M18" i="67"/>
  <c r="F32" i="67"/>
  <c r="F60" i="67"/>
  <c r="F30" i="69"/>
  <c r="F48" i="69" s="1"/>
  <c r="C48" i="69"/>
  <c r="F32" i="15"/>
  <c r="F60" i="15"/>
  <c r="M18" i="15"/>
  <c r="F28" i="15"/>
  <c r="C28" i="15" s="1"/>
  <c r="E63" i="39"/>
  <c r="T11" i="1"/>
  <c r="AR11" i="1"/>
  <c r="T9" i="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K14" i="1"/>
  <c r="M14" i="1" s="1"/>
  <c r="O14" i="1" s="1"/>
  <c r="P14" i="1" s="1"/>
  <c r="BL5" i="3"/>
  <c r="H102" i="43"/>
  <c r="H107" i="43"/>
  <c r="H103" i="43"/>
  <c r="H106" i="43"/>
  <c r="H104" i="43"/>
  <c r="H105" i="43"/>
  <c r="H109" i="43"/>
  <c r="E140" i="3"/>
  <c r="E85" i="3"/>
  <c r="E223" i="3"/>
  <c r="E238" i="3"/>
  <c r="E197" i="3"/>
  <c r="E116" i="3"/>
  <c r="E173" i="3"/>
  <c r="E105" i="3"/>
  <c r="E369" i="3"/>
  <c r="E393" i="3"/>
  <c r="E525" i="3"/>
  <c r="E493" i="3"/>
  <c r="E534" i="3"/>
  <c r="E564" i="3"/>
  <c r="T6" i="3"/>
  <c r="E543" i="3"/>
  <c r="E405" i="3"/>
  <c r="E427" i="3"/>
  <c r="E456" i="3"/>
  <c r="E486" i="3"/>
  <c r="E469" i="3"/>
  <c r="E507" i="3"/>
  <c r="E512" i="3"/>
  <c r="E422" i="3"/>
  <c r="E438" i="3"/>
  <c r="E408" i="3"/>
  <c r="E424" i="3"/>
  <c r="E440" i="3"/>
  <c r="E457" i="3"/>
  <c r="E451" i="3"/>
  <c r="E465" i="3"/>
  <c r="E490" i="3"/>
  <c r="E288" i="3"/>
  <c r="E360" i="3"/>
  <c r="E344" i="3"/>
  <c r="E376" i="3"/>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L27" i="6"/>
  <c r="AP7" i="1"/>
  <c r="Q16" i="1"/>
  <c r="F27" i="69" s="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AC11" i="34" s="1"/>
  <c r="W27" i="33"/>
  <c r="AC27" i="33"/>
  <c r="W25" i="33"/>
  <c r="AC25" i="33"/>
  <c r="AA23" i="33"/>
  <c r="S23" i="33"/>
  <c r="AB19" i="33"/>
  <c r="U19" i="33"/>
  <c r="AA17" i="33"/>
  <c r="S17" i="33"/>
  <c r="U17" i="33"/>
  <c r="AB17" i="33"/>
  <c r="U23" i="21"/>
  <c r="AB23" i="21"/>
  <c r="AC23" i="21"/>
  <c r="W23" i="21"/>
  <c r="F28" i="12"/>
  <c r="AC11" i="37"/>
  <c r="W11" i="37"/>
  <c r="W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J10" i="39" s="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68" i="39"/>
  <c r="E68" i="39" s="1"/>
  <c r="J10" i="40"/>
  <c r="AC10" i="40" s="1"/>
  <c r="D58" i="21"/>
  <c r="E58" i="21" s="1"/>
  <c r="F58" i="21" s="1"/>
  <c r="G58" i="21" s="1"/>
  <c r="H58" i="21" s="1"/>
  <c r="I58" i="21" s="1"/>
  <c r="J58" i="21" s="1"/>
  <c r="K58" i="21" s="1"/>
  <c r="L58" i="21" s="1"/>
  <c r="M58" i="21" s="1"/>
  <c r="N58" i="21" s="1"/>
  <c r="O58" i="21"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W10" i="40"/>
  <c r="D70" i="39"/>
  <c r="V11" i="71"/>
  <c r="C11" i="71"/>
  <c r="D12" i="71"/>
  <c r="E65" i="40"/>
  <c r="F63" i="40"/>
  <c r="F65" i="40" s="1"/>
  <c r="E41" i="43"/>
  <c r="C41" i="43"/>
  <c r="C20" i="43"/>
  <c r="F68" i="39"/>
  <c r="E70" i="39"/>
  <c r="D9" i="71"/>
  <c r="T11" i="71"/>
  <c r="D10" i="71"/>
  <c r="D11" i="71"/>
  <c r="G63" i="40"/>
  <c r="H63" i="40" s="1"/>
  <c r="G68" i="39"/>
  <c r="G70" i="39" s="1"/>
  <c r="F70" i="39"/>
  <c r="C19" i="43"/>
  <c r="U11" i="71"/>
  <c r="G65" i="40"/>
  <c r="H68" i="39"/>
  <c r="H65" i="40"/>
  <c r="I63" i="40"/>
  <c r="I65" i="40" s="1"/>
  <c r="I68" i="39"/>
  <c r="H70" i="39"/>
  <c r="J63" i="40"/>
  <c r="K63" i="40" s="1"/>
  <c r="J68" i="39"/>
  <c r="I70" i="39"/>
  <c r="J65" i="40"/>
  <c r="K68" i="39"/>
  <c r="J70" i="39"/>
  <c r="L68" i="39"/>
  <c r="K70" i="39"/>
  <c r="M68" i="39"/>
  <c r="L70" i="39"/>
  <c r="N68" i="39"/>
  <c r="M70" i="39"/>
  <c r="O68" i="39"/>
  <c r="O70" i="39"/>
  <c r="F7" i="39" s="1"/>
  <c r="S7" i="39" s="1"/>
  <c r="N70" i="39"/>
  <c r="J7" i="39"/>
  <c r="W7" i="39" s="1"/>
  <c r="H7" i="39"/>
  <c r="U7" i="39" s="1"/>
  <c r="E12" i="76"/>
  <c r="F38" i="15"/>
  <c r="D2" i="36"/>
  <c r="F16" i="15"/>
  <c r="F40" i="15"/>
  <c r="E8" i="76"/>
  <c r="D2" i="33"/>
  <c r="AO13" i="1"/>
  <c r="B11" i="76"/>
  <c r="F43" i="15"/>
  <c r="F42" i="67"/>
  <c r="E10" i="76"/>
  <c r="F7" i="15"/>
  <c r="M27" i="67"/>
  <c r="M27" i="15"/>
  <c r="F13" i="67"/>
  <c r="L47" i="15"/>
  <c r="M22" i="15"/>
  <c r="M9" i="15"/>
  <c r="F5" i="73"/>
  <c r="E2" i="69"/>
  <c r="D3" i="73"/>
  <c r="M8" i="67"/>
  <c r="AO9" i="1"/>
  <c r="AO7" i="1"/>
  <c r="L48" i="15"/>
  <c r="F6" i="67"/>
  <c r="F38" i="67"/>
  <c r="F35" i="67"/>
  <c r="AO10" i="1"/>
  <c r="D2" i="35"/>
  <c r="E11" i="76"/>
  <c r="M23" i="67"/>
  <c r="M28" i="15"/>
  <c r="D4" i="73"/>
  <c r="M6" i="67"/>
  <c r="L48" i="67"/>
  <c r="M8" i="15"/>
  <c r="M9" i="67"/>
  <c r="M29" i="67"/>
  <c r="F7" i="67"/>
  <c r="F36" i="67"/>
  <c r="F37" i="67"/>
  <c r="B13" i="76"/>
  <c r="AO8" i="1"/>
  <c r="E2" i="68"/>
  <c r="D2" i="21"/>
  <c r="D5" i="73"/>
  <c r="F26" i="67"/>
  <c r="F9" i="67"/>
  <c r="F3" i="73"/>
  <c r="M26" i="15"/>
  <c r="B7" i="76"/>
  <c r="M24" i="67"/>
  <c r="B9" i="76"/>
  <c r="F9" i="15"/>
  <c r="D7" i="73"/>
  <c r="F7" i="73"/>
  <c r="M28" i="67"/>
  <c r="C76" i="67"/>
  <c r="M21" i="67"/>
  <c r="F6" i="15"/>
  <c r="D2" i="34"/>
  <c r="E7" i="76"/>
  <c r="F26" i="15"/>
  <c r="AO12" i="1"/>
  <c r="F37" i="15"/>
  <c r="F42" i="15"/>
  <c r="D6" i="73"/>
  <c r="L47" i="67"/>
  <c r="M22" i="67"/>
  <c r="F8" i="67"/>
  <c r="F20" i="31"/>
  <c r="F6" i="73"/>
  <c r="B10" i="76"/>
  <c r="C76" i="15"/>
  <c r="F16" i="67"/>
  <c r="F4" i="73"/>
  <c r="M29" i="15"/>
  <c r="F40" i="67"/>
  <c r="J15" i="67"/>
  <c r="B8" i="76"/>
  <c r="AO11" i="1"/>
  <c r="F8" i="15"/>
  <c r="F43" i="67"/>
  <c r="M6" i="15"/>
  <c r="B12" i="76"/>
  <c r="J15" i="15"/>
  <c r="M24" i="15"/>
  <c r="M26" i="67"/>
  <c r="F13" i="15"/>
  <c r="E9" i="76"/>
  <c r="F41" i="67"/>
  <c r="D2" i="37"/>
  <c r="F36" i="15"/>
  <c r="M23" i="15"/>
  <c r="E13" i="76"/>
  <c r="F36" i="33" l="1"/>
  <c r="J36" i="33"/>
  <c r="G111" i="33"/>
  <c r="H111" i="33" s="1"/>
  <c r="I111" i="33" s="1"/>
  <c r="J111" i="33" s="1"/>
  <c r="K111" i="33" s="1"/>
  <c r="L111" i="33" s="1"/>
  <c r="M111" i="33" s="1"/>
  <c r="H36" i="33"/>
  <c r="U9" i="33"/>
  <c r="S9" i="33"/>
  <c r="U8" i="33"/>
  <c r="S8" i="33"/>
  <c r="AA11" i="34"/>
  <c r="P61" i="15"/>
  <c r="K16" i="1"/>
  <c r="AR7" i="1"/>
  <c r="C34" i="69"/>
  <c r="C35" i="69" s="1"/>
  <c r="F27" i="11"/>
  <c r="C47" i="11" s="1"/>
  <c r="D45" i="11" s="1"/>
  <c r="T7" i="1"/>
  <c r="H16" i="1"/>
  <c r="H10" i="39"/>
  <c r="E53" i="3"/>
  <c r="E319" i="3"/>
  <c r="E501" i="3"/>
  <c r="E153" i="3"/>
  <c r="E426" i="3"/>
  <c r="E328" i="3"/>
  <c r="E539"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117" i="3"/>
  <c r="E175" i="3"/>
  <c r="E530" i="3"/>
  <c r="E343" i="3"/>
  <c r="E305" i="3"/>
  <c r="E508" i="3"/>
  <c r="E32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I3" i="6"/>
  <c r="E367" i="3"/>
  <c r="E374" i="3"/>
  <c r="E345" i="3"/>
  <c r="E255" i="3"/>
  <c r="E477" i="3"/>
  <c r="E459" i="3"/>
  <c r="E443" i="3"/>
  <c r="E449" i="3"/>
  <c r="E432" i="3"/>
  <c r="E416" i="3"/>
  <c r="E400" i="3"/>
  <c r="E430" i="3"/>
  <c r="E406" i="3"/>
  <c r="E527" i="3"/>
  <c r="E481" i="3"/>
  <c r="E474" i="3"/>
  <c r="E472" i="3"/>
  <c r="E458" i="3"/>
  <c r="E437" i="3"/>
  <c r="E529" i="3"/>
  <c r="E560" i="3"/>
  <c r="E573" i="3"/>
  <c r="Q6" i="3"/>
  <c r="E532" i="3"/>
  <c r="K6" i="3"/>
  <c r="E519" i="3"/>
  <c r="E330" i="3"/>
  <c r="E313" i="3"/>
  <c r="E133" i="3"/>
  <c r="E193" i="3"/>
  <c r="E177" i="3"/>
  <c r="E224" i="3"/>
  <c r="E277" i="3"/>
  <c r="E45" i="3"/>
  <c r="E120" i="3"/>
  <c r="AY6" i="3"/>
  <c r="E64" i="39"/>
  <c r="E59" i="40"/>
  <c r="E125" i="3"/>
  <c r="E217" i="3"/>
  <c r="E366" i="3"/>
  <c r="E526" i="3"/>
  <c r="E553" i="3"/>
  <c r="E268" i="3"/>
  <c r="E282" i="3"/>
  <c r="E322" i="3"/>
  <c r="N6" i="3"/>
  <c r="AJ6" i="3"/>
  <c r="E347"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AR9" i="1"/>
  <c r="AQ9" i="1"/>
  <c r="AR13" i="1"/>
  <c r="AQ13" i="1"/>
  <c r="T13" i="1"/>
  <c r="AQ10" i="1"/>
  <c r="T10" i="1"/>
  <c r="AR12" i="1"/>
  <c r="T12" i="1"/>
  <c r="AC10" i="39"/>
  <c r="W10" i="39"/>
  <c r="B113" i="43"/>
  <c r="F101" i="43"/>
  <c r="E22" i="43"/>
  <c r="D22" i="43" s="1"/>
  <c r="C101" i="43"/>
  <c r="N104" i="46"/>
  <c r="L101" i="43"/>
  <c r="D101" i="43"/>
  <c r="M101" i="43"/>
  <c r="I101" i="43"/>
  <c r="E101" i="43"/>
  <c r="S5" i="43"/>
  <c r="T5" i="43" s="1"/>
  <c r="V5" i="43" s="1"/>
  <c r="C23" i="43"/>
  <c r="C21" i="43" s="1"/>
  <c r="S3" i="43"/>
  <c r="T3" i="43" s="1"/>
  <c r="V3" i="43" s="1"/>
  <c r="J22" i="43"/>
  <c r="F22" i="43"/>
  <c r="K101" i="43"/>
  <c r="N101" i="43"/>
  <c r="G101" i="43"/>
  <c r="J101" i="43"/>
  <c r="D9" i="11"/>
  <c r="C9" i="11" s="1"/>
  <c r="D19" i="12"/>
  <c r="C19" i="1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C94" i="9"/>
  <c r="C92" i="9"/>
  <c r="C48" i="68"/>
  <c r="C31" i="12"/>
  <c r="C21" i="69"/>
  <c r="D23"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F27" i="6"/>
  <c r="F31" i="6" s="1"/>
  <c r="E51" i="40"/>
  <c r="E56" i="39"/>
  <c r="C36" i="11"/>
  <c r="E3" i="6"/>
  <c r="D9" i="68"/>
  <c r="C9" i="68" s="1"/>
  <c r="E16" i="6"/>
  <c r="D9" i="69"/>
  <c r="C9" i="69" s="1"/>
  <c r="E56" i="40"/>
  <c r="P6" i="1"/>
  <c r="O11" i="1"/>
  <c r="P11" i="1" s="1"/>
  <c r="O9" i="1"/>
  <c r="P9" i="1" s="1"/>
  <c r="O8" i="1"/>
  <c r="M16" i="1"/>
  <c r="C34" i="68" s="1"/>
  <c r="P8" i="1"/>
  <c r="C29" i="11"/>
  <c r="D27" i="11" s="1"/>
  <c r="P7" i="1"/>
  <c r="F27" i="68"/>
  <c r="F45" i="68" s="1"/>
  <c r="C5" i="43"/>
  <c r="T11" i="43" s="1"/>
  <c r="V11" i="43" s="1"/>
  <c r="D5" i="43"/>
  <c r="T14" i="43"/>
  <c r="V14" i="43" s="1"/>
  <c r="D12" i="52"/>
  <c r="D127" i="9"/>
  <c r="D13" i="52" s="1"/>
  <c r="C29" i="12"/>
  <c r="D28" i="12" s="1"/>
  <c r="K65" i="40"/>
  <c r="L63" i="40"/>
  <c r="F59" i="34"/>
  <c r="G59" i="34" s="1"/>
  <c r="H59" i="34" s="1"/>
  <c r="I59" i="34" s="1"/>
  <c r="J59" i="34" s="1"/>
  <c r="K59" i="34" s="1"/>
  <c r="L59" i="34" s="1"/>
  <c r="M59" i="34" s="1"/>
  <c r="N59" i="34" s="1"/>
  <c r="O59" i="34" s="1"/>
  <c r="J7" i="34"/>
  <c r="H7" i="34"/>
  <c r="F7" i="34"/>
  <c r="D46" i="36"/>
  <c r="F7" i="21"/>
  <c r="J7" i="21"/>
  <c r="H7" i="21"/>
  <c r="F10" i="39"/>
  <c r="F10" i="40"/>
  <c r="H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C47" i="69"/>
  <c r="D45" i="69" s="1"/>
  <c r="F45" i="69"/>
  <c r="D9" i="53"/>
  <c r="B25" i="72" s="1"/>
  <c r="B24" i="72"/>
  <c r="K120" i="9"/>
  <c r="A18" i="62" s="1"/>
  <c r="B64" i="72" s="1"/>
  <c r="D6" i="71"/>
  <c r="C5" i="71"/>
  <c r="D5" i="71" s="1"/>
  <c r="T12" i="43"/>
  <c r="V12" i="43" s="1"/>
  <c r="Y7" i="71"/>
  <c r="Z7" i="71" s="1"/>
  <c r="Y6" i="71"/>
  <c r="AA7" i="71"/>
  <c r="AB3" i="71"/>
  <c r="C35" i="43"/>
  <c r="E35" i="43" s="1"/>
  <c r="C36" i="43"/>
  <c r="E36" i="43" s="1"/>
  <c r="T9" i="43"/>
  <c r="V9" i="43" s="1"/>
  <c r="C39" i="43"/>
  <c r="C29" i="69"/>
  <c r="D27" i="69" s="1"/>
  <c r="C37" i="43"/>
  <c r="E37" i="43" s="1"/>
  <c r="B7" i="71"/>
  <c r="B6" i="71" s="1"/>
  <c r="B5" i="71" s="1"/>
  <c r="X7" i="71"/>
  <c r="AB7" i="71"/>
  <c r="T4" i="43"/>
  <c r="V4" i="43" s="1"/>
  <c r="T6" i="43"/>
  <c r="V6" i="43" s="1"/>
  <c r="Z6" i="71"/>
  <c r="Y3" i="71"/>
  <c r="Z3" i="71" s="1"/>
  <c r="D7" i="71"/>
  <c r="F7" i="71"/>
  <c r="F6" i="71" s="1"/>
  <c r="F5" i="71" s="1"/>
  <c r="AC7" i="39"/>
  <c r="V47" i="39" s="1"/>
  <c r="I47" i="39" s="1"/>
  <c r="I51" i="39" s="1"/>
  <c r="J51" i="39" s="1"/>
  <c r="AA7" i="39"/>
  <c r="R47" i="39" s="1"/>
  <c r="R48" i="39" s="1"/>
  <c r="AF3" i="71"/>
  <c r="P22" i="43" s="1"/>
  <c r="AB7" i="39"/>
  <c r="T47" i="39" s="1"/>
  <c r="G47" i="39" s="1"/>
  <c r="G37" i="43"/>
  <c r="I37" i="43" s="1"/>
  <c r="C38" i="69"/>
  <c r="C34" i="43"/>
  <c r="T10" i="43"/>
  <c r="V10" i="43" s="1"/>
  <c r="C33" i="43"/>
  <c r="T13" i="43"/>
  <c r="V13" i="43" s="1"/>
  <c r="T2" i="43"/>
  <c r="V2" i="43" s="1"/>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C17" i="67"/>
  <c r="C14" i="67"/>
  <c r="G1" i="73"/>
  <c r="C16" i="15"/>
  <c r="C17" i="15"/>
  <c r="C16" i="67"/>
  <c r="AB36" i="33" l="1"/>
  <c r="U36" i="33"/>
  <c r="AC36" i="33"/>
  <c r="W36" i="33"/>
  <c r="AA36" i="33"/>
  <c r="S36" i="33"/>
  <c r="E66" i="39"/>
  <c r="C15" i="15"/>
  <c r="C18" i="15"/>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98" i="3"/>
  <c r="AY18" i="3"/>
  <c r="AY171" i="3"/>
  <c r="AY90" i="3"/>
  <c r="AY163" i="3"/>
  <c r="AY75" i="3"/>
  <c r="AY237" i="3"/>
  <c r="AY387" i="3"/>
  <c r="AY334" i="3"/>
  <c r="AY444" i="3"/>
  <c r="AY526" i="3"/>
  <c r="AY269" i="3"/>
  <c r="AY390" i="3"/>
  <c r="AY311" i="3"/>
  <c r="AY447" i="3"/>
  <c r="AY535" i="3"/>
  <c r="BK6" i="3"/>
  <c r="AY569" i="3"/>
  <c r="AY541" i="3"/>
  <c r="AY553" i="3"/>
  <c r="AY108" i="3"/>
  <c r="AY77" i="3"/>
  <c r="AY45" i="3"/>
  <c r="AY60"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AB10" i="39"/>
  <c r="U10" i="39"/>
  <c r="C35" i="68"/>
  <c r="C38" i="68"/>
  <c r="J104" i="43"/>
  <c r="J105" i="43"/>
  <c r="J103" i="43"/>
  <c r="J106" i="43"/>
  <c r="J109" i="43"/>
  <c r="J102" i="43"/>
  <c r="J107" i="43"/>
  <c r="N102" i="43"/>
  <c r="N103" i="43"/>
  <c r="N106" i="43"/>
  <c r="N107" i="43"/>
  <c r="N109" i="43"/>
  <c r="N105" i="43"/>
  <c r="N104" i="43"/>
  <c r="I109" i="43"/>
  <c r="I102" i="43"/>
  <c r="I106" i="43"/>
  <c r="I103" i="43"/>
  <c r="I104" i="43"/>
  <c r="I107" i="43"/>
  <c r="I105" i="43"/>
  <c r="D109" i="43"/>
  <c r="D103" i="43"/>
  <c r="D104" i="43"/>
  <c r="D107" i="43"/>
  <c r="D105" i="43"/>
  <c r="D106" i="43"/>
  <c r="D102" i="43"/>
  <c r="B115" i="43"/>
  <c r="I118" i="43"/>
  <c r="J118" i="43" s="1"/>
  <c r="K118" i="43" s="1"/>
  <c r="L118" i="43" s="1"/>
  <c r="M118"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D118" i="43"/>
  <c r="E118" i="43" s="1"/>
  <c r="F118" i="43" s="1"/>
  <c r="I117" i="43"/>
  <c r="J117" i="43" s="1"/>
  <c r="K117" i="43" s="1"/>
  <c r="L117" i="43" s="1"/>
  <c r="M117" i="43" s="1"/>
  <c r="B117" i="43"/>
  <c r="C117" i="43" s="1"/>
  <c r="I115" i="43"/>
  <c r="J115" i="43" s="1"/>
  <c r="K115" i="43" s="1"/>
  <c r="L115" i="43" s="1"/>
  <c r="M115" i="43" s="1"/>
  <c r="B116" i="43"/>
  <c r="C116" i="43" s="1"/>
  <c r="D115" i="43"/>
  <c r="E115" i="43" s="1"/>
  <c r="F115" i="43" s="1"/>
  <c r="G115" i="43" s="1"/>
  <c r="H115" i="43" s="1"/>
  <c r="O16" i="1"/>
  <c r="G105" i="43"/>
  <c r="G102" i="43"/>
  <c r="G103" i="43"/>
  <c r="G104" i="43"/>
  <c r="G106" i="43"/>
  <c r="G107" i="43"/>
  <c r="G109" i="43"/>
  <c r="K103" i="43"/>
  <c r="K107" i="43"/>
  <c r="K104" i="43"/>
  <c r="K106" i="43"/>
  <c r="K109" i="43"/>
  <c r="K102" i="43"/>
  <c r="K105" i="43"/>
  <c r="E102" i="43"/>
  <c r="E106" i="43"/>
  <c r="E103" i="43"/>
  <c r="E109" i="43"/>
  <c r="E104" i="43"/>
  <c r="E107" i="43"/>
  <c r="E105" i="43"/>
  <c r="M102" i="43"/>
  <c r="M106" i="43"/>
  <c r="M103" i="43"/>
  <c r="M109" i="43"/>
  <c r="M104" i="43"/>
  <c r="M107" i="43"/>
  <c r="M105" i="43"/>
  <c r="L109" i="43"/>
  <c r="L102" i="43"/>
  <c r="L105" i="43"/>
  <c r="L104" i="43"/>
  <c r="L106" i="43"/>
  <c r="L107" i="43"/>
  <c r="L103" i="43"/>
  <c r="C104" i="43"/>
  <c r="C105" i="43"/>
  <c r="C102" i="43"/>
  <c r="C106" i="43"/>
  <c r="C107" i="43"/>
  <c r="C103" i="43"/>
  <c r="C109" i="43"/>
  <c r="F104" i="43"/>
  <c r="F107" i="43"/>
  <c r="F106" i="43"/>
  <c r="F103" i="43"/>
  <c r="F109" i="43"/>
  <c r="F102" i="43"/>
  <c r="F105" i="43"/>
  <c r="E27" i="6"/>
  <c r="C47" i="68"/>
  <c r="D45" i="68" s="1"/>
  <c r="D3" i="21"/>
  <c r="D19" i="11"/>
  <c r="C19" i="11" s="1"/>
  <c r="C17" i="4"/>
  <c r="L18" i="9"/>
  <c r="D3" i="37"/>
  <c r="D3" i="34"/>
  <c r="D37" i="11"/>
  <c r="C37" i="11" s="1"/>
  <c r="M18" i="9"/>
  <c r="B118" i="9" s="1"/>
  <c r="B14" i="74" s="1"/>
  <c r="B1" i="74" s="1"/>
  <c r="D25" i="6"/>
  <c r="D15" i="6"/>
  <c r="D22" i="6"/>
  <c r="D21" i="6"/>
  <c r="D24" i="6"/>
  <c r="D20" i="6"/>
  <c r="D5" i="6"/>
  <c r="D12" i="6"/>
  <c r="D11" i="6"/>
  <c r="D13" i="6"/>
  <c r="D28" i="6"/>
  <c r="D9" i="6"/>
  <c r="D10" i="6"/>
  <c r="D29" i="6"/>
  <c r="D3" i="33"/>
  <c r="E6" i="6"/>
  <c r="D14" i="12"/>
  <c r="D19" i="6"/>
  <c r="D26" i="6"/>
  <c r="D8" i="6"/>
  <c r="D23" i="6"/>
  <c r="D14" i="6"/>
  <c r="C29" i="68"/>
  <c r="D27" i="68" s="1"/>
  <c r="C34" i="11"/>
  <c r="N16" i="1"/>
  <c r="L16" i="1"/>
  <c r="P16" i="1"/>
  <c r="C11" i="12" s="1"/>
  <c r="T8" i="43"/>
  <c r="V8" i="43" s="1"/>
  <c r="T16" i="43"/>
  <c r="V16" i="43" s="1"/>
  <c r="T7" i="43"/>
  <c r="V7" i="43" s="1"/>
  <c r="C29" i="43"/>
  <c r="E29" i="43" s="1"/>
  <c r="T15" i="43"/>
  <c r="V15" i="43" s="1"/>
  <c r="G35" i="43"/>
  <c r="I35" i="43" s="1"/>
  <c r="G36" i="43"/>
  <c r="I36" i="43" s="1"/>
  <c r="E47" i="39"/>
  <c r="E51" i="39" s="1"/>
  <c r="F51" i="39" s="1"/>
  <c r="AA7" i="33"/>
  <c r="R48" i="33" s="1"/>
  <c r="S7" i="33"/>
  <c r="E48" i="35"/>
  <c r="S10" i="40"/>
  <c r="AA10" i="40"/>
  <c r="AB7" i="21"/>
  <c r="T48" i="21" s="1"/>
  <c r="G48" i="21" s="1"/>
  <c r="U7" i="21"/>
  <c r="AA7" i="21"/>
  <c r="R48" i="21" s="1"/>
  <c r="S7" i="21"/>
  <c r="E46" i="36"/>
  <c r="U7" i="34"/>
  <c r="AB7" i="34"/>
  <c r="T49" i="34" s="1"/>
  <c r="G49" i="34" s="1"/>
  <c r="L65" i="40"/>
  <c r="M63" i="40"/>
  <c r="U7" i="33"/>
  <c r="AB7" i="33"/>
  <c r="T48" i="33" s="1"/>
  <c r="G48" i="33" s="1"/>
  <c r="W7" i="33"/>
  <c r="AC7" i="33"/>
  <c r="V48" i="33" s="1"/>
  <c r="I48" i="33" s="1"/>
  <c r="E52" i="37"/>
  <c r="AB10" i="40"/>
  <c r="U10" i="40"/>
  <c r="AA10" i="39"/>
  <c r="S10" i="39"/>
  <c r="W7" i="21"/>
  <c r="AC7" i="21"/>
  <c r="V48" i="21" s="1"/>
  <c r="I48" i="21" s="1"/>
  <c r="S7" i="34"/>
  <c r="AA7" i="34"/>
  <c r="R49" i="34" s="1"/>
  <c r="AC7" i="34"/>
  <c r="V49" i="34" s="1"/>
  <c r="I49" i="34" s="1"/>
  <c r="W7" i="34"/>
  <c r="M17" i="67"/>
  <c r="M17" i="15"/>
  <c r="F59" i="15"/>
  <c r="P24" i="43"/>
  <c r="B66" i="40" s="1"/>
  <c r="P21" i="43"/>
  <c r="C49" i="67"/>
  <c r="E39" i="43"/>
  <c r="G39" i="43"/>
  <c r="I39" i="43" s="1"/>
  <c r="I52" i="39"/>
  <c r="J52" i="39" s="1"/>
  <c r="P25" i="43"/>
  <c r="P23" i="43"/>
  <c r="B71" i="39" s="1"/>
  <c r="M20" i="43"/>
  <c r="C30" i="43"/>
  <c r="E30" i="43" s="1"/>
  <c r="C48" i="39"/>
  <c r="C47" i="39"/>
  <c r="E38" i="43"/>
  <c r="G38" i="43"/>
  <c r="I38" i="43" s="1"/>
  <c r="G34" i="43"/>
  <c r="I34" i="43" s="1"/>
  <c r="E34" i="43"/>
  <c r="G51" i="39"/>
  <c r="H51" i="39" s="1"/>
  <c r="G52" i="39"/>
  <c r="H52" i="39" s="1"/>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M19" i="9"/>
  <c r="C118" i="9" s="1"/>
  <c r="C14" i="74" s="1"/>
  <c r="B2" i="74" s="1"/>
  <c r="C18" i="4"/>
  <c r="C4" i="52" s="1"/>
  <c r="B45" i="72" s="1"/>
  <c r="L19" i="9"/>
  <c r="E61" i="40"/>
  <c r="D30" i="6"/>
  <c r="K21" i="6"/>
  <c r="M21" i="6" s="1"/>
  <c r="I21" i="6" s="1"/>
  <c r="K19" i="6"/>
  <c r="S6" i="1" s="1"/>
  <c r="K25" i="6"/>
  <c r="M25" i="6" s="1"/>
  <c r="I25" i="6" s="1"/>
  <c r="K20" i="6"/>
  <c r="M20" i="6" s="1"/>
  <c r="I20" i="6" s="1"/>
  <c r="K24" i="6"/>
  <c r="M24" i="6" s="1"/>
  <c r="I24" i="6" s="1"/>
  <c r="K26" i="6"/>
  <c r="M26" i="6" s="1"/>
  <c r="I26" i="6" s="1"/>
  <c r="K22" i="6"/>
  <c r="M22" i="6" s="1"/>
  <c r="I22" i="6" s="1"/>
  <c r="K23" i="6"/>
  <c r="M23" i="6" s="1"/>
  <c r="I23" i="6" s="1"/>
  <c r="E31" i="6"/>
  <c r="D16" i="6"/>
  <c r="D113" i="43"/>
  <c r="C115" i="43"/>
  <c r="D17" i="12"/>
  <c r="C17" i="12" s="1"/>
  <c r="C14" i="12"/>
  <c r="B4" i="52"/>
  <c r="B43" i="72" s="1"/>
  <c r="A10" i="51"/>
  <c r="B9" i="72" s="1"/>
  <c r="A7" i="51"/>
  <c r="B7" i="72" s="1"/>
  <c r="D27" i="6"/>
  <c r="D31" i="6" s="1"/>
  <c r="D10" i="11"/>
  <c r="C10" i="11" s="1"/>
  <c r="D6" i="6"/>
  <c r="D10" i="68"/>
  <c r="D10" i="69"/>
  <c r="D20" i="12"/>
  <c r="C20" i="12" s="1"/>
  <c r="C18" i="12" s="1"/>
  <c r="C8" i="74"/>
  <c r="C7" i="74"/>
  <c r="C20" i="11"/>
  <c r="C28" i="11" s="1"/>
  <c r="C27" i="11" s="1"/>
  <c r="C15" i="12"/>
  <c r="C12" i="12"/>
  <c r="F50" i="11"/>
  <c r="F50" i="68"/>
  <c r="F50" i="69"/>
  <c r="C38" i="11"/>
  <c r="C35" i="11"/>
  <c r="E52" i="39"/>
  <c r="F52" i="39" s="1"/>
  <c r="I53" i="34"/>
  <c r="J53" i="34" s="1"/>
  <c r="F52" i="37"/>
  <c r="R50" i="34"/>
  <c r="E49" i="34"/>
  <c r="I54" i="34" s="1"/>
  <c r="J54" i="34" s="1"/>
  <c r="I52" i="21"/>
  <c r="J52" i="21" s="1"/>
  <c r="I52" i="33"/>
  <c r="J52" i="33" s="1"/>
  <c r="G52" i="33"/>
  <c r="H52" i="33" s="1"/>
  <c r="G53" i="33"/>
  <c r="H53" i="33" s="1"/>
  <c r="M65" i="40"/>
  <c r="N63" i="40"/>
  <c r="G53" i="34"/>
  <c r="H53" i="34" s="1"/>
  <c r="G54" i="34"/>
  <c r="H54" i="34" s="1"/>
  <c r="F46" i="36"/>
  <c r="R49" i="21"/>
  <c r="E48" i="21"/>
  <c r="G52" i="21"/>
  <c r="H52" i="21" s="1"/>
  <c r="G53" i="21"/>
  <c r="H53" i="21" s="1"/>
  <c r="F48" i="35"/>
  <c r="G48" i="35" s="1"/>
  <c r="H48" i="35" s="1"/>
  <c r="I48" i="35" s="1"/>
  <c r="J48" i="35" s="1"/>
  <c r="K48" i="35" s="1"/>
  <c r="L48" i="35" s="1"/>
  <c r="M48" i="35" s="1"/>
  <c r="N48" i="35" s="1"/>
  <c r="O48" i="35" s="1"/>
  <c r="J7" i="35"/>
  <c r="F7" i="35"/>
  <c r="R49" i="33"/>
  <c r="E48" i="33"/>
  <c r="I53" i="33" s="1"/>
  <c r="J53" i="33"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E6" i="76"/>
  <c r="F41" i="15"/>
  <c r="F69" i="15" l="1"/>
  <c r="J29" i="15"/>
  <c r="AQ6" i="1"/>
  <c r="S16" i="1"/>
  <c r="AR6" i="1"/>
  <c r="T6" i="1"/>
  <c r="T16" i="1" s="1"/>
  <c r="D7" i="74"/>
  <c r="D8" i="74"/>
  <c r="S23" i="6"/>
  <c r="H23" i="6"/>
  <c r="R23" i="6" s="1"/>
  <c r="S26" i="6"/>
  <c r="H26" i="6"/>
  <c r="R26" i="6" s="1"/>
  <c r="S20" i="6"/>
  <c r="H20" i="6"/>
  <c r="R20" i="6" s="1"/>
  <c r="K27" i="6"/>
  <c r="M19" i="6"/>
  <c r="S22" i="6"/>
  <c r="H22" i="6"/>
  <c r="R22" i="6" s="1"/>
  <c r="H24" i="6"/>
  <c r="R24" i="6" s="1"/>
  <c r="S24" i="6"/>
  <c r="S25" i="6"/>
  <c r="H25" i="6"/>
  <c r="R25" i="6" s="1"/>
  <c r="H21" i="6"/>
  <c r="R21" i="6" s="1"/>
  <c r="S21" i="6"/>
  <c r="C33" i="11"/>
  <c r="C39" i="11" s="1"/>
  <c r="C46" i="11" s="1"/>
  <c r="C45" i="11" s="1"/>
  <c r="C10" i="69"/>
  <c r="C8" i="69" s="1"/>
  <c r="C5" i="69" s="1"/>
  <c r="C23" i="69" s="1"/>
  <c r="D19" i="69"/>
  <c r="C10" i="68"/>
  <c r="D19" i="68"/>
  <c r="I5" i="6"/>
  <c r="I6" i="6"/>
  <c r="C16" i="12"/>
  <c r="C21" i="12" s="1"/>
  <c r="AC7" i="35"/>
  <c r="V38" i="35" s="1"/>
  <c r="I38" i="35" s="1"/>
  <c r="W7" i="35"/>
  <c r="E52" i="21"/>
  <c r="F52" i="21" s="1"/>
  <c r="E53" i="21"/>
  <c r="F53" i="21" s="1"/>
  <c r="E53" i="33"/>
  <c r="F53" i="33" s="1"/>
  <c r="E52" i="33"/>
  <c r="F52" i="33" s="1"/>
  <c r="AA7" i="35"/>
  <c r="R38" i="35" s="1"/>
  <c r="S7" i="35"/>
  <c r="C49" i="21"/>
  <c r="B2" i="21" s="1"/>
  <c r="B3" i="21" s="1"/>
  <c r="C48" i="21"/>
  <c r="G46" i="36"/>
  <c r="I53" i="21"/>
  <c r="J53" i="21" s="1"/>
  <c r="C49" i="34"/>
  <c r="C50" i="34"/>
  <c r="B2" i="34" s="1"/>
  <c r="B3" i="34" s="1"/>
  <c r="H7" i="35"/>
  <c r="C49" i="33"/>
  <c r="B2" i="33" s="1"/>
  <c r="B3" i="33" s="1"/>
  <c r="C48" i="33"/>
  <c r="R24" i="31" s="1"/>
  <c r="N65" i="40"/>
  <c r="H7" i="40" s="1"/>
  <c r="O63" i="40"/>
  <c r="O65" i="40" s="1"/>
  <c r="E54" i="34"/>
  <c r="F54" i="34" s="1"/>
  <c r="E53" i="34"/>
  <c r="F53" i="34" s="1"/>
  <c r="G52" i="37"/>
  <c r="H52" i="37" s="1"/>
  <c r="I52" i="37" s="1"/>
  <c r="J52" i="37" s="1"/>
  <c r="K52" i="37" s="1"/>
  <c r="L52" i="37" s="1"/>
  <c r="M52" i="37" s="1"/>
  <c r="N52" i="37" s="1"/>
  <c r="O52" i="37" s="1"/>
  <c r="F7" i="37"/>
  <c r="J7" i="37"/>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S24" i="31" l="1"/>
  <c r="R26" i="31"/>
  <c r="S26" i="31" s="1"/>
  <c r="R25" i="31"/>
  <c r="S25" i="31" s="1"/>
  <c r="S22" i="31" s="1"/>
  <c r="R27" i="31"/>
  <c r="S27" i="31" s="1"/>
  <c r="M27" i="6"/>
  <c r="I19" i="6"/>
  <c r="C42" i="11"/>
  <c r="C43" i="11"/>
  <c r="C19" i="69"/>
  <c r="C24" i="69" s="1"/>
  <c r="D37" i="69"/>
  <c r="C37" i="69" s="1"/>
  <c r="C33" i="69" s="1"/>
  <c r="C19" i="68"/>
  <c r="D37" i="68"/>
  <c r="C37" i="68" s="1"/>
  <c r="C33" i="68" s="1"/>
  <c r="C22" i="12"/>
  <c r="C27" i="12" s="1"/>
  <c r="C25" i="12" s="1"/>
  <c r="U7" i="40"/>
  <c r="AB7" i="40"/>
  <c r="T42" i="40" s="1"/>
  <c r="G42" i="40" s="1"/>
  <c r="S7" i="37"/>
  <c r="AA7" i="37"/>
  <c r="R42" i="37" s="1"/>
  <c r="AB7" i="35"/>
  <c r="T38" i="35" s="1"/>
  <c r="G38" i="35" s="1"/>
  <c r="U7" i="35"/>
  <c r="W7" i="37"/>
  <c r="AC7" i="37"/>
  <c r="V42" i="37" s="1"/>
  <c r="I42" i="37" s="1"/>
  <c r="J7" i="40"/>
  <c r="F7" i="40"/>
  <c r="H46" i="36"/>
  <c r="R39" i="35"/>
  <c r="E38" i="35"/>
  <c r="I43" i="35"/>
  <c r="J43" i="35" s="1"/>
  <c r="I42" i="35"/>
  <c r="J42" i="35" s="1"/>
  <c r="H7" i="37"/>
  <c r="B2" i="76"/>
  <c r="B3" i="76" s="1"/>
  <c r="B3" i="43"/>
  <c r="J14" i="15"/>
  <c r="C57" i="15"/>
  <c r="C36" i="15"/>
  <c r="C33" i="15"/>
  <c r="C13" i="15"/>
  <c r="Q49" i="15"/>
  <c r="J19" i="15"/>
  <c r="J59" i="15"/>
  <c r="J60" i="15" s="1"/>
  <c r="C22" i="11"/>
  <c r="C31" i="11" s="1"/>
  <c r="C36" i="67"/>
  <c r="C33" i="67"/>
  <c r="C31" i="67" s="1"/>
  <c r="J14" i="67"/>
  <c r="C13" i="67"/>
  <c r="J19" i="67"/>
  <c r="J17" i="67" s="1"/>
  <c r="C57" i="67"/>
  <c r="Q49" i="67"/>
  <c r="J59" i="67"/>
  <c r="J60" i="67" s="1"/>
  <c r="R22" i="31" l="1"/>
  <c r="B20" i="31"/>
  <c r="C41" i="11"/>
  <c r="C49" i="11" s="1"/>
  <c r="C51" i="11" s="1"/>
  <c r="C52" i="11" s="1"/>
  <c r="B2" i="11" s="1"/>
  <c r="B3" i="11" s="1"/>
  <c r="H19" i="6"/>
  <c r="S19" i="6"/>
  <c r="S27" i="6" s="1"/>
  <c r="I27" i="6"/>
  <c r="C20" i="69"/>
  <c r="C25" i="69" s="1"/>
  <c r="C22" i="69" s="1"/>
  <c r="C30" i="12"/>
  <c r="C28" i="12" s="1"/>
  <c r="C32" i="12" s="1"/>
  <c r="B2" i="12" s="1"/>
  <c r="B3" i="12" s="1"/>
  <c r="C39" i="68"/>
  <c r="C42" i="68"/>
  <c r="C39" i="69"/>
  <c r="C43" i="69" s="1"/>
  <c r="C42" i="69"/>
  <c r="C28" i="69"/>
  <c r="C27" i="69" s="1"/>
  <c r="C20" i="68"/>
  <c r="C25" i="68" s="1"/>
  <c r="C24" i="68"/>
  <c r="H7" i="36"/>
  <c r="E43" i="35"/>
  <c r="F43" i="35" s="1"/>
  <c r="E42" i="35"/>
  <c r="F42" i="35" s="1"/>
  <c r="AA7" i="40"/>
  <c r="R42" i="40" s="1"/>
  <c r="S7" i="40"/>
  <c r="I46" i="37"/>
  <c r="J46" i="37" s="1"/>
  <c r="R43" i="37"/>
  <c r="E42" i="37"/>
  <c r="I47" i="37" s="1"/>
  <c r="J47" i="37" s="1"/>
  <c r="G46" i="40"/>
  <c r="H46" i="40" s="1"/>
  <c r="U7" i="37"/>
  <c r="AB7" i="37"/>
  <c r="T42" i="37" s="1"/>
  <c r="G42" i="37" s="1"/>
  <c r="C38" i="35"/>
  <c r="C39" i="35"/>
  <c r="B2" i="35" s="1"/>
  <c r="B3" i="35" s="1"/>
  <c r="I46" i="36"/>
  <c r="J46" i="36" s="1"/>
  <c r="K46" i="36" s="1"/>
  <c r="L46" i="36" s="1"/>
  <c r="M46" i="36" s="1"/>
  <c r="N46" i="36" s="1"/>
  <c r="O46" i="36" s="1"/>
  <c r="F7" i="36"/>
  <c r="J7" i="36"/>
  <c r="AC7" i="40"/>
  <c r="V42" i="40" s="1"/>
  <c r="I42" i="40" s="1"/>
  <c r="G47" i="40" s="1"/>
  <c r="H47" i="40" s="1"/>
  <c r="W7" i="40"/>
  <c r="G42" i="35"/>
  <c r="H42" i="35" s="1"/>
  <c r="G43" i="35"/>
  <c r="H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D19" i="9"/>
  <c r="L51" i="67"/>
  <c r="D102" i="9" l="1"/>
  <c r="D21" i="9"/>
  <c r="B21" i="31"/>
  <c r="H27" i="6"/>
  <c r="R19" i="6"/>
  <c r="C22" i="68"/>
  <c r="C31" i="69"/>
  <c r="C41" i="69"/>
  <c r="C46" i="69"/>
  <c r="C45" i="69" s="1"/>
  <c r="C28" i="68"/>
  <c r="C27" i="68" s="1"/>
  <c r="C31" i="68" s="1"/>
  <c r="C46" i="68"/>
  <c r="C45" i="68" s="1"/>
  <c r="C43" i="68"/>
  <c r="C41" i="68" s="1"/>
  <c r="AA7" i="36"/>
  <c r="R36" i="36" s="1"/>
  <c r="S7" i="36"/>
  <c r="W7" i="36"/>
  <c r="AC7" i="36"/>
  <c r="V36" i="36" s="1"/>
  <c r="I36" i="36" s="1"/>
  <c r="C42" i="37"/>
  <c r="C43" i="37"/>
  <c r="B2" i="37" s="1"/>
  <c r="B3" i="37" s="1"/>
  <c r="R43" i="40"/>
  <c r="E42" i="40"/>
  <c r="I47" i="40" s="1"/>
  <c r="J47" i="40" s="1"/>
  <c r="I46" i="40"/>
  <c r="J46" i="40" s="1"/>
  <c r="G46" i="37"/>
  <c r="H46" i="37" s="1"/>
  <c r="G47" i="37"/>
  <c r="H47" i="37" s="1"/>
  <c r="E47" i="37"/>
  <c r="F47" i="37" s="1"/>
  <c r="E46" i="37"/>
  <c r="F46" i="37" s="1"/>
  <c r="U7" i="36"/>
  <c r="AB7" i="36"/>
  <c r="T36" i="36" s="1"/>
  <c r="G36" i="36" s="1"/>
  <c r="C56" i="11"/>
  <c r="C57" i="11" s="1"/>
  <c r="J16" i="67"/>
  <c r="J25" i="67" s="1"/>
  <c r="C80" i="67"/>
  <c r="C79" i="67" s="1"/>
  <c r="C58" i="67"/>
  <c r="C67" i="67" s="1"/>
  <c r="C68" i="67" s="1"/>
  <c r="Q69" i="67"/>
  <c r="Q68" i="67" s="1"/>
  <c r="C40" i="67"/>
  <c r="D20" i="9"/>
  <c r="D103" i="9" l="1"/>
  <c r="R27" i="6"/>
  <c r="R6" i="1"/>
  <c r="C49" i="68"/>
  <c r="C51" i="68" s="1"/>
  <c r="C52" i="68" s="1"/>
  <c r="B2" i="68" s="1"/>
  <c r="B3" i="68" s="1"/>
  <c r="C49" i="69"/>
  <c r="C51" i="69" s="1"/>
  <c r="C52" i="69" s="1"/>
  <c r="B2" i="69" s="1"/>
  <c r="B3" i="69" s="1"/>
  <c r="C42" i="40"/>
  <c r="C43" i="40"/>
  <c r="G40" i="36"/>
  <c r="H40" i="36" s="1"/>
  <c r="G41" i="36"/>
  <c r="H41" i="36" s="1"/>
  <c r="E47" i="40"/>
  <c r="F47" i="40" s="1"/>
  <c r="E46" i="40"/>
  <c r="F46" i="40" s="1"/>
  <c r="I40" i="36"/>
  <c r="J40" i="36" s="1"/>
  <c r="R37" i="36"/>
  <c r="E36" i="36"/>
  <c r="Q67" i="67"/>
  <c r="L57" i="67"/>
  <c r="L60" i="67" s="1"/>
  <c r="C45" i="67"/>
  <c r="C46" i="67" s="1"/>
  <c r="C71" i="67"/>
  <c r="C43" i="67"/>
  <c r="D2" i="67"/>
  <c r="Q47" i="67"/>
  <c r="Q53" i="67" s="1"/>
  <c r="Q56" i="67"/>
  <c r="Q65" i="67"/>
  <c r="C83" i="67"/>
  <c r="C82" i="67" s="1"/>
  <c r="M21" i="15"/>
  <c r="F35" i="15"/>
  <c r="J20" i="15" l="1"/>
  <c r="J17" i="15" s="1"/>
  <c r="J16" i="15" s="1"/>
  <c r="J25" i="15" s="1"/>
  <c r="F63" i="15"/>
  <c r="C62" i="15" s="1"/>
  <c r="C59" i="15" s="1"/>
  <c r="C58" i="15" s="1"/>
  <c r="C67" i="15" s="1"/>
  <c r="C68" i="15" s="1"/>
  <c r="C34" i="15"/>
  <c r="C31" i="15" s="1"/>
  <c r="C30" i="15" s="1"/>
  <c r="C39" i="15" s="1"/>
  <c r="R16" i="1"/>
  <c r="C57" i="69"/>
  <c r="C56" i="69" s="1"/>
  <c r="C57" i="68"/>
  <c r="C56" i="68" s="1"/>
  <c r="E41" i="36"/>
  <c r="F41" i="36" s="1"/>
  <c r="E40" i="36"/>
  <c r="F40" i="36" s="1"/>
  <c r="I41" i="36"/>
  <c r="J41" i="36" s="1"/>
  <c r="B58" i="40"/>
  <c r="F58" i="40" s="1"/>
  <c r="B59" i="40"/>
  <c r="F59" i="40" s="1"/>
  <c r="B56" i="40"/>
  <c r="F56" i="40" s="1"/>
  <c r="B60" i="40"/>
  <c r="F60" i="40" s="1"/>
  <c r="B57" i="40"/>
  <c r="F57" i="40" s="1"/>
  <c r="B51" i="40"/>
  <c r="F51" i="40" s="1"/>
  <c r="F61" i="40"/>
  <c r="B2" i="40" s="1"/>
  <c r="B3" i="40" s="1"/>
  <c r="B55" i="40"/>
  <c r="F55" i="40" s="1"/>
  <c r="B54" i="40"/>
  <c r="F54" i="40" s="1"/>
  <c r="B53" i="40"/>
  <c r="F53" i="40" s="1"/>
  <c r="B52" i="40"/>
  <c r="F52" i="40" s="1"/>
  <c r="C36" i="36"/>
  <c r="C37" i="36"/>
  <c r="B2" i="36" s="1"/>
  <c r="B3" i="36" s="1"/>
  <c r="Q66" i="67"/>
  <c r="Q75" i="67" s="1"/>
  <c r="Q57" i="67"/>
  <c r="Q62" i="67" s="1"/>
  <c r="B2" i="67"/>
  <c r="B3" i="67"/>
  <c r="L51" i="15"/>
  <c r="L57" i="15" l="1"/>
  <c r="L60" i="15" s="1"/>
  <c r="Q67" i="15"/>
  <c r="C71" i="15"/>
  <c r="C80" i="15"/>
  <c r="C79" i="15" s="1"/>
  <c r="Q69" i="15"/>
  <c r="Q68" i="15" s="1"/>
  <c r="C40" i="15"/>
  <c r="Q65" i="15" l="1"/>
  <c r="Q47" i="15"/>
  <c r="Q53" i="15" s="1"/>
  <c r="Q56" i="15"/>
  <c r="C43" i="15"/>
  <c r="C83" i="15"/>
  <c r="C82" i="15" s="1"/>
  <c r="L46" i="15"/>
  <c r="B2" i="15" s="1"/>
  <c r="Q57" i="15"/>
  <c r="Q62" i="15" s="1"/>
  <c r="Q66" i="15"/>
  <c r="C46" i="15"/>
  <c r="AO6" i="1"/>
  <c r="C19" i="9"/>
  <c r="D22" i="9" l="1"/>
  <c r="C102" i="9"/>
  <c r="G19" i="9"/>
  <c r="G21" i="9" s="1"/>
  <c r="C21" i="9"/>
  <c r="Q75" i="15"/>
  <c r="B6" i="70"/>
  <c r="B2" i="70" s="1"/>
  <c r="B3" i="70" s="1"/>
  <c r="B3" i="15"/>
  <c r="D35" i="9"/>
  <c r="D34" i="9"/>
  <c r="C20" i="9"/>
  <c r="C103" i="9" l="1"/>
  <c r="G20" i="9"/>
  <c r="C32" i="9" s="1"/>
  <c r="C35" i="9" l="1"/>
  <c r="C34" i="9" s="1"/>
  <c r="D118" i="9" l="1"/>
  <c r="D4" i="52" s="1"/>
  <c r="B47" i="72" s="1"/>
  <c r="H118" i="9"/>
  <c r="C104" i="9" s="1"/>
  <c r="F118" i="9"/>
  <c r="G118" i="9" s="1"/>
  <c r="G4" i="52" s="1"/>
  <c r="B52" i="72" s="1"/>
  <c r="F119" i="9" l="1"/>
  <c r="F5" i="52" s="1"/>
  <c r="B53" i="72" s="1"/>
  <c r="H101" i="9"/>
  <c r="M48" i="9" s="1"/>
  <c r="I118" i="9"/>
  <c r="H102" i="9" s="1"/>
  <c r="D7" i="53" s="1"/>
  <c r="B21" i="72" s="1"/>
  <c r="F4" i="52"/>
  <c r="B51" i="72" s="1"/>
  <c r="D5" i="53"/>
  <c r="D45" i="9"/>
  <c r="D119" i="9"/>
  <c r="D5" i="52" s="1"/>
  <c r="B49" i="72" s="1"/>
  <c r="H4" i="52"/>
  <c r="D14" i="74"/>
  <c r="H119" i="9"/>
  <c r="H5" i="52" s="1"/>
  <c r="I4" i="52" l="1"/>
  <c r="H107" i="9"/>
  <c r="E118" i="9"/>
  <c r="E4" i="52" s="1"/>
  <c r="B48" i="72" s="1"/>
  <c r="C105" i="9"/>
  <c r="D52" i="9"/>
  <c r="C93" i="9"/>
  <c r="C86" i="9" s="1"/>
  <c r="C78" i="9"/>
  <c r="C73" i="9" s="1"/>
  <c r="D55" i="9"/>
  <c r="M53" i="9" s="1"/>
  <c r="C85" i="9"/>
  <c r="D53" i="9"/>
  <c r="C72" i="9"/>
  <c r="C79" i="9" s="1"/>
  <c r="C64" i="9"/>
  <c r="C63" i="9" s="1"/>
  <c r="C67" i="9" s="1"/>
  <c r="D6" i="53"/>
  <c r="B22" i="72" s="1"/>
  <c r="B20" i="72"/>
  <c r="F14" i="74"/>
  <c r="E14" i="74"/>
  <c r="H108" i="9"/>
  <c r="D15" i="53" s="1"/>
  <c r="B31" i="72" s="1"/>
  <c r="D122" i="9"/>
  <c r="D13" i="53"/>
  <c r="M49" i="9"/>
  <c r="C95" i="9" l="1"/>
  <c r="C96" i="9" s="1"/>
  <c r="E96" i="9" s="1"/>
  <c r="E97" i="9" s="1"/>
  <c r="B30" i="72"/>
  <c r="D14" i="53"/>
  <c r="B32" i="72" s="1"/>
  <c r="C68" i="9"/>
  <c r="D54" i="9" s="1"/>
  <c r="D59" i="9"/>
  <c r="M55" i="9" s="1"/>
  <c r="L65" i="9"/>
  <c r="M65" i="9" s="1"/>
  <c r="L68" i="9"/>
  <c r="M68" i="9" s="1"/>
  <c r="L64" i="9"/>
  <c r="M64" i="9" s="1"/>
  <c r="L63" i="9"/>
  <c r="M63" i="9" s="1"/>
  <c r="L67" i="9"/>
  <c r="M67" i="9" s="1"/>
  <c r="L66" i="9"/>
  <c r="M66" i="9" s="1"/>
  <c r="D8" i="52"/>
  <c r="D123" i="9"/>
  <c r="D9" i="52" s="1"/>
  <c r="G14" i="74"/>
  <c r="C80" i="9"/>
  <c r="E80" i="9" s="1"/>
  <c r="E81" i="9" s="1"/>
  <c r="C81" i="9" l="1"/>
  <c r="M69" i="9"/>
  <c r="N69" i="9" s="1"/>
  <c r="C97" i="9"/>
  <c r="D58" i="9" s="1"/>
  <c r="D56" i="9" s="1"/>
  <c r="M54" i="9" s="1"/>
  <c r="N57" i="9" s="1"/>
  <c r="P57" i="9" l="1"/>
  <c r="N58" i="9"/>
  <c r="N59" i="9"/>
  <c r="N61" i="9" l="1"/>
  <c r="N60" i="9"/>
  <c r="D15" i="74" l="1"/>
  <c r="F15" i="74" l="1"/>
  <c r="E15" i="74"/>
  <c r="G15" i="74" l="1"/>
  <c r="D16" i="74" l="1"/>
  <c r="F16" i="74" l="1"/>
  <c r="E16" i="74"/>
  <c r="B5" i="74"/>
  <c r="C5" i="74" l="1"/>
  <c r="D5" i="74"/>
  <c r="G16"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<sst xmlns="http://schemas.openxmlformats.org/spreadsheetml/2006/main" count="7397" uniqueCount="3147">
  <si>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</si>
  <si>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</si>
  <si>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</si>
  <si>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</si>
  <si>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</si>
  <si>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</si>
  <si>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</si>
  <si>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</si>
  <si>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</si>
  <si>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</si>
  <si>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</si>
  <si>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</si>
  <si>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</si>
  <si>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</si>
  <si>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</si>
  <si>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</si>
  <si>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</si>
  <si>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</si>
  <si>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</si>
  <si>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</si>
  <si>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</si>
  <si>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</si>
  <si>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</si>
  <si>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</si>
  <si>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</si>
  <si>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</si>
  <si>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</si>
  <si>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</si>
  <si>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</si>
  <si>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</si>
  <si>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</si>
  <si>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</si>
  <si>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</si>
  <si>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</si>
  <si>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</si>
  <si>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</si>
  <si>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</si>
  <si>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</si>
  <si>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</si>
  <si>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</si>
  <si>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</si>
  <si>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</si>
  <si>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</si>
  <si>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</si>
  <si>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</si>
  <si>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</si>
  <si>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</si>
  <si>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</si>
  <si>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</si>
  <si>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</si>
  <si>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</si>
  <si>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</si>
  <si>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</si>
  <si>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</si>
  <si>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</si>
  <si>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</si>
  <si>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</si>
  <si>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</si>
  <si>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</si>
  <si>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</si>
  <si>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</si>
  <si>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</si>
  <si>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</si>
  <si>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</si>
  <si>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</si>
  <si>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</si>
  <si>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</si>
  <si>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</si>
  <si>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</si>
  <si>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</si>
  <si>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</si>
  <si>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</si>
  <si>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</si>
  <si>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</si>
  <si>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</si>
  <si>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</si>
  <si>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</si>
  <si>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</si>
  <si>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</si>
  <si>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</si>
  <si>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</si>
  <si>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</si>
  <si>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</si>
  <si>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</si>
  <si>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</si>
  <si>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</si>
  <si>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</si>
  <si>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</si>
  <si>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</si>
  <si>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</si>
  <si>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</si>
  <si>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</si>
  <si>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</si>
  <si>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</si>
  <si>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</si>
  <si>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</si>
  <si>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</si>
  <si>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</si>
  <si>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</si>
  <si>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</si>
  <si>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</si>
  <si>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</si>
  <si>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</si>
  <si>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</si>
  <si>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</si>
  <si>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</si>
  <si>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</si>
  <si>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</si>
  <si>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</si>
  <si>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</si>
  <si>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</si>
  <si>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</si>
  <si>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</si>
  <si>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</si>
  <si>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</si>
  <si>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</si>
  <si>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</si>
  <si>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</si>
  <si>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</si>
  <si>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</si>
  <si>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</si>
  <si>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</si>
  <si>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</si>
  <si>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</si>
  <si>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</si>
  <si>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</si>
  <si>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</si>
  <si>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</si>
  <si>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</si>
  <si>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</si>
  <si>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</si>
  <si>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</si>
  <si>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</si>
  <si>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</si>
  <si>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</si>
  <si>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</si>
  <si>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</si>
  <si>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</si>
  <si>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</si>
  <si>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</si>
  <si>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</si>
  <si>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</si>
  <si>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</si>
  <si>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</si>
  <si>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</si>
  <si>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</si>
  <si>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</si>
  <si>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</si>
  <si>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</si>
  <si>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</si>
  <si>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</si>
  <si>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</si>
  <si>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</si>
  <si>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</si>
  <si>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</si>
  <si>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</si>
  <si>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</si>
  <si>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</si>
  <si>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</si>
  <si>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</si>
  <si>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</si>
  <si>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</si>
  <si>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</si>
  <si>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</si>
  <si>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</si>
  <si>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</si>
  <si>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</si>
  <si>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</si>
  <si>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</si>
  <si>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</si>
  <si>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</si>
  <si>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</si>
  <si>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</si>
  <si>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</si>
  <si>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</si>
  <si>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</si>
  <si>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</si>
  <si>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</si>
  <si>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</si>
  <si>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</si>
  <si>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</si>
  <si>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</si>
  <si>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</si>
  <si>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</si>
  <si>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</si>
  <si>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</si>
  <si>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</si>
  <si>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</si>
  <si>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</si>
  <si>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</si>
  <si>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</si>
  <si>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</si>
  <si>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</si>
  <si>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</si>
  <si>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</si>
  <si>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</si>
  <si>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</si>
  <si>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</si>
  <si>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</si>
  <si>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</si>
  <si>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</si>
  <si>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</si>
  <si>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</si>
  <si>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</si>
  <si>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</si>
  <si>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</si>
  <si>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</si>
  <si>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</si>
  <si>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</si>
  <si>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</si>
  <si>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</si>
  <si>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</si>
  <si>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</si>
  <si>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</si>
  <si>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</si>
  <si>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</si>
  <si>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</si>
  <si>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</si>
  <si>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</si>
  <si>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</si>
  <si>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</si>
  <si>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</si>
  <si>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</si>
  <si>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</si>
  <si>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</si>
  <si>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</si>
  <si>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</si>
  <si>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</si>
  <si>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</si>
  <si>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</si>
  <si>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</si>
  <si>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</si>
  <si>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</si>
  <si>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</si>
  <si>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</si>
  <si>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</si>
  <si>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</si>
  <si>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</si>
  <si>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</si>
  <si>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</si>
  <si>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</si>
  <si>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</si>
  <si>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</si>
  <si>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</si>
  <si>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</si>
  <si>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</si>
  <si>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</si>
  <si>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</si>
  <si>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</si>
  <si>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</si>
  <si>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</si>
  <si>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</si>
  <si>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</si>
  <si>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</si>
  <si>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</si>
  <si>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</si>
  <si>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</si>
  <si>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</si>
  <si>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</si>
  <si>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</si>
  <si>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</si>
  <si>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</si>
  <si>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</si>
  <si>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</si>
  <si>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</si>
  <si>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</si>
  <si>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</si>
  <si>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</si>
  <si>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</si>
  <si>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</si>
  <si>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</si>
  <si>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</si>
  <si>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</si>
  <si>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</si>
  <si>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</si>
  <si>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</si>
  <si>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</si>
  <si>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</si>
  <si>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</si>
  <si>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</si>
  <si>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</si>
  <si>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</si>
  <si>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</si>
  <si>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</si>
  <si>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</si>
  <si>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</si>
  <si>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</si>
  <si>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</si>
  <si>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</si>
  <si>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</si>
  <si>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</si>
  <si>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</si>
  <si>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</si>
  <si>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</si>
  <si>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</si>
  <si>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</si>
  <si>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</si>
  <si>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</si>
  <si>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</si>
  <si>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</si>
  <si>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</si>
  <si>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</si>
  <si>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</si>
  <si>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</si>
  <si>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</si>
  <si>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</si>
  <si>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</si>
  <si>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</si>
  <si>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</si>
  <si>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</si>
  <si>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</si>
  <si>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</si>
  <si>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</si>
  <si>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</si>
  <si>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</si>
  <si>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</si>
  <si>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</si>
  <si>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</si>
  <si>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</si>
  <si>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</si>
  <si>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</si>
  <si>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</si>
  <si>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</si>
  <si>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</si>
  <si>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</si>
  <si>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</si>
  <si>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</si>
  <si>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</si>
  <si>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</si>
  <si>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</si>
  <si>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</si>
  <si>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</si>
  <si>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</si>
  <si>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</si>
  <si>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</si>
  <si>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</si>
  <si>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</si>
  <si>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</si>
  <si>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</si>
  <si>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</si>
  <si>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</si>
  <si>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</si>
  <si>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</si>
  <si>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</si>
  <si>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</si>
  <si>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</si>
  <si>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</si>
  <si>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</si>
  <si>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</si>
  <si>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</si>
  <si>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</si>
  <si>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</si>
  <si>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</si>
  <si>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</si>
  <si>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</si>
  <si>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</si>
  <si>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</si>
  <si>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</si>
  <si>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</si>
  <si>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</si>
  <si>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</si>
  <si>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</si>
  <si>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</si>
  <si>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</si>
  <si>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</si>
  <si>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</si>
  <si>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</si>
  <si>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</si>
  <si>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</si>
  <si>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</si>
  <si>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</si>
  <si>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</si>
  <si>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</si>
  <si>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</si>
  <si>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</si>
  <si>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</si>
  <si>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</si>
  <si>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</si>
  <si>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</si>
  <si>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</si>
  <si>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</si>
  <si>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</si>
  <si>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</si>
  <si>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</si>
  <si>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</si>
  <si>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</si>
  <si>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</si>
  <si>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</si>
  <si>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</si>
  <si>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</si>
  <si>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</si>
  <si>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</si>
  <si>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</si>
  <si>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</si>
  <si>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</si>
  <si>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</si>
  <si>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</si>
  <si>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</si>
  <si>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</si>
  <si>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</si>
  <si>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</si>
  <si>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</si>
  <si>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</si>
  <si>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</si>
  <si>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</si>
  <si>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</si>
  <si>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</si>
  <si>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</si>
  <si>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</si>
  <si>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</si>
  <si>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</si>
  <si>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</si>
  <si>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</si>
  <si>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</si>
  <si>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</si>
  <si>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</si>
  <si>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</si>
  <si>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</si>
  <si>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</si>
  <si>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</si>
  <si>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</si>
  <si>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</si>
  <si>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</si>
  <si>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</si>
  <si>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</si>
  <si>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</si>
  <si>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</si>
  <si>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</si>
  <si>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</si>
  <si>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</si>
  <si>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</si>
  <si>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</si>
  <si>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</si>
  <si>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</si>
  <si>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</si>
  <si>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</si>
  <si>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</si>
  <si>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</si>
  <si>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</si>
  <si>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</si>
  <si>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</si>
  <si>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</si>
  <si>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</si>
  <si>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</si>
  <si>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</si>
  <si>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</si>
  <si>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</si>
  <si>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</si>
  <si>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</si>
  <si>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</si>
  <si>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</si>
  <si>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</si>
  <si>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</si>
  <si>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</si>
  <si>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</si>
  <si>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</si>
  <si>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</si>
  <si>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</si>
  <si>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</si>
  <si>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</si>
  <si>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</si>
  <si>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</si>
  <si>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</si>
  <si>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</si>
  <si>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</si>
  <si>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</si>
  <si>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</si>
  <si>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</si>
  <si>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</si>
  <si>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</si>
  <si>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</si>
  <si>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</si>
  <si>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</si>
  <si>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</si>
  <si>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</si>
  <si>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</si>
  <si>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</si>
  <si>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</si>
  <si>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</si>
  <si>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</si>
  <si>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</si>
  <si>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</si>
  <si>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</si>
  <si>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</si>
  <si>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</si>
  <si>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</si>
  <si>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</si>
  <si>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</si>
  <si>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</si>
  <si>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</si>
  <si>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</si>
  <si>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</si>
  <si>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</si>
  <si>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</si>
  <si>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</si>
  <si>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</si>
  <si>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</si>
  <si>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</si>
  <si>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</si>
  <si>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</si>
  <si>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</si>
  <si>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</si>
  <si>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</si>
  <si>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</si>
  <si>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</si>
  <si>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</si>
  <si>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</si>
  <si>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</si>
  <si>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</si>
  <si>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</si>
  <si>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</si>
  <si>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</si>
  <si>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</si>
  <si>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</si>
  <si>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</si>
  <si>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</si>
  <si>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</si>
  <si>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</si>
  <si>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</si>
  <si>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</si>
  <si>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</si>
  <si>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</si>
  <si>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</si>
  <si>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</si>
  <si>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</si>
  <si>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</si>
  <si>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</si>
  <si>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</si>
  <si>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</si>
  <si>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</si>
  <si>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</si>
  <si>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</si>
  <si>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</si>
  <si>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</si>
  <si>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</si>
  <si>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</si>
  <si>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</si>
  <si>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</si>
  <si>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</si>
  <si>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</si>
  <si>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</si>
  <si>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</si>
  <si>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</si>
  <si>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</si>
  <si>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</si>
  <si>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</si>
  <si>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</si>
  <si>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</si>
  <si>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</si>
  <si>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</si>
  <si>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</si>
  <si>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</si>
  <si>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</si>
  <si>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</si>
  <si>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</si>
  <si>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</si>
  <si>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</si>
  <si>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</si>
  <si>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</si>
  <si>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</si>
  <si>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</si>
  <si>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</si>
  <si>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</si>
  <si>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</si>
  <si>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</si>
  <si>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</si>
  <si>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</si>
  <si>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</si>
  <si>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</si>
  <si>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</si>
  <si>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</si>
  <si>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</si>
  <si>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</si>
  <si>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</si>
  <si>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</si>
  <si>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</si>
  <si>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</si>
  <si>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</si>
  <si>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</si>
  <si>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</si>
  <si>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</si>
  <si>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</si>
  <si>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</si>
  <si>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</si>
  <si>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</si>
  <si>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</si>
  <si>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</si>
  <si>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</si>
  <si>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</si>
  <si>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</si>
  <si>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</si>
  <si>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</si>
  <si>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</si>
  <si>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</si>
  <si>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</si>
  <si>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</si>
  <si>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</si>
  <si>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</si>
  <si>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</si>
  <si>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</si>
  <si>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</si>
  <si>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</si>
  <si>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</si>
  <si>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</si>
  <si>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</si>
  <si>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</si>
  <si>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</si>
  <si>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</si>
  <si>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</si>
  <si>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</si>
  <si>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</si>
  <si>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</si>
  <si>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</si>
  <si>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</si>
  <si>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</si>
  <si>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</si>
  <si>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</si>
  <si>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</si>
  <si>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</si>
  <si>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</si>
  <si>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</si>
  <si>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</si>
  <si>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</si>
  <si>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</si>
  <si>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</si>
  <si>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</si>
  <si>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</si>
  <si>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</si>
  <si>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</si>
  <si>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</si>
  <si>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</si>
  <si>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</si>
  <si>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</si>
  <si>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</si>
  <si>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</si>
  <si>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</si>
  <si>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</si>
  <si>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</si>
  <si>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</si>
  <si>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</si>
  <si>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</si>
  <si>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</si>
  <si>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</si>
  <si>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</si>
  <si>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</si>
  <si>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</si>
  <si>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</si>
  <si>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</si>
  <si>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</si>
  <si>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</si>
  <si>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</si>
  <si>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</si>
  <si>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</si>
  <si>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</si>
  <si>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</si>
  <si>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</si>
  <si>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</si>
  <si>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</si>
  <si>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</si>
  <si>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</si>
  <si>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</si>
  <si>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</si>
  <si>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</si>
  <si>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</si>
  <si>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</si>
  <si>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</si>
  <si>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</si>
  <si>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</si>
  <si>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</si>
  <si>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</si>
  <si>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</si>
  <si>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</si>
  <si>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</si>
  <si>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</si>
  <si>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</si>
  <si>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</si>
  <si>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</si>
  <si>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</si>
  <si>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</si>
  <si>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</si>
  <si>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</si>
  <si>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</si>
  <si>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</si>
  <si>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</si>
  <si>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</si>
  <si>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</si>
  <si>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</si>
  <si>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</si>
  <si>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</si>
  <si>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</si>
  <si>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</si>
  <si>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</si>
  <si>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</si>
  <si>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</si>
  <si>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</si>
  <si>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</si>
  <si>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</si>
  <si>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</si>
  <si>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</si>
  <si>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</si>
  <si>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</si>
  <si>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</si>
  <si>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</si>
  <si>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</si>
  <si>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</si>
  <si>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</si>
  <si>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</si>
  <si>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</si>
  <si>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</si>
  <si>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</si>
  <si>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</si>
  <si>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</si>
  <si>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</si>
  <si>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</si>
  <si>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</si>
  <si>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</si>
  <si>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</si>
  <si>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</si>
  <si>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</si>
  <si>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</si>
  <si>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</si>
  <si>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</si>
  <si>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</si>
  <si>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</si>
  <si>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</si>
  <si>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</si>
  <si>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</si>
  <si>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</si>
  <si>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</si>
  <si>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</si>
  <si>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</si>
  <si>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</si>
  <si>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</si>
  <si>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</si>
  <si>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</si>
  <si>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</si>
  <si>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</si>
  <si>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</si>
  <si>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</si>
  <si>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</si>
  <si>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</si>
  <si>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</si>
  <si>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</si>
  <si>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</si>
  <si>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</si>
  <si>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</si>
  <si>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</si>
  <si>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</si>
  <si>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</si>
  <si>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</si>
  <si>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</si>
  <si>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</si>
  <si>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</si>
  <si>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</si>
  <si>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</si>
  <si>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</si>
  <si>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</si>
  <si>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</si>
  <si>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</si>
  <si>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</si>
  <si>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</si>
  <si>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</si>
  <si>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</si>
  <si>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</si>
  <si>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</si>
  <si>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</si>
  <si>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</si>
  <si>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</si>
  <si>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</si>
  <si>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</si>
  <si>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</si>
  <si>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</si>
  <si>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</si>
  <si>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</si>
  <si>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</si>
  <si>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</si>
  <si>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</si>
  <si>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</si>
  <si>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</si>
  <si>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</si>
  <si>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</si>
  <si>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</si>
  <si>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</si>
  <si>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</si>
  <si>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</si>
  <si>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</si>
  <si>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</si>
  <si>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</si>
  <si>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</si>
  <si>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</si>
  <si>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</si>
  <si>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</si>
  <si>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</si>
  <si>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</si>
  <si>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</si>
  <si>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</si>
  <si>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</si>
  <si>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</si>
  <si>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</si>
  <si>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</si>
  <si>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</si>
  <si>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</si>
  <si>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</si>
  <si>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</si>
  <si>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</si>
  <si>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</si>
  <si>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</si>
  <si>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</si>
  <si>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</si>
  <si>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</si>
  <si>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</si>
  <si>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</si>
  <si>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</si>
  <si>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</si>
  <si>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</si>
  <si>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</si>
  <si>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</si>
  <si>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</si>
  <si>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</si>
  <si>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</si>
  <si>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</si>
  <si>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</si>
  <si>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</si>
  <si>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</si>
  <si>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</si>
  <si>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</si>
  <si>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</si>
  <si>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</si>
  <si>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</si>
  <si>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</si>
  <si>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</si>
  <si>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</si>
  <si>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</si>
  <si>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</si>
  <si>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</si>
  <si>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</si>
  <si>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</si>
  <si>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</si>
  <si>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</si>
  <si>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</si>
  <si>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</si>
  <si>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</si>
  <si>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</si>
  <si>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</si>
  <si>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</si>
  <si>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</si>
  <si>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</si>
  <si>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</si>
  <si>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</si>
  <si>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</si>
  <si>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</si>
  <si>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</si>
  <si>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</si>
  <si>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</si>
  <si>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</si>
  <si>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</si>
  <si>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</si>
  <si>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</si>
  <si>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</si>
  <si>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</si>
  <si>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</si>
  <si>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</si>
  <si>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</si>
  <si>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</si>
  <si>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</si>
  <si>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</si>
  <si>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</si>
  <si>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</si>
  <si>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</si>
  <si>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</si>
  <si>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</si>
  <si>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</si>
  <si>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</si>
  <si>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</si>
  <si>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</si>
  <si>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</si>
  <si>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</si>
  <si>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</si>
  <si>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</si>
  <si>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</si>
  <si>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</si>
  <si>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</si>
  <si>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</si>
  <si>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</si>
  <si>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</si>
  <si>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</si>
  <si>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</si>
  <si>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</si>
  <si>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</si>
  <si>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</si>
  <si>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</si>
  <si>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</si>
  <si>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</si>
  <si>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</si>
  <si>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</si>
  <si>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</si>
  <si>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</si>
  <si>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</si>
  <si>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</si>
  <si>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</si>
  <si>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</si>
  <si>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</si>
  <si>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</si>
  <si>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</si>
  <si>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</si>
  <si>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</si>
  <si>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</si>
  <si>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</si>
  <si>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</si>
  <si>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</si>
  <si>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</si>
  <si>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</si>
  <si>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</si>
  <si>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</si>
  <si>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</si>
  <si>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</si>
  <si>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</si>
  <si>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</si>
  <si>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</si>
  <si>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</si>
  <si>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</si>
  <si>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</si>
  <si>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</si>
  <si>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</si>
  <si>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</si>
  <si>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</si>
  <si>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</si>
  <si>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</si>
  <si>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</si>
  <si>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</si>
  <si>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</si>
  <si>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</si>
  <si>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</si>
  <si>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</si>
  <si>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</si>
  <si>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</si>
  <si>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</si>
  <si>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</si>
  <si>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</si>
  <si>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</si>
  <si>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</si>
  <si>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</si>
  <si>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</si>
  <si>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</si>
  <si>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</si>
  <si>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</si>
  <si>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</si>
  <si>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</si>
  <si>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</si>
  <si>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</si>
  <si>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</si>
  <si>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</si>
  <si>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</si>
  <si>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</si>
  <si>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</si>
  <si>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</si>
  <si>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</si>
  <si>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</si>
  <si>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</si>
  <si>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</si>
  <si>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</si>
  <si>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</si>
  <si>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</si>
  <si>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</si>
  <si>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</si>
  <si>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</si>
  <si>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</si>
  <si>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</si>
  <si>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</si>
  <si>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</si>
  <si>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</si>
  <si>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</si>
  <si>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</si>
  <si>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</si>
  <si>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</si>
  <si>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</si>
  <si>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</si>
  <si>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</si>
  <si>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</si>
  <si>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</si>
  <si>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</si>
  <si>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</si>
  <si>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</si>
  <si>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</si>
  <si>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</si>
  <si>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</si>
  <si>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</si>
  <si>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</si>
  <si>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</si>
  <si>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</si>
  <si>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</si>
  <si>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</si>
  <si>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</si>
  <si>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</si>
  <si>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</si>
  <si>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</si>
  <si>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</si>
  <si>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</si>
  <si>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</si>
  <si>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</si>
  <si>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</si>
  <si>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</si>
  <si>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</si>
  <si>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</si>
  <si>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</si>
  <si>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</si>
  <si>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</si>
  <si>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</si>
  <si>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</si>
  <si>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</si>
  <si>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</si>
  <si>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</si>
  <si>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</si>
  <si>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</si>
  <si>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</si>
  <si>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</si>
  <si>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</si>
  <si>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</si>
  <si>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</si>
  <si>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</si>
  <si>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</si>
  <si>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</si>
  <si>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</si>
  <si>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</si>
  <si>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</si>
  <si>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</si>
  <si>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</si>
  <si>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</si>
  <si>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</si>
  <si>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</si>
  <si>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</si>
  <si>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</si>
  <si>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</si>
  <si>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</si>
  <si>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</si>
  <si>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</si>
  <si>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</si>
  <si>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</si>
  <si>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</si>
  <si>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</si>
  <si>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</si>
  <si>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</si>
  <si>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</si>
  <si>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</si>
  <si>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</si>
  <si>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</si>
  <si>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</si>
  <si>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</si>
  <si>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</si>
  <si>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</si>
  <si>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</si>
  <si>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</si>
  <si>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</si>
  <si>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</si>
  <si>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</si>
  <si>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</si>
  <si>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</si>
  <si>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</si>
  <si>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</si>
  <si>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</si>
  <si>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</si>
  <si>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</si>
  <si>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</si>
  <si>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</si>
  <si>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</si>
  <si>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</si>
  <si>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</si>
  <si>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</si>
  <si>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</si>
  <si>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</si>
  <si>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</si>
  <si>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</si>
  <si>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</si>
  <si>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</si>
  <si>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</si>
  <si>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</si>
  <si>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</si>
  <si>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</si>
  <si>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</si>
  <si>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</si>
  <si>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</si>
  <si>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</si>
  <si>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</si>
  <si>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</si>
  <si>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</si>
  <si>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</si>
  <si>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</si>
  <si>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</si>
  <si>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</si>
  <si>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</si>
  <si>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</si>
  <si>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</si>
  <si>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</si>
  <si>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</si>
  <si>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</si>
  <si>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</si>
  <si>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</si>
  <si>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</si>
  <si>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</si>
  <si>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</si>
  <si>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</si>
  <si>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</si>
  <si>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</si>
  <si>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</si>
  <si>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</si>
  <si>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</si>
  <si>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</si>
  <si>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</si>
  <si>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</si>
  <si>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</si>
  <si>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</si>
  <si>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</si>
  <si>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</si>
  <si>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</si>
  <si>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</si>
  <si>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</si>
  <si>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</si>
  <si>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</si>
  <si>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</si>
  <si>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</si>
  <si>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</si>
  <si>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</si>
  <si>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</si>
  <si>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</si>
  <si>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</si>
  <si>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</si>
  <si>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</si>
  <si>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</si>
  <si>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</si>
  <si>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</si>
  <si>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</si>
  <si>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</si>
  <si>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</si>
  <si>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</si>
  <si>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</si>
  <si>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</si>
  <si>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</si>
  <si>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</si>
  <si>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</si>
  <si>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</si>
  <si>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</si>
  <si>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</si>
  <si>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</si>
  <si>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</si>
  <si>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</si>
  <si>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</si>
  <si>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</si>
  <si>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</si>
  <si>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</si>
  <si>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</si>
  <si>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</si>
  <si>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</si>
  <si>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</si>
  <si>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</si>
  <si>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</si>
  <si>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</si>
  <si>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</si>
  <si>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</si>
  <si>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</si>
  <si>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</si>
  <si>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</si>
  <si>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</si>
  <si>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</si>
  <si>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</si>
  <si>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</si>
  <si>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</si>
  <si>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</si>
  <si>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</si>
  <si>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</si>
  <si>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</si>
  <si>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</si>
  <si>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</si>
  <si>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</si>
  <si>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</si>
  <si>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</si>
  <si>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</si>
  <si>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</si>
  <si>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</si>
  <si>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</si>
  <si>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</si>
  <si>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</si>
  <si>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</si>
  <si>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</si>
  <si>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</si>
  <si>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</si>
  <si>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</si>
  <si>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</si>
  <si>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</si>
  <si>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</si>
  <si>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</si>
  <si>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</si>
  <si>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</si>
  <si>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</si>
  <si>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</si>
  <si>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</si>
  <si>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</si>
  <si>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</si>
  <si>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</si>
  <si>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</si>
  <si>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</si>
  <si>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</si>
  <si>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</si>
  <si>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</si>
  <si>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</si>
  <si>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</si>
  <si>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</si>
  <si>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</si>
  <si>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</si>
  <si>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</si>
  <si>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</si>
  <si>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</si>
  <si>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</si>
  <si>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</si>
  <si>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</si>
  <si>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</si>
  <si>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</si>
  <si>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</si>
  <si>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</si>
  <si>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</si>
  <si>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</si>
  <si>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</si>
  <si>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</si>
  <si>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</si>
  <si>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</si>
  <si>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</si>
  <si>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</si>
  <si>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</si>
  <si>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</si>
  <si>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</si>
  <si>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</si>
  <si>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</si>
  <si>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</si>
  <si>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</si>
  <si>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</si>
  <si>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</si>
  <si>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</si>
  <si>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</si>
  <si>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</si>
  <si>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</si>
  <si>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</si>
  <si>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</si>
  <si>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</si>
  <si>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</si>
  <si>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</si>
  <si>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</si>
  <si>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</si>
  <si>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</si>
  <si>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</si>
  <si>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</si>
  <si>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</si>
  <si>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</si>
  <si>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</si>
  <si>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</si>
  <si>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</si>
  <si>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</si>
  <si>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</si>
  <si>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</si>
  <si>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</si>
  <si>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</si>
  <si>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</si>
  <si>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</si>
  <si>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</si>
  <si>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</si>
  <si>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</si>
  <si>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</si>
  <si>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</si>
  <si>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</si>
  <si>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</si>
  <si>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</si>
  <si>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</si>
  <si>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</si>
  <si>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</si>
  <si>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</si>
  <si>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</si>
  <si>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</si>
  <si>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</si>
  <si>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</si>
  <si>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</si>
  <si>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</si>
  <si>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</si>
  <si>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</si>
  <si>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</si>
  <si>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</si>
  <si>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</si>
  <si>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</si>
  <si>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</si>
  <si>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</si>
  <si>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</si>
  <si>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</si>
  <si>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</si>
  <si>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</si>
  <si>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</si>
  <si>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</si>
  <si>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</si>
  <si>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</si>
  <si>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</si>
  <si>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</si>
  <si>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</si>
  <si>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</si>
  <si>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</si>
  <si>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</si>
  <si>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</si>
  <si>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</si>
  <si>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</si>
  <si>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</si>
  <si>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</si>
  <si>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</si>
  <si>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</si>
  <si>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</si>
  <si>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</si>
  <si>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</si>
  <si>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</si>
  <si>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</si>
  <si>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</si>
  <si>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</si>
  <si>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</si>
  <si>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</si>
  <si>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</si>
  <si>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</si>
  <si>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</si>
  <si>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</si>
  <si>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</si>
  <si>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</si>
  <si>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</si>
  <si>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</si>
  <si>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</si>
  <si>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</si>
  <si>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</si>
  <si>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</si>
  <si>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</si>
  <si>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</si>
  <si>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</si>
  <si>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</si>
  <si>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</si>
  <si>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</si>
  <si>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</si>
  <si>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</si>
  <si>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</si>
  <si>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</si>
  <si>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</si>
  <si>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</si>
  <si>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</si>
  <si>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</si>
  <si>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</si>
  <si>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</si>
  <si>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</si>
  <si>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</si>
  <si>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</si>
  <si>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</si>
  <si>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</si>
  <si>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</si>
  <si>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</si>
  <si>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</si>
  <si>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</si>
  <si>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</si>
  <si>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</si>
  <si>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</si>
  <si>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</si>
  <si>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</si>
  <si>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</si>
  <si>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</si>
  <si>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</si>
  <si>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</si>
  <si>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</si>
  <si>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</si>
  <si>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</si>
  <si>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</si>
  <si>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</si>
  <si>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</si>
  <si>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</si>
  <si>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</si>
  <si>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</si>
  <si>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</si>
  <si>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</si>
  <si>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</si>
  <si>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</si>
  <si>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</si>
  <si>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</si>
  <si>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</si>
  <si>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</si>
  <si>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</si>
  <si>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</si>
  <si>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</si>
  <si>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</si>
  <si>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</si>
  <si>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</si>
  <si>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</si>
  <si>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</si>
  <si>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</si>
  <si>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</si>
  <si>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</si>
  <si>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</si>
  <si>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</si>
  <si>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</si>
  <si>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</si>
  <si>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</si>
  <si>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</si>
  <si>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</si>
  <si>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</si>
  <si>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</si>
  <si>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</si>
  <si>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</si>
  <si>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</si>
  <si>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</si>
  <si>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</si>
  <si>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</si>
  <si>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</si>
  <si>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</si>
  <si>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</si>
  <si>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</si>
  <si>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</si>
  <si>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</si>
  <si>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</si>
  <si>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</si>
  <si>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</si>
  <si>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</si>
  <si>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</si>
  <si>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</si>
  <si>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</si>
  <si>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</si>
  <si>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</si>
  <si>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</si>
  <si>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</si>
  <si>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</si>
  <si>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</si>
  <si>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</si>
  <si>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</si>
  <si>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</si>
  <si>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</si>
  <si>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</si>
  <si>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</si>
  <si>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</si>
  <si>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</si>
  <si>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</si>
  <si>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</si>
  <si>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</si>
  <si>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</si>
  <si>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</si>
  <si>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</si>
  <si>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</si>
  <si>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</si>
  <si>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</si>
  <si>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</si>
  <si>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</si>
  <si>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</si>
  <si>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</si>
  <si>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</si>
  <si>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</si>
  <si>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</si>
  <si>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</si>
  <si>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</si>
  <si>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</si>
  <si>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</si>
  <si>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</si>
  <si>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</si>
  <si>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</si>
  <si>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</si>
  <si>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</si>
  <si>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</si>
  <si>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</si>
  <si>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</si>
  <si>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</si>
  <si>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</si>
  <si>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</si>
  <si>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</si>
  <si>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</si>
  <si>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</si>
  <si>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</si>
  <si>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</si>
  <si>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</si>
  <si>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</si>
  <si>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</si>
  <si>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</si>
  <si>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</si>
  <si>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</si>
  <si>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</si>
  <si>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</si>
  <si>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</si>
  <si>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</si>
  <si>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</si>
  <si>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</si>
  <si>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</si>
  <si>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</si>
  <si>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</si>
  <si>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</si>
  <si>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</si>
  <si>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</si>
  <si>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</si>
  <si>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</si>
  <si>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</si>
  <si>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</si>
  <si>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</si>
  <si>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</si>
  <si>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</si>
  <si>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</si>
  <si>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</si>
  <si>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</si>
  <si>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</si>
  <si>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</si>
  <si>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</si>
  <si>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</si>
  <si>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</si>
  <si>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</si>
  <si>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</si>
  <si>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</si>
  <si>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</si>
  <si>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</si>
  <si>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</si>
  <si>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</si>
  <si>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</si>
  <si>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</si>
  <si>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</si>
  <si>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</si>
  <si>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</si>
  <si>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</si>
  <si>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</si>
  <si>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</si>
  <si>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</si>
  <si>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</si>
  <si>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</si>
  <si>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</si>
  <si>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</si>
  <si>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</si>
  <si>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</si>
  <si>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</si>
  <si>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</si>
  <si>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</si>
  <si>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</si>
  <si>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</si>
  <si>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</si>
  <si>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</si>
  <si>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</si>
  <si>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</si>
  <si>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</si>
  <si>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</si>
  <si>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</si>
  <si>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</si>
  <si>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</si>
  <si>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</si>
  <si>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</si>
  <si>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</si>
  <si>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</si>
  <si>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</si>
  <si>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</si>
  <si>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</si>
  <si>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</si>
  <si>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</si>
  <si>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</si>
  <si>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</si>
  <si>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</si>
  <si>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</si>
  <si>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</si>
  <si>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</si>
  <si>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</si>
  <si>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</si>
  <si>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</si>
  <si>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</si>
  <si>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</si>
  <si>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</si>
  <si>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</si>
  <si>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</si>
  <si>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</si>
  <si>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</si>
  <si>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</si>
  <si>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</si>
  <si>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</si>
  <si>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</si>
  <si>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</si>
  <si>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</si>
  <si>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</si>
  <si>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</si>
  <si>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</si>
  <si>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</si>
  <si>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</si>
  <si>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</si>
  <si>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</si>
  <si>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</si>
  <si>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</si>
  <si>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</si>
  <si>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</si>
  <si>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</si>
  <si>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</si>
  <si>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</si>
  <si>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</si>
  <si>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</si>
  <si>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</si>
  <si>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</si>
  <si>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</si>
  <si>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</si>
  <si>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</si>
  <si>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</si>
  <si>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</si>
  <si>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</si>
  <si>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</si>
  <si>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</si>
  <si>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</si>
  <si>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</si>
  <si>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</si>
  <si>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</si>
  <si>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</si>
  <si>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</si>
  <si>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</si>
  <si>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</si>
  <si>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</si>
  <si>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</si>
  <si>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</si>
  <si>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</si>
  <si>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</si>
  <si>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</si>
  <si>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</si>
  <si>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</si>
  <si>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</si>
  <si>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</si>
  <si>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</si>
  <si>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</si>
  <si>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</si>
  <si>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</si>
  <si>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</si>
  <si>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</si>
  <si>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</si>
  <si>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</si>
  <si>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</si>
  <si>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</si>
  <si>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</si>
  <si>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</si>
  <si>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</si>
  <si>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</si>
  <si>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</si>
  <si>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</si>
  <si>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</si>
  <si>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</si>
  <si>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</si>
  <si>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</si>
  <si>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</si>
  <si>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</si>
  <si>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</si>
  <si>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</si>
  <si>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</si>
  <si>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</si>
  <si>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</si>
  <si>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</si>
  <si>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</si>
  <si>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</si>
  <si>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</si>
  <si>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</si>
  <si>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</si>
  <si>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</si>
  <si>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</si>
  <si>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</si>
  <si>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</si>
  <si>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</si>
  <si>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</si>
  <si>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</si>
  <si>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</si>
  <si>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</si>
  <si>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</si>
  <si>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</si>
  <si>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</si>
  <si>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</si>
  <si>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</si>
  <si>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</si>
  <si>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</si>
  <si>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</si>
  <si>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</si>
  <si>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</si>
  <si>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</si>
  <si>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</si>
  <si>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</si>
  <si>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</si>
  <si>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</si>
  <si>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</si>
  <si>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</si>
  <si>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</si>
  <si>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</si>
  <si>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</si>
  <si>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</si>
  <si>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</si>
  <si>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</si>
  <si>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</si>
  <si>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</si>
  <si>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</si>
  <si>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</si>
  <si>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</si>
  <si>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</si>
  <si>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</si>
  <si>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</si>
  <si>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</si>
  <si>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</si>
  <si>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</si>
  <si>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</si>
  <si>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</si>
  <si>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</si>
  <si>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</si>
  <si>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</si>
  <si>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</si>
  <si>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</si>
  <si>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</si>
  <si>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</si>
  <si>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</si>
  <si>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</si>
  <si>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</si>
  <si>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</si>
  <si>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</si>
  <si>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</si>
  <si>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</si>
  <si>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</si>
  <si>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</si>
  <si>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</si>
  <si>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</si>
  <si>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</si>
  <si>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</si>
  <si>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</si>
  <si>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</si>
  <si>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</si>
  <si>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</si>
  <si>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</si>
  <si>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</si>
  <si>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</si>
  <si>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</si>
  <si>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</si>
  <si>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</si>
  <si>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</si>
  <si>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</si>
  <si>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</si>
  <si>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</si>
  <si>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</si>
  <si>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</si>
  <si>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</si>
  <si>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</si>
  <si>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</si>
  <si>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</si>
  <si>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</si>
  <si>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</si>
  <si>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</si>
  <si>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</si>
  <si>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</si>
  <si>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</si>
  <si>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</si>
  <si>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</si>
  <si>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</si>
  <si>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</si>
  <si>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</si>
  <si>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</si>
  <si>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</si>
  <si>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</si>
  <si>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</si>
  <si>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</si>
  <si>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</si>
  <si>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</si>
  <si>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</si>
  <si>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</si>
  <si>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</si>
  <si>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</si>
  <si>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</si>
  <si>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</si>
  <si>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</si>
  <si>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</si>
  <si>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</si>
  <si>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</si>
  <si>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</si>
  <si>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</si>
  <si>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</si>
  <si>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</si>
  <si>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</si>
  <si>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</si>
  <si>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</si>
  <si>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</si>
  <si>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</si>
  <si>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</si>
  <si>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</si>
  <si>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</si>
  <si>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</si>
  <si>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</si>
  <si>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</si>
  <si>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</si>
  <si>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</si>
  <si>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</si>
  <si>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</si>
  <si>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</si>
  <si>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</si>
  <si>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</si>
  <si>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</si>
  <si>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</si>
  <si>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</si>
  <si>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</si>
  <si>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</si>
  <si>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</si>
  <si>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</si>
  <si>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</si>
  <si>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</si>
  <si>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</si>
  <si>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</si>
  <si>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</si>
  <si>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</si>
  <si>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</si>
  <si>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</si>
  <si>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</si>
  <si>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</si>
  <si>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</si>
  <si>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</si>
  <si>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</si>
  <si>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</si>
  <si>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</si>
  <si>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</si>
  <si>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</si>
  <si>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</si>
  <si>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</si>
  <si>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</si>
  <si>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</si>
  <si>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</si>
  <si>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</si>
  <si>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</si>
  <si>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</si>
  <si>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</si>
  <si>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</si>
  <si>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</si>
  <si>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</si>
  <si>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</si>
  <si>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</si>
  <si>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</si>
  <si>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</si>
  <si>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</si>
  <si>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</si>
  <si>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</si>
  <si>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</si>
  <si>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</si>
  <si>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</si>
  <si>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</si>
  <si>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</si>
  <si>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</si>
  <si>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</si>
  <si>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</si>
  <si>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</si>
  <si>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</si>
  <si>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</si>
  <si>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</si>
  <si>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</si>
  <si>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</si>
  <si>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</si>
  <si>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</si>
  <si>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</si>
  <si>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</si>
  <si>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</si>
  <si>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</si>
  <si>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</si>
  <si>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</si>
  <si>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</si>
  <si>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</si>
  <si>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</si>
  <si>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</si>
  <si>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</si>
  <si>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</si>
  <si>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</si>
  <si>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</si>
  <si>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</si>
  <si>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</si>
  <si>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</si>
  <si>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</si>
  <si>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</si>
  <si>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</si>
  <si>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</si>
  <si>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</si>
  <si>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</si>
  <si>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</si>
  <si>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</si>
  <si>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</si>
  <si>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</si>
  <si>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</si>
  <si>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</si>
  <si>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</si>
  <si>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</si>
  <si>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</si>
  <si>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</si>
  <si>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</si>
  <si>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</si>
  <si>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</si>
  <si>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</si>
  <si>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</si>
  <si>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</si>
  <si>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</si>
  <si>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</si>
  <si>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</si>
  <si>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</si>
  <si>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</si>
  <si>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</si>
  <si>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</si>
  <si>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</si>
  <si>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</si>
  <si>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</si>
  <si>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</si>
  <si>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</si>
  <si>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</si>
  <si>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</si>
  <si>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</si>
  <si>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</si>
  <si>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</si>
  <si>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</si>
  <si>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</si>
  <si>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</si>
  <si>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</si>
  <si>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</si>
  <si>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</si>
  <si>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</si>
  <si>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</si>
  <si>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</si>
  <si>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</si>
  <si>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</si>
  <si>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</si>
  <si>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</si>
  <si>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</si>
  <si>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</si>
  <si>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</si>
  <si>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</si>
  <si>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</si>
  <si>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</si>
  <si>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</si>
  <si>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</si>
  <si>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</si>
  <si>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</si>
  <si>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</si>
  <si>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</si>
  <si>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</si>
  <si>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</si>
  <si>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</si>
  <si>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</si>
  <si>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</si>
  <si>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</si>
  <si>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</si>
  <si>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</si>
  <si>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</si>
  <si>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</si>
  <si>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</si>
  <si>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</si>
  <si>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</si>
  <si>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</si>
  <si>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</si>
  <si>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</si>
  <si>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</si>
  <si>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</si>
  <si>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</si>
  <si>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</si>
  <si>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</si>
  <si>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</si>
  <si>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</si>
  <si>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</si>
  <si>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</si>
  <si>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</si>
  <si>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</si>
  <si>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</si>
  <si>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</si>
  <si>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</si>
  <si>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</si>
  <si>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</si>
  <si>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</si>
  <si>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</si>
  <si>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</si>
  <si>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</si>
  <si>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</si>
  <si>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</si>
  <si>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</si>
  <si>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</si>
  <si>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</si>
  <si>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</si>
  <si>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</si>
  <si>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</si>
  <si>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</si>
  <si>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</si>
  <si>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</si>
  <si>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</si>
  <si>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</si>
  <si>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</si>
  <si>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</si>
  <si>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</si>
  <si>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</si>
  <si>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</si>
  <si>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</si>
  <si>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</si>
  <si>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</si>
  <si>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</si>
  <si>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</si>
  <si>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</si>
  <si>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</si>
  <si>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</si>
  <si>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</si>
  <si>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</si>
  <si>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</si>
  <si>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</si>
  <si>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</si>
  <si>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</si>
  <si>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</si>
  <si>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</si>
  <si>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</si>
  <si>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</si>
  <si>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</si>
  <si>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</si>
  <si>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</si>
  <si>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</si>
  <si>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</si>
  <si>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</si>
  <si>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</si>
  <si>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</si>
  <si>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</si>
  <si>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</si>
  <si>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</si>
  <si>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</si>
  <si>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</si>
  <si>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</si>
  <si>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</si>
  <si>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</si>
  <si>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</si>
  <si>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</si>
  <si>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</si>
  <si>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</si>
  <si>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</si>
  <si>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</si>
  <si>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</si>
  <si>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</si>
  <si>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</si>
  <si>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</si>
  <si>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</si>
  <si>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</si>
  <si>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</si>
  <si>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</si>
  <si>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</si>
  <si>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</si>
  <si>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</si>
  <si>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</si>
  <si>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</si>
  <si>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</si>
  <si>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</si>
  <si>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</si>
  <si>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</si>
  <si>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</si>
  <si>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</si>
  <si>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</si>
  <si>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</si>
  <si>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</si>
  <si>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</si>
  <si>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</si>
  <si>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</si>
  <si>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</si>
  <si>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</si>
  <si>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</si>
  <si>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</si>
  <si>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</si>
  <si>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</si>
  <si>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</si>
  <si>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</si>
  <si>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</si>
  <si>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</si>
  <si>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</si>
  <si>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</si>
  <si>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</si>
  <si>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</si>
  <si>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</si>
  <si>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</si>
  <si>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</si>
  <si>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</si>
  <si>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</si>
  <si>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</si>
  <si>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</si>
  <si>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</si>
  <si>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</si>
  <si>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</si>
  <si>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</si>
  <si>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</si>
  <si>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</si>
  <si>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</si>
  <si>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</si>
  <si>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</si>
  <si>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</si>
  <si>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</si>
  <si>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</si>
  <si>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</si>
  <si>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</si>
  <si>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</si>
  <si>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</si>
  <si>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</si>
  <si>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</si>
  <si>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</si>
  <si>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</si>
  <si>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</si>
  <si>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</si>
  <si>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</si>
  <si>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</si>
  <si>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</si>
  <si>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</si>
  <si>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</si>
  <si>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</si>
  <si>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</si>
  <si>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</si>
  <si>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</si>
  <si>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</si>
  <si>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</si>
  <si>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</si>
  <si>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</si>
  <si>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</si>
  <si>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</si>
  <si>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</si>
  <si>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</si>
  <si>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</si>
  <si>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</si>
  <si>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</si>
  <si>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</si>
  <si>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</si>
  <si>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</si>
  <si>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</si>
  <si>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</si>
  <si>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</si>
  <si>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</si>
  <si>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</si>
  <si>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</si>
  <si>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</si>
  <si>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</si>
  <si>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</si>
  <si>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</si>
  <si>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</si>
  <si>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</si>
  <si>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</si>
  <si>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</si>
  <si>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</si>
  <si>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</si>
  <si>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</si>
  <si>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</si>
  <si>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</si>
  <si>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</si>
  <si>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</si>
  <si>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</si>
  <si>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</si>
  <si>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</si>
  <si>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</si>
  <si>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</si>
  <si>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</si>
  <si>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</si>
  <si>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</si>
  <si>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</si>
  <si>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</si>
  <si>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</si>
  <si>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</si>
  <si>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</si>
  <si>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</si>
  <si>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</si>
  <si>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</si>
  <si>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</si>
  <si>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</si>
  <si>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</si>
  <si>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</si>
  <si>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</si>
  <si>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</si>
  <si>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</si>
  <si>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</si>
  <si>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</si>
  <si>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</si>
  <si>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</si>
  <si>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</si>
  <si>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</si>
  <si>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</si>
  <si>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</si>
  <si>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</si>
  <si>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</si>
  <si>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</si>
  <si>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</si>
  <si>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</si>
  <si>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</si>
  <si>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</si>
  <si>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</si>
  <si>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</si>
  <si>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</si>
  <si>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</si>
  <si>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</si>
  <si>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</si>
  <si>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</si>
  <si>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</si>
  <si>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</si>
  <si>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</si>
  <si>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</si>
  <si>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</si>
  <si>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</si>
  <si>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</si>
  <si>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</si>
  <si>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</si>
  <si>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</si>
  <si>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</si>
  <si>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</si>
  <si>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</si>
  <si>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</si>
  <si>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</si>
  <si>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</si>
  <si>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</si>
  <si>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</si>
  <si>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</si>
  <si>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</si>
  <si>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</si>
  <si>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</si>
  <si>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</si>
  <si>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</si>
  <si>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</si>
  <si>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</si>
  <si>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</si>
  <si>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</si>
  <si>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</si>
  <si>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</si>
  <si>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</si>
  <si>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</si>
  <si>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</si>
  <si>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</si>
  <si>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</si>
  <si>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</si>
  <si>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</si>
  <si>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</si>
  <si>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</si>
  <si>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</si>
  <si>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</si>
  <si>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</si>
  <si>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</si>
  <si>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</si>
  <si>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</si>
  <si>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</si>
  <si>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</si>
  <si>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</si>
  <si>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</si>
  <si>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</si>
  <si>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</si>
  <si>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</si>
  <si>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</si>
  <si>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</si>
  <si>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</si>
  <si>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</si>
  <si>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</si>
  <si>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</si>
  <si>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</si>
  <si>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</si>
  <si>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</si>
  <si>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</si>
  <si>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</si>
  <si>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</si>
  <si>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</si>
  <si>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</si>
  <si>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</si>
  <si>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</si>
  <si>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</si>
  <si>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</si>
  <si>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</si>
  <si>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</si>
  <si>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</si>
  <si>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</si>
  <si>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</si>
  <si>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</si>
  <si>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</si>
  <si>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</si>
  <si>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</si>
  <si>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</si>
  <si>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</si>
  <si>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</si>
  <si>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</si>
  <si>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</si>
  <si>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</si>
  <si>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</si>
  <si>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</si>
  <si>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</si>
  <si>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</si>
  <si>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</si>
  <si>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</si>
  <si>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</si>
  <si>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</si>
  <si>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</si>
  <si>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</si>
  <si>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</si>
  <si>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</si>
  <si>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</si>
  <si>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</si>
  <si>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</si>
  <si>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</si>
  <si>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</si>
  <si>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</si>
  <si>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</si>
  <si>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</si>
  <si>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</si>
  <si>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</si>
  <si>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</si>
  <si>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</si>
  <si>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</si>
  <si>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</si>
  <si>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</si>
  <si>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</si>
  <si>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</si>
  <si>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</si>
  <si>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</si>
  <si>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</si>
  <si>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</si>
  <si>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</si>
  <si>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</si>
  <si>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</si>
  <si>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</si>
  <si>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</si>
  <si>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</si>
  <si>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</si>
  <si>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</si>
  <si>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</si>
  <si>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</si>
  <si>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</si>
  <si>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</si>
  <si>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</si>
  <si>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</si>
  <si>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</si>
  <si>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</si>
  <si>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</si>
  <si>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</si>
  <si>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</si>
  <si>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</si>
  <si>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</si>
  <si>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</si>
  <si>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</si>
  <si>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</si>
  <si>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</si>
  <si>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</si>
  <si>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</si>
  <si>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</si>
  <si>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</si>
  <si>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</si>
  <si>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</si>
  <si>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</si>
  <si>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</si>
  <si>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</si>
  <si>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</si>
  <si>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</si>
  <si>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</si>
  <si>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</si>
  <si>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</si>
  <si>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</si>
  <si>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</si>
  <si>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</si>
  <si>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</si>
  <si>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</si>
  <si>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</si>
  <si>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</si>
  <si>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</si>
  <si>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</si>
  <si>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</si>
  <si>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</si>
  <si>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</si>
  <si>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</si>
  <si>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</si>
  <si>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</si>
  <si>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</si>
  <si>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</si>
  <si>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</si>
  <si>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</si>
  <si>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</si>
  <si>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</si>
  <si>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</si>
  <si>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</si>
  <si>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</si>
  <si>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</si>
  <si>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</si>
  <si>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</si>
  <si>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</si>
  <si>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</si>
  <si>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</si>
  <si>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</si>
  <si>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</si>
  <si>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</si>
  <si>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</si>
  <si>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</si>
  <si>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</si>
  <si>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</si>
  <si>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</si>
  <si>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</si>
  <si>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</si>
  <si>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</si>
  <si>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</si>
  <si>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</si>
  <si>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</si>
  <si>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</si>
  <si>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</si>
  <si>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</si>
  <si>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</si>
  <si>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</si>
  <si>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</si>
  <si>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</si>
  <si>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</si>
  <si>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</si>
  <si>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</si>
  <si>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</si>
  <si>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</si>
  <si>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</si>
  <si>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</si>
  <si>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</si>
  <si>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</si>
  <si>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</si>
  <si>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</si>
  <si>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</si>
  <si>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</si>
  <si>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</si>
  <si>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</si>
  <si>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</si>
  <si>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</si>
  <si>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</si>
  <si>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</si>
  <si>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</si>
  <si>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</si>
  <si>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</si>
  <si>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</si>
  <si>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</si>
  <si>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</si>
  <si>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</si>
  <si>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</si>
  <si>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</si>
  <si>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</si>
  <si>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</si>
  <si>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</si>
  <si>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</si>
  <si>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</si>
  <si>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</si>
  <si>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</si>
  <si>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</si>
  <si>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</si>
  <si>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</si>
  <si>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</si>
  <si>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</si>
  <si>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</si>
  <si>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</si>
  <si>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</si>
  <si>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</si>
  <si>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</si>
  <si>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</si>
  <si>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</si>
  <si>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</si>
  <si>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</si>
  <si>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</si>
  <si>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</si>
  <si>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</si>
  <si>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</si>
  <si>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</si>
  <si>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</si>
  <si>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</si>
  <si>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</si>
  <si>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</si>
  <si>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</si>
  <si>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</si>
  <si>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</si>
  <si>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</si>
  <si>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</si>
  <si>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</si>
  <si>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</si>
  <si>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</si>
  <si>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</si>
  <si>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</si>
  <si>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</si>
  <si>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</si>
  <si>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</si>
  <si>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</si>
  <si>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</si>
  <si>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</si>
  <si>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</si>
  <si>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</si>
  <si>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</si>
  <si>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</si>
  <si>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</si>
  <si>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</si>
  <si>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</si>
  <si>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</si>
  <si>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</si>
  <si>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</si>
  <si>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</si>
  <si>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</si>
  <si>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</si>
  <si>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</si>
  <si>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</si>
  <si>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</si>
  <si>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</si>
  <si>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</si>
  <si>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</si>
  <si>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</si>
  <si>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</si>
  <si>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</si>
  <si>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</si>
  <si>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</si>
  <si>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</si>
  <si>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</si>
  <si>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</si>
  <si>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</si>
  <si>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</si>
  <si>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</si>
  <si>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</si>
  <si>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</si>
  <si>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</si>
  <si>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</si>
  <si>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</si>
  <si>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</si>
  <si>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</si>
  <si>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</si>
  <si>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</si>
  <si>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</si>
  <si>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</si>
  <si>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</si>
  <si>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</si>
  <si>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</si>
  <si>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</si>
  <si>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</si>
  <si>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</si>
  <si>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</si>
  <si>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</si>
  <si>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</si>
  <si>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</si>
  <si>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</si>
  <si>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</si>
  <si>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</si>
  <si>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</si>
  <si>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</si>
  <si>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</si>
  <si>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</si>
  <si>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</si>
  <si>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</si>
  <si>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</si>
  <si>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</si>
  <si>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</si>
  <si>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</si>
  <si>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</si>
  <si>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</si>
  <si>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</si>
  <si>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</si>
  <si>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</si>
  <si>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</si>
  <si>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</si>
  <si>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</si>
  <si>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</si>
  <si>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</si>
  <si>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</si>
  <si>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</si>
  <si>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</si>
  <si>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</si>
  <si>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</si>
  <si>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</si>
  <si>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</si>
  <si>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</si>
  <si>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</si>
  <si>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</si>
  <si>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</si>
  <si>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</si>
  <si>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</si>
  <si>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</si>
  <si>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</si>
  <si>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</si>
  <si>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</si>
  <si>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</si>
  <si>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</si>
  <si>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</si>
  <si>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</si>
  <si>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</si>
  <si>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</si>
  <si>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</si>
  <si>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</si>
  <si>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</si>
  <si>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</si>
  <si>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</si>
  <si>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</si>
  <si>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</si>
  <si>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</si>
  <si>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</si>
  <si>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</si>
  <si>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</si>
  <si>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</si>
  <si>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</si>
  <si>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</si>
  <si>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</si>
  <si>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</si>
  <si>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</si>
  <si>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</si>
  <si>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</si>
  <si>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</si>
  <si>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</si>
  <si>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</si>
  <si>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</si>
  <si>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</si>
  <si>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</si>
  <si>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</si>
  <si>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</si>
  <si>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</si>
  <si>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</si>
  <si>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</si>
  <si>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</si>
  <si>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</si>
  <si>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</si>
  <si>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</si>
  <si>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</si>
  <si>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</si>
  <si>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</si>
  <si>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</si>
  <si>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</si>
  <si>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</si>
  <si>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</si>
  <si>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</si>
  <si>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</si>
  <si>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</si>
  <si>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</si>
  <si>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</si>
  <si>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</si>
  <si>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</si>
  <si>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</si>
  <si>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</si>
  <si>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</si>
  <si>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</si>
  <si>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</si>
  <si>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</si>
  <si>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</si>
  <si>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</si>
  <si>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</si>
  <si>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</si>
  <si>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</si>
  <si>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</si>
  <si>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</si>
  <si>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</si>
  <si>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</si>
  <si>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</si>
  <si>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</si>
  <si>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</si>
  <si>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</si>
  <si>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</si>
  <si>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</si>
  <si>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</si>
  <si>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</si>
  <si>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</si>
  <si>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</si>
  <si>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</si>
  <si>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</si>
  <si>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</si>
  <si>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</si>
  <si>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</si>
  <si>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</si>
  <si>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</si>
  <si>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</si>
  <si>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</si>
  <si>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</si>
  <si>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</si>
  <si>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</si>
  <si>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</si>
  <si>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</si>
  <si>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</si>
  <si>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</si>
  <si>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</si>
  <si>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</si>
  <si>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</si>
  <si>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</si>
  <si>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</si>
  <si>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</si>
  <si>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</si>
  <si>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</si>
  <si>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</si>
  <si>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</si>
  <si>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</si>
  <si>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</si>
  <si>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</si>
  <si>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</si>
  <si>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</si>
  <si>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</si>
  <si>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</si>
  <si>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</si>
  <si>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</si>
  <si>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</si>
  <si>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</si>
  <si>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</si>
  <si>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</si>
  <si>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</si>
  <si>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</si>
  <si>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</si>
  <si>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</si>
  <si>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</si>
  <si>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</si>
  <si>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</si>
  <si>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</si>
  <si>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</si>
  <si>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</si>
  <si>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</si>
  <si>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</si>
  <si>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</si>
  <si>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</si>
  <si>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</si>
  <si>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</si>
  <si>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</si>
  <si>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</si>
  <si>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</si>
  <si>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</si>
  <si>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</si>
  <si>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</si>
  <si>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</si>
  <si>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</si>
  <si>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</si>
  <si>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</si>
  <si>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</si>
  <si>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</si>
  <si>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</si>
  <si>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</si>
  <si>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</si>
  <si>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</si>
  <si>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</si>
  <si>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</si>
  <si>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</si>
  <si>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</si>
  <si>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</si>
  <si>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</si>
  <si>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</si>
  <si>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</si>
  <si>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</si>
  <si>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</si>
  <si>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</si>
  <si>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</si>
  <si>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</si>
  <si>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</si>
  <si>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</si>
  <si>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</si>
  <si>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</si>
  <si>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</si>
  <si>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</si>
  <si>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</si>
  <si>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</si>
  <si>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</si>
  <si>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</si>
  <si>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</si>
  <si>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</si>
  <si>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</si>
  <si>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</si>
  <si>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</si>
  <si>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</si>
  <si>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</si>
  <si>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</si>
  <si>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</si>
  <si>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</si>
  <si>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</si>
  <si>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</si>
  <si>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</si>
  <si>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</si>
  <si>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</si>
  <si>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</si>
  <si>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</si>
  <si>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</si>
  <si>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</si>
  <si>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</si>
  <si>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</si>
  <si>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</si>
  <si>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</si>
  <si>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</si>
  <si>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</si>
  <si>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</si>
  <si>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</si>
  <si>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</si>
  <si>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</si>
  <si>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</si>
  <si>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</si>
  <si>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</si>
  <si>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</si>
  <si>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</si>
  <si>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</si>
  <si>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</si>
  <si>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</si>
  <si>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</si>
  <si>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</si>
  <si>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</si>
  <si>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</si>
  <si>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</si>
  <si>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</si>
  <si>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</si>
  <si>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</si>
  <si>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</si>
  <si>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</si>
  <si>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</si>
  <si>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</si>
  <si>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</si>
  <si>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</si>
  <si>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</si>
  <si>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</si>
  <si>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</si>
  <si>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</si>
  <si>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</si>
  <si>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</si>
  <si>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</si>
  <si>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</si>
  <si>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</si>
  <si>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</si>
  <si>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</si>
  <si>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</si>
  <si>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</si>
  <si>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</si>
  <si>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</si>
  <si>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</si>
  <si>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</si>
  <si>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</si>
  <si>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</si>
  <si>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</si>
  <si>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</si>
  <si>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</si>
  <si>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</si>
  <si>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</si>
  <si>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</si>
  <si>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</si>
  <si>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</si>
  <si>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</si>
  <si>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</si>
  <si>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</si>
  <si>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</si>
  <si>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</si>
  <si>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</si>
  <si>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</si>
  <si>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</si>
  <si>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</si>
  <si>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</si>
  <si>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</si>
  <si>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</si>
  <si>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</si>
  <si>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</si>
  <si>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</si>
  <si>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</si>
  <si>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</si>
  <si>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</si>
  <si>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</si>
  <si>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</si>
  <si>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</si>
  <si>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</si>
  <si>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</si>
  <si>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</si>
  <si>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</si>
  <si>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</si>
  <si>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</si>
  <si>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</si>
  <si>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</si>
  <si>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</si>
  <si>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</si>
  <si>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</si>
  <si>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</si>
  <si>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</si>
  <si>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</si>
  <si>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</si>
  <si>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</si>
  <si>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</si>
  <si>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</si>
  <si>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</si>
  <si>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</si>
  <si>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</si>
  <si>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</si>
  <si>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</si>
  <si>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</si>
  <si>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</si>
  <si>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</si>
  <si>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</si>
  <si>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</si>
  <si>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</si>
  <si>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</si>
  <si>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</si>
  <si>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</si>
  <si>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</si>
  <si>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</si>
  <si>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</si>
  <si>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</si>
  <si>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</si>
  <si>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</si>
  <si>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</si>
  <si>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</si>
  <si>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</si>
  <si>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</si>
  <si>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</si>
  <si>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</si>
  <si>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</si>
  <si>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</si>
  <si>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</si>
  <si>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</si>
  <si>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</si>
  <si>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</si>
  <si>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</si>
  <si>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</si>
  <si>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</si>
  <si>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</si>
  <si>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</si>
  <si>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</si>
  <si>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</si>
  <si>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</si>
  <si>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</si>
  <si>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</si>
  <si>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</si>
  <si>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</si>
  <si>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</si>
  <si>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</si>
  <si>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</si>
  <si>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</si>
  <si>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</si>
  <si>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</si>
  <si>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</si>
  <si>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</si>
  <si>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</si>
  <si>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</si>
  <si>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</si>
  <si>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</si>
  <si>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</si>
  <si>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</si>
  <si>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</si>
  <si>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</si>
  <si>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</si>
  <si>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</si>
  <si>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</si>
  <si>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</si>
  <si>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</si>
  <si>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</si>
  <si>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</si>
  <si>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</si>
  <si>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</si>
  <si>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</si>
  <si>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</si>
  <si>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</si>
  <si>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</si>
  <si>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</si>
  <si>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</si>
  <si>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</si>
  <si>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</si>
  <si>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</si>
  <si>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</si>
  <si>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</si>
  <si>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</si>
  <si>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</si>
  <si>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</si>
  <si>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</si>
  <si>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</si>
  <si>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</si>
  <si>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</si>
  <si>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</si>
  <si>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</si>
  <si>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</si>
  <si>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</si>
  <si>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</si>
  <si>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</si>
  <si>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</si>
  <si>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</si>
  <si>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</si>
  <si>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</si>
  <si>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</si>
  <si>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</si>
  <si>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</si>
  <si>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</si>
  <si>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</si>
  <si>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</si>
  <si>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</si>
  <si>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</si>
  <si>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</si>
  <si>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</si>
  <si>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</si>
  <si>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</si>
  <si>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</si>
  <si>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</si>
  <si>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</si>
  <si>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</si>
  <si>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</si>
  <si>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</si>
  <si>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</si>
  <si>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</si>
  <si>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</si>
  <si>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</si>
  <si>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</si>
  <si>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</si>
  <si>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</si>
  <si>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</si>
  <si>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</si>
  <si>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</si>
  <si>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</si>
  <si>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</si>
  <si>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</si>
  <si>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</si>
  <si>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</si>
  <si>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</si>
  <si>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</si>
  <si>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</si>
  <si>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</si>
  <si>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</si>
  <si>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</si>
  <si>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</si>
  <si>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</si>
  <si>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</si>
  <si>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</si>
  <si>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</si>
  <si>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</si>
  <si>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</si>
  <si>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</si>
  <si>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</si>
  <si>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</si>
  <si>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</si>
  <si>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</si>
  <si>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</si>
  <si>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</si>
  <si>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</si>
  <si>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</si>
  <si>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</si>
  <si>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</si>
  <si>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</si>
  <si>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</si>
  <si>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</si>
  <si>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</si>
  <si>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</si>
  <si>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</si>
  <si>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</si>
  <si>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</si>
  <si>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</si>
  <si>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</si>
  <si>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</si>
  <si>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</si>
  <si>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</si>
  <si>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</si>
  <si>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</si>
  <si>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</si>
  <si>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</si>
  <si>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</si>
  <si>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</si>
  <si>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</si>
  <si>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</si>
  <si>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</si>
  <si>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</si>
  <si>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</si>
  <si>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</si>
  <si>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</si>
  <si>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</si>
  <si>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</si>
  <si>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</si>
  <si>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</si>
  <si>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</si>
  <si>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</si>
  <si>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</si>
  <si>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</si>
  <si>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</si>
  <si>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</si>
  <si>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</si>
  <si>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</si>
  <si>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</si>
  <si>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</si>
  <si>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</si>
  <si>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</si>
  <si>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</si>
  <si>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</si>
  <si>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</si>
  <si>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</si>
  <si>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</si>
  <si>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</si>
  <si>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</si>
  <si>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</si>
  <si>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</si>
  <si>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</si>
  <si>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</si>
  <si>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</si>
  <si>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</si>
  <si>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</si>
  <si>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</si>
  <si>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</si>
  <si>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</si>
  <si>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</si>
  <si>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</si>
  <si>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</si>
  <si>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</si>
  <si>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</si>
  <si>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</si>
  <si>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</si>
  <si>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</si>
  <si>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</si>
  <si>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</si>
  <si>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</si>
  <si>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</si>
  <si>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</si>
  <si>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</si>
  <si>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</si>
  <si>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</si>
  <si>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</si>
  <si>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物业地址</t>
    <phoneticPr fontId="256" type="noConversion"/>
  </si>
  <si>
    <t>建筑面积</t>
    <phoneticPr fontId="256" type="noConversion"/>
  </si>
  <si>
    <t>租金</t>
    <phoneticPr fontId="256" type="noConversion"/>
  </si>
  <si>
    <t>单价</t>
    <phoneticPr fontId="256" type="noConversion"/>
  </si>
  <si>
    <t>东城区金鱼池中街1号院1号楼-1层-101</t>
  </si>
  <si>
    <t>配套用房</t>
    <phoneticPr fontId="258" type="noConversion"/>
  </si>
  <si>
    <t>东城区金鱼池中街1号院1号楼1层2单元108</t>
  </si>
  <si>
    <t>配套用房</t>
    <phoneticPr fontId="258" type="noConversion"/>
  </si>
  <si>
    <t>东城区金鱼池中街1号院1号楼1层2单元109</t>
  </si>
  <si>
    <t>东城区金鱼池中街1号院1号楼1层2单元110</t>
  </si>
  <si>
    <t>东城区金鱼池中街1号院1号楼3层2单元301</t>
  </si>
  <si>
    <t>配套</t>
    <phoneticPr fontId="258" type="noConversion"/>
  </si>
  <si>
    <t>东城区金鱼池中街1号院1号楼3层2单元302</t>
  </si>
  <si>
    <t>东城区金鱼池中街1号院1号楼3层2单元303</t>
  </si>
  <si>
    <t>东城区金鱼池中街1号院1号楼3层2单元304</t>
  </si>
  <si>
    <t>东城区金鱼池中街1号院1号楼3层2单元305</t>
  </si>
  <si>
    <t>东城区金鱼池中街1号院1号楼3层2单元306</t>
  </si>
  <si>
    <t>东城区金鱼池中街1号院1号楼3层2单元307</t>
  </si>
  <si>
    <t>东城区金鱼池中街1号院1号楼3层2单元308</t>
  </si>
  <si>
    <t>东城区金鱼池中街1号院1号楼3层2单元309</t>
  </si>
  <si>
    <t>东城区金鱼池中街1号院1号楼3层2单元310</t>
  </si>
  <si>
    <t>东城区金鱼池中街1号院1号楼3层2单元311</t>
  </si>
  <si>
    <t>东城区金鱼池中街1号院1号楼3层2单元312</t>
  </si>
  <si>
    <t>东城区金鱼池中街1号院1号楼3层2单元313</t>
  </si>
  <si>
    <t>东城区金鱼池中街1号院1号楼3层2单元314</t>
  </si>
  <si>
    <t>抵1700</t>
    <phoneticPr fontId="256" type="noConversion"/>
  </si>
  <si>
    <t>东城区金鱼池中街1号院1号楼1至2层2单元133</t>
  </si>
  <si>
    <t>配套</t>
    <phoneticPr fontId="258" type="noConversion"/>
  </si>
  <si>
    <t>抵5000</t>
    <phoneticPr fontId="256" type="noConversion"/>
  </si>
  <si>
    <t>东城区金鱼池中街1号院1号楼1层2单元101</t>
  </si>
  <si>
    <t>底商</t>
    <phoneticPr fontId="256" type="noConversion"/>
  </si>
  <si>
    <t>东城区金鱼池中街1号院1号楼1层2单元102</t>
  </si>
  <si>
    <t>东城区金鱼池中街1号院1号楼1层2单元103</t>
  </si>
  <si>
    <t>东城区金鱼池中街1号院1号楼1层2单元104</t>
  </si>
  <si>
    <t>东城区金鱼池中街1号院1号楼1层2单元105</t>
  </si>
  <si>
    <t>东城区金鱼池中街1号院1号楼1层2单元106</t>
  </si>
  <si>
    <t>东城区金鱼池中街1号院1号楼1层2单元107</t>
    <phoneticPr fontId="256" type="noConversion"/>
  </si>
  <si>
    <t>1号院1号楼2层2单元201</t>
    <phoneticPr fontId="256" type="noConversion"/>
  </si>
  <si>
    <t>配套用房</t>
    <phoneticPr fontId="258" type="noConversion"/>
  </si>
  <si>
    <t>1号院1号楼2层2单元202</t>
    <phoneticPr fontId="256" type="noConversion"/>
  </si>
  <si>
    <t>1号院1号楼2层2单元203</t>
    <phoneticPr fontId="256" type="noConversion"/>
  </si>
  <si>
    <t>1号院1号楼2层2单元204</t>
    <phoneticPr fontId="256" type="noConversion"/>
  </si>
  <si>
    <t>1号院1号楼2层2单元205</t>
    <phoneticPr fontId="256" type="noConversion"/>
  </si>
  <si>
    <t>1号院1号楼2层2单元206</t>
    <phoneticPr fontId="256" type="noConversion"/>
  </si>
  <si>
    <t>1号院1号楼2层2单元207</t>
    <phoneticPr fontId="256" type="noConversion"/>
  </si>
  <si>
    <t>1号院1号楼2层2单元208</t>
    <phoneticPr fontId="256" type="noConversion"/>
  </si>
  <si>
    <t>1号院1号楼2层2单元209</t>
    <phoneticPr fontId="256" type="noConversion"/>
  </si>
  <si>
    <t>1号院1号楼2层2单元210</t>
    <phoneticPr fontId="256" type="noConversion"/>
  </si>
  <si>
    <t>1号院1号楼2层2单元211</t>
    <phoneticPr fontId="256" type="noConversion"/>
  </si>
  <si>
    <t>1号院1号楼2层2单元212</t>
    <phoneticPr fontId="256" type="noConversion"/>
  </si>
  <si>
    <t>1号院1号楼2层2单元213</t>
    <phoneticPr fontId="256" type="noConversion"/>
  </si>
  <si>
    <t>地上</t>
  </si>
  <si>
    <t>是</t>
  </si>
  <si>
    <t>1层</t>
  </si>
  <si>
    <t>1层</t>
    <phoneticPr fontId="140" type="noConversion"/>
  </si>
  <si>
    <t>2层</t>
  </si>
  <si>
    <t>2层</t>
    <phoneticPr fontId="140" type="noConversion"/>
  </si>
  <si>
    <t>3层</t>
  </si>
  <si>
    <t>3层</t>
    <phoneticPr fontId="140" type="noConversion"/>
  </si>
  <si>
    <t>负1层</t>
  </si>
  <si>
    <t>负1层</t>
    <phoneticPr fontId="140" type="noConversion"/>
  </si>
  <si>
    <t>地下</t>
  </si>
  <si>
    <t>商业</t>
    <phoneticPr fontId="7" type="noConversion"/>
  </si>
  <si>
    <t>成新度</t>
  </si>
  <si>
    <t>收益法</t>
  </si>
  <si>
    <t>押一</t>
  </si>
  <si>
    <t>按租金收入计税</t>
  </si>
  <si>
    <t>钢混</t>
  </si>
  <si>
    <t>非生产用房</t>
  </si>
  <si>
    <t>正常</t>
  </si>
  <si>
    <t>售价</t>
  </si>
  <si>
    <t>商业</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</si>
  <si>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</si>
  <si>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</si>
  <si>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</si>
  <si>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</si>
  <si>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</si>
  <si>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现房</t>
  </si>
  <si>
    <t>总价</t>
  </si>
  <si>
    <t>收益比率</t>
  </si>
  <si>
    <t>珺悦国际</t>
    <phoneticPr fontId="140" type="noConversion"/>
  </si>
  <si>
    <t>合生世界花园</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</si>
</sst>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等线"/>
      <charset val="134"/>
    </font>
    <font>
      <sz val="10"/>
      <name val="微软雅黑"/>
      <family val="2"/>
      <charset val="134"/>
    </font>
    <font>
      <sz val="9"/>
      <name val="等线"/>
      <family val="3"/>
      <charset val="134"/>
    </font>
    <font>
      <sz val="10"/>
      <color rgb="FF000000"/>
      <name val="微软雅黑"/>
      <family val="2"/>
      <charset val="134"/>
    </font>
    <font>
      <sz val="9"/>
      <name val="等线"/>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4"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55" fillId="0" borderId="1" xfId="17" applyFont="1" applyBorder="1" applyAlignment="1">
      <alignment horizontal="left" vertical="center"/>
    </xf>
    <xf numFmtId="0" fontId="255" fillId="0" borderId="0" xfId="17" applyFont="1" applyAlignment="1">
      <alignment horizontal="left" vertical="center"/>
    </xf>
    <xf numFmtId="0" fontId="257" fillId="0" borderId="1" xfId="17" applyFont="1" applyFill="1" applyBorder="1" applyAlignment="1">
      <alignment horizontal="left" vertical="center" wrapText="1"/>
    </xf>
    <xf numFmtId="0" fontId="255" fillId="0" borderId="1" xfId="17" applyFont="1" applyFill="1" applyBorder="1" applyAlignment="1">
      <alignment horizontal="left" vertical="center"/>
    </xf>
    <xf numFmtId="0" fontId="255" fillId="0" borderId="0" xfId="17" applyFont="1" applyFill="1" applyAlignment="1">
      <alignment horizontal="left" vertical="center"/>
    </xf>
    <xf numFmtId="0" fontId="257" fillId="5" borderId="1" xfId="17" applyFont="1" applyFill="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55" fillId="0" borderId="1" xfId="17" applyFont="1" applyFill="1" applyBorder="1" applyAlignment="1">
      <alignment horizontal="left" vertical="center"/>
    </xf>
    <xf numFmtId="0" fontId="255" fillId="0" borderId="1" xfId="17" applyFont="1" applyBorder="1" applyAlignment="1">
      <alignment horizontal="left" vertical="center"/>
    </xf>
    <xf numFmtId="0" fontId="255" fillId="0" borderId="35" xfId="17" applyFont="1" applyFill="1" applyBorder="1" applyAlignment="1">
      <alignment horizontal="center" vertical="center"/>
    </xf>
    <xf numFmtId="0" fontId="255" fillId="0" borderId="1" xfId="17" applyFont="1" applyFill="1" applyBorder="1" applyAlignment="1">
      <alignment horizontal="center" vertical="center"/>
    </xf>
    <xf numFmtId="0" fontId="255" fillId="0" borderId="1" xfId="17"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90;&#24742;&#22269;&#38469;&#65288;3&#22359;&#26080;&#31199;&#32422;&#31639;11.6&#65292;&#25253;1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2;&#29983;&#19990;&#30028;&#3345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大兴珺悦国际"/>
      <sheetName val="数据-取费表"/>
      <sheetName val="估价对象房地状况"/>
      <sheetName val="系统读取表"/>
      <sheetName val="结果表"/>
      <sheetName val="成本法"/>
      <sheetName val="比较法-商业"/>
      <sheetName val="收益法 (元)"/>
      <sheetName val="收益法"/>
      <sheetName val="成本法 (元)"/>
      <sheetName val="假设开发法"/>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7604.39</v>
          </cell>
          <cell r="C14">
            <v>0</v>
          </cell>
          <cell r="D14">
            <v>12799</v>
          </cell>
          <cell r="G14">
            <v>12799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合生世界花园"/>
      <sheetName val="数据-取费表"/>
      <sheetName val="估价对象房地状况"/>
      <sheetName val="系统读取表"/>
      <sheetName val="结果表"/>
      <sheetName val="比较法-办公"/>
      <sheetName val="收益法"/>
      <sheetName val="收益法 (元)"/>
      <sheetName val="租金"/>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2591.0899999999997</v>
          </cell>
          <cell r="D14">
            <v>3864</v>
          </cell>
          <cell r="G14">
            <v>3864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BFD"/>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估价对象为北京市房地产，为所有。根据《国有土地使用证》[]，估价对象（分摊）出让国有建设用地使用权面积为0平方米，建筑面积为12383.28平方米。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估价对象为北京市房地产,属开发建设的，该项目尚在开发建设中。根据《国有土地使用证》[]，估价对象（分摊）出让国有建设用地使用权面积为0平方米，规划建筑面积为12383.28平方米。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2020年9月8日</v>
      </c>
    </row>
    <row r="13" spans="1:2" s="1365" customFormat="1">
      <c r="A13" s="1363" t="s">
        <v>1194</v>
      </c>
      <c r="B13" s="1364" t="str">
        <f>'预评函-1'!A18</f>
        <v>本次估价的“房地产价值”是指在正常市场情况下，在价值时点2020年9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49623</v>
      </c>
    </row>
    <row r="21" spans="1:2" s="1365" customFormat="1">
      <c r="A21" s="1363" t="s">
        <v>1202</v>
      </c>
      <c r="B21" s="1364">
        <f ca="1">'预评函-2'!D7</f>
        <v>40073</v>
      </c>
    </row>
    <row r="22" spans="1:2" s="1365" customFormat="1">
      <c r="A22" s="1363" t="s">
        <v>1203</v>
      </c>
      <c r="B22" s="1364" t="str">
        <f ca="1">'预评函-2'!D6</f>
        <v>肆亿玖仟陆佰贰拾叁万元整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49623</v>
      </c>
    </row>
    <row r="31" spans="1:2" s="1365" customFormat="1">
      <c r="A31" s="1363" t="s">
        <v>1241</v>
      </c>
      <c r="B31" s="1364">
        <f ca="1">'预评函-2'!D15</f>
        <v>40073</v>
      </c>
    </row>
    <row r="32" spans="1:2" s="1365" customFormat="1">
      <c r="A32" s="1363" t="s">
        <v>1208</v>
      </c>
      <c r="B32" s="1364" t="str">
        <f ca="1">'预评函-2'!D14</f>
        <v>肆亿玖仟陆佰贰拾叁万元整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12383.28</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39698</v>
      </c>
    </row>
    <row r="48" spans="1:2" s="1365" customFormat="1">
      <c r="A48" s="1363" t="s">
        <v>1214</v>
      </c>
      <c r="B48" s="1364">
        <f ca="1">'预评函-3'!E4</f>
        <v>32058</v>
      </c>
    </row>
    <row r="49" spans="1:2" s="1365" customFormat="1">
      <c r="A49" s="1363" t="s">
        <v>1215</v>
      </c>
      <c r="B49" s="1364" t="str">
        <f ca="1">'预评函-3'!D5</f>
        <v>叁亿玖仟陆佰玖拾捌万元整</v>
      </c>
    </row>
    <row r="50" spans="1:2" s="1365" customFormat="1">
      <c r="A50" s="1363" t="s">
        <v>1239</v>
      </c>
      <c r="B50" s="1364" t="str">
        <f>'预评函-3'!F2</f>
        <v>在建建筑物价值</v>
      </c>
    </row>
    <row r="51" spans="1:2" s="1365" customFormat="1">
      <c r="A51" s="1363" t="s">
        <v>1216</v>
      </c>
      <c r="B51" s="1364">
        <f ca="1">'预评函-3'!F4</f>
        <v>9925</v>
      </c>
    </row>
    <row r="52" spans="1:2" s="1365" customFormat="1">
      <c r="A52" s="1363" t="s">
        <v>1217</v>
      </c>
      <c r="B52" s="1364">
        <f ca="1">'预评函-3'!G4</f>
        <v>8015</v>
      </c>
    </row>
    <row r="53" spans="1:2" s="1365" customFormat="1">
      <c r="A53" s="1363" t="s">
        <v>1245</v>
      </c>
      <c r="B53" s="1364" t="str">
        <f ca="1">'预评函-3'!F5</f>
        <v>玖仟玖佰贰拾伍万元整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1653</v>
      </c>
      <c r="C1" s="1728" t="s">
        <v>759</v>
      </c>
      <c r="D1" s="1729" t="s">
        <v>1654</v>
      </c>
      <c r="E1" s="1729" t="s">
        <v>1655</v>
      </c>
      <c r="F1" s="1729" t="s">
        <v>1656</v>
      </c>
      <c r="G1" s="1729" t="s">
        <v>1657</v>
      </c>
      <c r="H1" s="1729" t="s">
        <v>1658</v>
      </c>
      <c r="I1" s="1729" t="s">
        <v>1659</v>
      </c>
      <c r="J1" s="1729" t="s">
        <v>1660</v>
      </c>
      <c r="K1" s="1729" t="s">
        <v>1661</v>
      </c>
      <c r="L1" s="1729" t="s">
        <v>1662</v>
      </c>
      <c r="M1" s="1729" t="s">
        <v>1663</v>
      </c>
      <c r="N1" s="1729" t="s">
        <v>1664</v>
      </c>
      <c r="O1" s="1729" t="s">
        <v>1665</v>
      </c>
      <c r="P1" s="1730" t="s">
        <v>753</v>
      </c>
      <c r="Q1" s="1730" t="s">
        <v>1112</v>
      </c>
      <c r="R1" s="1729" t="s">
        <v>1106</v>
      </c>
      <c r="S1" s="1729" t="s">
        <v>1666</v>
      </c>
      <c r="T1" s="1731" t="s">
        <v>1667</v>
      </c>
      <c r="U1" s="1729" t="s">
        <v>1668</v>
      </c>
      <c r="V1" s="1729" t="s">
        <v>1669</v>
      </c>
      <c r="W1" s="1729" t="s">
        <v>755</v>
      </c>
    </row>
    <row r="2" spans="1:23">
      <c r="A2" s="1733" t="s">
        <v>22</v>
      </c>
      <c r="B2" s="1733" t="s">
        <v>1670</v>
      </c>
      <c r="C2" s="1734" t="s">
        <v>760</v>
      </c>
      <c r="D2" s="1735" t="s">
        <v>1671</v>
      </c>
      <c r="E2" s="1735" t="s">
        <v>1672</v>
      </c>
      <c r="F2" s="1735" t="s">
        <v>1673</v>
      </c>
      <c r="G2" s="1735">
        <v>40</v>
      </c>
      <c r="H2" s="1735" t="s">
        <v>1673</v>
      </c>
      <c r="I2" s="1735" t="s">
        <v>1674</v>
      </c>
      <c r="J2" s="1735" t="s">
        <v>1675</v>
      </c>
      <c r="K2" s="1735" t="s">
        <v>1676</v>
      </c>
      <c r="L2" s="1735" t="s">
        <v>1676</v>
      </c>
      <c r="M2" s="1735" t="s">
        <v>1676</v>
      </c>
      <c r="N2" s="1735" t="s">
        <v>1676</v>
      </c>
      <c r="O2" s="1735" t="s">
        <v>1676</v>
      </c>
      <c r="P2" s="1735" t="s">
        <v>1676</v>
      </c>
      <c r="Q2" s="1735" t="s">
        <v>1676</v>
      </c>
      <c r="R2" s="1735" t="s">
        <v>1108</v>
      </c>
      <c r="S2" s="1735" t="s">
        <v>1676</v>
      </c>
      <c r="T2" s="1735" t="s">
        <v>1677</v>
      </c>
      <c r="U2" s="1735" t="s">
        <v>1676</v>
      </c>
      <c r="V2" s="1735" t="s">
        <v>1678</v>
      </c>
      <c r="W2" s="1735" t="s">
        <v>1676</v>
      </c>
    </row>
    <row r="3" spans="1:23">
      <c r="A3" s="1733" t="s">
        <v>1679</v>
      </c>
      <c r="B3" s="1736" t="s">
        <v>1113</v>
      </c>
      <c r="C3" s="1737" t="s">
        <v>761</v>
      </c>
      <c r="D3" s="1735" t="s">
        <v>1680</v>
      </c>
      <c r="E3" s="1735" t="s">
        <v>16</v>
      </c>
      <c r="F3" s="1735" t="s">
        <v>1681</v>
      </c>
      <c r="G3" s="1735">
        <v>50</v>
      </c>
      <c r="H3" s="1735" t="s">
        <v>1681</v>
      </c>
      <c r="I3" s="1735" t="s">
        <v>1682</v>
      </c>
      <c r="J3" s="1735" t="s">
        <v>1683</v>
      </c>
      <c r="K3" s="1735" t="s">
        <v>1684</v>
      </c>
      <c r="L3" s="1735" t="s">
        <v>1684</v>
      </c>
      <c r="M3" s="1735" t="s">
        <v>1684</v>
      </c>
      <c r="N3" s="1735" t="s">
        <v>1684</v>
      </c>
      <c r="O3" s="1735" t="s">
        <v>1684</v>
      </c>
      <c r="P3" s="1735" t="s">
        <v>1684</v>
      </c>
      <c r="Q3" s="1735" t="s">
        <v>1684</v>
      </c>
      <c r="R3" s="1735" t="s">
        <v>1107</v>
      </c>
      <c r="S3" s="1735" t="s">
        <v>1684</v>
      </c>
      <c r="T3" s="1735" t="s">
        <v>1685</v>
      </c>
      <c r="U3" s="1735" t="s">
        <v>1684</v>
      </c>
      <c r="V3" s="1735" t="s">
        <v>1686</v>
      </c>
      <c r="W3" s="1735" t="s">
        <v>1684</v>
      </c>
    </row>
    <row r="4" spans="1:23">
      <c r="A4" s="1733" t="s">
        <v>1687</v>
      </c>
      <c r="B4" s="1733" t="s">
        <v>1688</v>
      </c>
      <c r="C4" s="1734" t="s">
        <v>762</v>
      </c>
      <c r="D4" s="1735" t="s">
        <v>836</v>
      </c>
      <c r="E4" s="1735" t="s">
        <v>1689</v>
      </c>
      <c r="F4" s="1735" t="s">
        <v>1690</v>
      </c>
      <c r="G4" s="1735">
        <v>70</v>
      </c>
      <c r="H4" s="1735" t="s">
        <v>1690</v>
      </c>
      <c r="I4" s="1735" t="s">
        <v>1691</v>
      </c>
      <c r="K4" s="1735" t="s">
        <v>1692</v>
      </c>
      <c r="L4" s="1735" t="s">
        <v>1692</v>
      </c>
      <c r="M4" s="1735" t="s">
        <v>1692</v>
      </c>
      <c r="N4" s="1735" t="s">
        <v>1692</v>
      </c>
      <c r="O4" s="1735" t="s">
        <v>1692</v>
      </c>
      <c r="P4" s="1735" t="s">
        <v>1692</v>
      </c>
      <c r="Q4" s="1735" t="s">
        <v>1692</v>
      </c>
      <c r="R4" s="1735" t="s">
        <v>1109</v>
      </c>
      <c r="S4" s="1735" t="s">
        <v>1692</v>
      </c>
      <c r="T4" s="1735" t="s">
        <v>1693</v>
      </c>
      <c r="U4" s="1735" t="s">
        <v>1692</v>
      </c>
      <c r="W4" s="1735" t="s">
        <v>1692</v>
      </c>
    </row>
    <row r="5" spans="1:23">
      <c r="A5" s="1733" t="s">
        <v>1694</v>
      </c>
      <c r="B5" s="1733" t="s">
        <v>1695</v>
      </c>
      <c r="C5" s="1734" t="s">
        <v>763</v>
      </c>
      <c r="F5" s="1735" t="s">
        <v>1696</v>
      </c>
      <c r="H5" s="1735" t="s">
        <v>1697</v>
      </c>
      <c r="I5" s="1735" t="s">
        <v>1698</v>
      </c>
      <c r="K5" s="1735" t="s">
        <v>1699</v>
      </c>
      <c r="L5" s="1735" t="s">
        <v>1699</v>
      </c>
      <c r="M5" s="1735" t="s">
        <v>1699</v>
      </c>
      <c r="N5" s="1735" t="s">
        <v>1699</v>
      </c>
      <c r="O5" s="1735" t="s">
        <v>1699</v>
      </c>
      <c r="P5" s="1735" t="s">
        <v>1699</v>
      </c>
      <c r="Q5" s="1735" t="s">
        <v>1699</v>
      </c>
      <c r="R5" s="1735" t="s">
        <v>1110</v>
      </c>
      <c r="S5" s="1735" t="s">
        <v>1699</v>
      </c>
      <c r="T5" s="1735" t="s">
        <v>1700</v>
      </c>
      <c r="U5" s="1735" t="s">
        <v>1699</v>
      </c>
      <c r="W5" s="1735" t="s">
        <v>1699</v>
      </c>
    </row>
    <row r="6" spans="1:23">
      <c r="A6" s="1733" t="s">
        <v>1701</v>
      </c>
      <c r="B6" s="1736" t="s">
        <v>1114</v>
      </c>
      <c r="C6" s="1739" t="s">
        <v>30</v>
      </c>
      <c r="F6" s="1735" t="s">
        <v>1697</v>
      </c>
      <c r="H6" s="1735" t="s">
        <v>1702</v>
      </c>
      <c r="I6" s="1735" t="s">
        <v>1703</v>
      </c>
      <c r="K6" s="1735" t="s">
        <v>1704</v>
      </c>
      <c r="L6" s="1735" t="s">
        <v>1704</v>
      </c>
      <c r="M6" s="1735" t="s">
        <v>1704</v>
      </c>
      <c r="N6" s="1735" t="s">
        <v>1704</v>
      </c>
      <c r="O6" s="1735" t="s">
        <v>1704</v>
      </c>
      <c r="P6" s="1735" t="s">
        <v>1704</v>
      </c>
      <c r="Q6" s="1735" t="s">
        <v>1704</v>
      </c>
      <c r="R6" s="1735" t="s">
        <v>1111</v>
      </c>
      <c r="S6" s="1735" t="s">
        <v>1704</v>
      </c>
      <c r="T6" s="1735"/>
      <c r="U6" s="1735" t="s">
        <v>1704</v>
      </c>
      <c r="W6" s="1735" t="s">
        <v>1704</v>
      </c>
    </row>
    <row r="7" spans="1:23">
      <c r="A7" s="1733" t="s">
        <v>1705</v>
      </c>
      <c r="B7" s="1736" t="s">
        <v>1115</v>
      </c>
      <c r="C7" s="1734" t="s">
        <v>31</v>
      </c>
      <c r="F7" s="1735" t="s">
        <v>1706</v>
      </c>
      <c r="H7" s="1735" t="s">
        <v>1707</v>
      </c>
      <c r="I7" s="1735" t="s">
        <v>1708</v>
      </c>
    </row>
    <row r="8" spans="1:23">
      <c r="A8" s="1733" t="s">
        <v>1709</v>
      </c>
      <c r="B8" s="1733" t="s">
        <v>1710</v>
      </c>
      <c r="C8" s="1734" t="s">
        <v>764</v>
      </c>
      <c r="F8" s="1735" t="s">
        <v>1711</v>
      </c>
      <c r="H8" s="1735"/>
      <c r="I8" s="1735" t="s">
        <v>1712</v>
      </c>
    </row>
    <row r="9" spans="1:23">
      <c r="A9" s="1733" t="s">
        <v>1713</v>
      </c>
      <c r="B9" s="1733" t="s">
        <v>1714</v>
      </c>
      <c r="C9" s="1734" t="s">
        <v>765</v>
      </c>
      <c r="F9" s="1735" t="s">
        <v>1715</v>
      </c>
      <c r="H9" s="1735"/>
    </row>
    <row r="10" spans="1:23">
      <c r="A10" s="1733" t="s">
        <v>1716</v>
      </c>
      <c r="B10" s="1733" t="s">
        <v>1717</v>
      </c>
      <c r="C10" s="1734" t="s">
        <v>766</v>
      </c>
      <c r="F10" s="1735" t="s">
        <v>16</v>
      </c>
    </row>
    <row r="11" spans="1:23">
      <c r="A11" s="1733" t="s">
        <v>1718</v>
      </c>
      <c r="B11" s="1733" t="s">
        <v>1719</v>
      </c>
      <c r="C11" s="1734" t="s">
        <v>767</v>
      </c>
    </row>
    <row r="12" spans="1:23">
      <c r="A12" s="1733" t="s">
        <v>1720</v>
      </c>
      <c r="B12" s="1733" t="s">
        <v>1721</v>
      </c>
      <c r="C12" s="1734" t="s">
        <v>768</v>
      </c>
    </row>
    <row r="13" spans="1:23">
      <c r="A13" s="1733" t="s">
        <v>1722</v>
      </c>
      <c r="B13" s="1733" t="s">
        <v>1723</v>
      </c>
      <c r="C13" s="1734" t="s">
        <v>769</v>
      </c>
    </row>
    <row r="14" spans="1:23">
      <c r="A14" s="1733" t="s">
        <v>1724</v>
      </c>
      <c r="B14" s="1733" t="s">
        <v>1725</v>
      </c>
      <c r="C14" s="1735" t="s">
        <v>16</v>
      </c>
    </row>
    <row r="15" spans="1:23">
      <c r="A15" s="1733" t="s">
        <v>1726</v>
      </c>
      <c r="B15" s="1733" t="s">
        <v>1727</v>
      </c>
      <c r="C15" s="1734"/>
    </row>
    <row r="16" spans="1:23">
      <c r="A16" s="1733" t="s">
        <v>1728</v>
      </c>
      <c r="B16" s="1733" t="s">
        <v>756</v>
      </c>
      <c r="C16" s="1734"/>
    </row>
    <row r="17" spans="1:3">
      <c r="A17" s="1733" t="s">
        <v>1729</v>
      </c>
      <c r="B17" s="1733" t="s">
        <v>3040</v>
      </c>
      <c r="C17" s="1734"/>
    </row>
    <row r="18" spans="1:3">
      <c r="A18" s="1733" t="s">
        <v>1730</v>
      </c>
      <c r="B18" s="1733" t="s">
        <v>757</v>
      </c>
      <c r="C18" s="1734"/>
    </row>
    <row r="19" spans="1:3">
      <c r="A19" s="1733" t="s">
        <v>1731</v>
      </c>
      <c r="B19" s="1733" t="s">
        <v>757</v>
      </c>
      <c r="C19" s="1734"/>
    </row>
    <row r="20" spans="1:3">
      <c r="A20" s="1733" t="s">
        <v>1732</v>
      </c>
      <c r="B20" s="1733" t="s">
        <v>757</v>
      </c>
      <c r="C20" s="1734"/>
    </row>
    <row r="21" spans="1:3">
      <c r="A21" s="1733" t="s">
        <v>1733</v>
      </c>
      <c r="B21" s="1733" t="s">
        <v>757</v>
      </c>
      <c r="C21" s="1734"/>
    </row>
    <row r="22" spans="1:3">
      <c r="A22" s="1733" t="s">
        <v>1734</v>
      </c>
      <c r="B22" s="1733" t="s">
        <v>757</v>
      </c>
      <c r="C22" s="1734"/>
    </row>
    <row r="23" spans="1:3">
      <c r="A23" s="1733" t="s">
        <v>1735</v>
      </c>
      <c r="B23" s="1733" t="s">
        <v>757</v>
      </c>
      <c r="C23" s="1734"/>
    </row>
    <row r="24" spans="1:3">
      <c r="A24" s="1733" t="s">
        <v>1736</v>
      </c>
      <c r="B24" s="1733" t="s">
        <v>757</v>
      </c>
      <c r="C24" s="1734"/>
    </row>
    <row r="25" spans="1:3">
      <c r="A25" s="1733" t="s">
        <v>1737</v>
      </c>
      <c r="B25" s="1733" t="s">
        <v>757</v>
      </c>
      <c r="C25" s="1734"/>
    </row>
    <row r="26" spans="1:3">
      <c r="A26" s="1733" t="s">
        <v>1738</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1741" t="s">
        <v>832</v>
      </c>
      <c r="C54" s="1738" t="s">
        <v>1248</v>
      </c>
    </row>
    <row r="55" spans="1:4">
      <c r="A55" s="3094"/>
      <c r="B55" s="1741" t="s">
        <v>833</v>
      </c>
      <c r="C55" s="1738" t="s">
        <v>1249</v>
      </c>
    </row>
    <row r="56" spans="1:4">
      <c r="A56" s="3094"/>
      <c r="B56" s="1741" t="s">
        <v>834</v>
      </c>
      <c r="C56" s="1738" t="s">
        <v>1253</v>
      </c>
    </row>
    <row r="57" spans="1:4">
      <c r="A57" s="309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097"/>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2917</v>
      </c>
      <c r="B3" s="2599"/>
      <c r="C3" s="2600" t="s">
        <v>2918</v>
      </c>
      <c r="D3" s="2599">
        <v>44082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3060</v>
      </c>
      <c r="C8" s="2616"/>
      <c r="D8" s="3098" t="s">
        <v>2924</v>
      </c>
      <c r="E8" s="2617" t="s">
        <v>3061</v>
      </c>
      <c r="F8" s="2618"/>
      <c r="G8" s="2892"/>
      <c r="H8" s="2892"/>
      <c r="I8" s="2892"/>
      <c r="J8" s="2667"/>
      <c r="K8" s="2842"/>
      <c r="L8" s="2841"/>
      <c r="M8" s="2841"/>
      <c r="N8" s="2667"/>
      <c r="O8" s="2678"/>
      <c r="P8" s="2667"/>
      <c r="Q8" s="2667"/>
      <c r="R8" s="2667"/>
    </row>
    <row r="9" spans="1:28" ht="13.5" thickBot="1">
      <c r="A9" s="2619" t="s">
        <v>2925</v>
      </c>
      <c r="B9" s="2620" t="s">
        <v>3061</v>
      </c>
      <c r="C9" s="2621"/>
      <c r="D9" s="3099"/>
      <c r="E9" s="2620"/>
      <c r="F9" s="2622"/>
      <c r="G9" s="2894"/>
      <c r="H9" s="2894"/>
      <c r="I9" s="2894"/>
      <c r="J9" s="2667"/>
      <c r="K9" s="2844"/>
      <c r="L9" s="2841"/>
      <c r="M9" s="2841"/>
      <c r="N9" s="2667"/>
      <c r="O9" s="2678"/>
      <c r="P9" s="2667"/>
      <c r="Q9" s="2667"/>
      <c r="R9" s="2667"/>
    </row>
    <row r="10" spans="1:28" ht="13.5" thickTop="1">
      <c r="A10" s="2623" t="s">
        <v>2926</v>
      </c>
      <c r="B10" s="2624" t="s">
        <v>3062</v>
      </c>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t="s">
        <v>3063</v>
      </c>
      <c r="C11" s="2629"/>
      <c r="D11" s="2630"/>
      <c r="E11" s="2596"/>
      <c r="F11" s="2596"/>
      <c r="G11" s="2596"/>
      <c r="H11" s="2596"/>
      <c r="I11" s="2596"/>
      <c r="J11" s="2667"/>
      <c r="K11" s="2844"/>
      <c r="L11" s="2841"/>
      <c r="M11" s="2841"/>
      <c r="N11" s="2667"/>
      <c r="O11" s="2678"/>
      <c r="P11" s="2667"/>
      <c r="Q11" s="2667"/>
      <c r="R11" s="2667"/>
    </row>
    <row r="12" spans="1:28">
      <c r="A12" s="2631" t="s">
        <v>2929</v>
      </c>
      <c r="B12" s="2628" t="s">
        <v>3064</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v>53939</v>
      </c>
      <c r="F13" s="965"/>
      <c r="G13" s="965"/>
      <c r="H13" s="965"/>
      <c r="I13" s="965"/>
      <c r="J13" s="2667"/>
      <c r="K13" s="2844"/>
      <c r="L13" s="2841"/>
      <c r="M13" s="2841"/>
      <c r="N13" s="2667"/>
      <c r="O13" s="2678"/>
      <c r="P13" s="2667"/>
      <c r="Q13" s="2667"/>
      <c r="R13" s="2667"/>
    </row>
    <row r="14" spans="1:28">
      <c r="A14" s="1241"/>
      <c r="B14" s="2633"/>
      <c r="C14" s="2634" t="s">
        <v>2938</v>
      </c>
      <c r="D14" s="2635"/>
      <c r="E14" s="2635">
        <v>40</v>
      </c>
      <c r="F14" s="2635"/>
      <c r="G14" s="2635"/>
      <c r="H14" s="2635"/>
      <c r="I14" s="2635"/>
      <c r="J14" s="2667"/>
      <c r="K14" s="2845"/>
      <c r="L14" s="2841"/>
      <c r="M14" s="2841"/>
      <c r="N14" s="2667"/>
      <c r="O14" s="2678"/>
      <c r="P14" s="2667"/>
      <c r="Q14" s="2667"/>
      <c r="R14" s="2667"/>
    </row>
    <row r="15" spans="1:28">
      <c r="A15" s="326"/>
      <c r="B15" s="2636"/>
      <c r="C15" s="2637" t="s">
        <v>2939</v>
      </c>
      <c r="D15" s="2638" t="str">
        <f>IF(B12="出让",IF(D13="","",ROUNDDOWN(MIN((D13-$D$3)/365,D14),2)),D14)</f>
        <v/>
      </c>
      <c r="E15" s="2638">
        <f>IF(B12="出让",IF(E13="","",ROUNDDOWN(MIN((E13-$D$3)/365,E14),2)),E14)</f>
        <v>27</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2940</v>
      </c>
      <c r="B16" s="3105"/>
      <c r="C16" s="3106"/>
      <c r="D16" s="3107"/>
      <c r="E16" s="2641" t="s">
        <v>2941</v>
      </c>
      <c r="F16" s="3108"/>
      <c r="G16" s="3109"/>
      <c r="H16" s="3109"/>
      <c r="I16" s="3110"/>
      <c r="J16" s="2667"/>
      <c r="K16" s="2846"/>
      <c r="L16" s="2679"/>
      <c r="M16" s="2679"/>
      <c r="N16" s="2737"/>
      <c r="O16" s="2679"/>
      <c r="P16" s="2737"/>
      <c r="Q16" s="2667"/>
      <c r="R16" s="2667"/>
    </row>
    <row r="17" spans="1:28">
      <c r="A17" s="319" t="s">
        <v>2942</v>
      </c>
      <c r="B17" s="308" t="s">
        <v>2943</v>
      </c>
      <c r="C17" s="11">
        <f>'数据-汇总表'!E3</f>
        <v>12383.28</v>
      </c>
      <c r="D17" s="2547" t="s">
        <v>2944</v>
      </c>
      <c r="E17" s="3111" t="s">
        <v>2945</v>
      </c>
      <c r="F17" s="3112"/>
      <c r="G17" s="3112"/>
      <c r="H17" s="3112"/>
      <c r="I17" s="3113"/>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0</v>
      </c>
      <c r="D18" s="1252" t="s">
        <v>2948</v>
      </c>
      <c r="E18" s="3114" t="s">
        <v>2949</v>
      </c>
      <c r="F18" s="3115"/>
      <c r="G18" s="3115"/>
      <c r="H18" s="3115"/>
      <c r="I18" s="3116"/>
      <c r="J18" s="2667"/>
      <c r="K18" s="2847"/>
      <c r="L18" s="2679"/>
      <c r="M18" s="2679"/>
      <c r="N18" s="2737"/>
      <c r="O18" s="2679"/>
      <c r="P18" s="2737"/>
      <c r="Q18" s="2667"/>
      <c r="R18" s="2667"/>
      <c r="S18" s="2667"/>
      <c r="T18" s="2667"/>
      <c r="U18" s="2667"/>
      <c r="V18" s="2667"/>
    </row>
    <row r="19" spans="1:28" ht="37.5" thickTop="1" thickBot="1">
      <c r="A19" s="333" t="s">
        <v>1739</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1" t="s">
        <v>2953</v>
      </c>
      <c r="C20" s="3102"/>
      <c r="D20" s="3103" t="s">
        <v>2954</v>
      </c>
      <c r="E20" s="3104"/>
      <c r="F20" s="2876" t="s">
        <v>1740</v>
      </c>
      <c r="G20" s="2893"/>
      <c r="H20" s="2893"/>
      <c r="I20" s="2893"/>
      <c r="J20" s="2667"/>
      <c r="K20" s="3100"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1741</v>
      </c>
      <c r="D21" s="1755" t="s">
        <v>2957</v>
      </c>
      <c r="E21" s="2864" t="s">
        <v>1741</v>
      </c>
      <c r="F21" s="2877"/>
      <c r="G21" s="2893"/>
      <c r="H21" s="2893"/>
      <c r="I21" s="2893"/>
      <c r="J21" s="2667"/>
      <c r="K21" s="31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1742</v>
      </c>
      <c r="D22" s="2892"/>
      <c r="E22" s="2892"/>
      <c r="F22" s="2892"/>
      <c r="G22" s="2893"/>
      <c r="H22" s="2893"/>
      <c r="I22" s="2893"/>
      <c r="J22" s="2667"/>
      <c r="K22" s="31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1743</v>
      </c>
      <c r="C24" s="2870"/>
      <c r="D24" s="2866" t="s">
        <v>1743</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1744</v>
      </c>
      <c r="C25" s="2870"/>
      <c r="D25" s="2866" t="s">
        <v>1744</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1745</v>
      </c>
      <c r="C26" s="2874"/>
      <c r="D26" s="2872" t="s">
        <v>1745</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8"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8"/>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8"/>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9"/>
      <c r="B30" s="308" t="s">
        <v>2965</v>
      </c>
      <c r="C30" s="3120"/>
      <c r="D30" s="3121"/>
      <c r="E30" s="2893"/>
      <c r="F30" s="2893"/>
      <c r="G30" s="2893"/>
      <c r="H30" s="2893"/>
      <c r="I30" s="2893"/>
      <c r="J30" s="2667"/>
      <c r="K30" s="2844"/>
      <c r="L30" s="2841"/>
      <c r="M30" s="2841"/>
      <c r="N30" s="2667"/>
      <c r="O30" s="2678"/>
      <c r="P30" s="2667"/>
      <c r="Q30" s="2667"/>
      <c r="R30" s="2667"/>
      <c r="S30" s="2667"/>
      <c r="T30" s="2667"/>
      <c r="U30" s="2667"/>
      <c r="V30" s="2667"/>
    </row>
    <row r="31" spans="1:28">
      <c r="A31" s="3122"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3"/>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3"/>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117" t="s">
        <v>2975</v>
      </c>
      <c r="T34" s="2656" t="str">
        <f>NUMBERSTRING(7-K34,1)&amp;"通"</f>
        <v>七通</v>
      </c>
      <c r="U34" s="2667"/>
      <c r="V34" s="2667"/>
    </row>
    <row r="35" spans="1:30">
      <c r="A35" s="2657"/>
      <c r="B35" s="3124" t="s">
        <v>2976</v>
      </c>
      <c r="C35" s="3124"/>
      <c r="D35" s="3124"/>
      <c r="E35" s="3124"/>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1746</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1747</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1748</v>
      </c>
      <c r="B2" s="11" t="s">
        <v>1749</v>
      </c>
      <c r="C2" s="11" t="s">
        <v>1750</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1751</v>
      </c>
      <c r="AZ2" s="1180" t="s">
        <v>1752</v>
      </c>
      <c r="BA2" s="11" t="s">
        <v>1753</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12383.28</v>
      </c>
      <c r="C3" s="1767" t="s">
        <v>1754</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1755</v>
      </c>
      <c r="B5" s="1533"/>
      <c r="C5" s="1533"/>
      <c r="D5" s="1535"/>
      <c r="E5" s="16" t="s">
        <v>1</v>
      </c>
      <c r="F5" s="16">
        <f>SUM(F13:F587)</f>
        <v>0</v>
      </c>
      <c r="G5" s="16">
        <f>SUM(G13:G587)</f>
        <v>12383.28</v>
      </c>
      <c r="H5" s="16">
        <f t="shared" ref="H5:AT5" si="0">SUM(H13:H656)</f>
        <v>12383.28</v>
      </c>
      <c r="I5" s="16">
        <f t="shared" si="0"/>
        <v>7686.6500000000005</v>
      </c>
      <c r="J5" s="16">
        <f t="shared" si="0"/>
        <v>0</v>
      </c>
      <c r="K5" s="16">
        <f t="shared" si="0"/>
        <v>4696.63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1755</v>
      </c>
      <c r="AW5" s="1533"/>
      <c r="AX5" s="1533"/>
      <c r="AY5" s="17" t="s">
        <v>3</v>
      </c>
      <c r="AZ5" s="18">
        <f t="shared" ref="AZ5:BT5" si="1">SUM(AZ13:AZ656)</f>
        <v>12383.28</v>
      </c>
      <c r="BA5" s="18">
        <f t="shared" si="1"/>
        <v>12383.28</v>
      </c>
      <c r="BB5" s="18">
        <f t="shared" si="1"/>
        <v>7686.6500000000005</v>
      </c>
      <c r="BC5" s="18">
        <f t="shared" si="1"/>
        <v>4696.63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1756</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1756</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1757</v>
      </c>
      <c r="B7" s="1756" t="s">
        <v>1758</v>
      </c>
      <c r="C7" s="1756" t="s">
        <v>1759</v>
      </c>
      <c r="D7" s="1756" t="s">
        <v>1760</v>
      </c>
      <c r="E7" s="1756" t="s">
        <v>1761</v>
      </c>
      <c r="F7" s="1756" t="s">
        <v>1762</v>
      </c>
      <c r="G7" s="1777" t="s">
        <v>1763</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1764</v>
      </c>
      <c r="AV7" s="23" t="s">
        <v>1765</v>
      </c>
      <c r="AW7" s="1765" t="s">
        <v>1766</v>
      </c>
      <c r="AX7" s="23" t="s">
        <v>1759</v>
      </c>
      <c r="AY7" s="1533" t="s">
        <v>1767</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1768</v>
      </c>
      <c r="H8" s="1783" t="s">
        <v>1769</v>
      </c>
      <c r="I8" s="1784"/>
      <c r="J8" s="1546"/>
      <c r="K8" s="1546"/>
      <c r="L8" s="1546"/>
      <c r="M8" s="1546"/>
      <c r="N8" s="1546"/>
      <c r="O8" s="1546"/>
      <c r="P8" s="1546"/>
      <c r="Q8" s="1546"/>
      <c r="R8" s="1546"/>
      <c r="S8" s="1546"/>
      <c r="T8" s="1546"/>
      <c r="U8" s="1546"/>
      <c r="V8" s="1785"/>
      <c r="W8" s="1546"/>
      <c r="X8" s="1546"/>
      <c r="Y8" s="1546"/>
      <c r="Z8" s="1546"/>
      <c r="AA8" s="1785"/>
      <c r="AB8" s="1786"/>
      <c r="AC8" s="918" t="s">
        <v>1770</v>
      </c>
      <c r="AD8" s="1787"/>
      <c r="AE8" s="1779"/>
      <c r="AF8" s="1546"/>
      <c r="AG8" s="1546"/>
      <c r="AH8" s="1546"/>
      <c r="AI8" s="1546"/>
      <c r="AJ8" s="1546"/>
      <c r="AK8" s="1546"/>
      <c r="AL8" s="1546"/>
      <c r="AM8" s="1546"/>
      <c r="AN8" s="1546"/>
      <c r="AO8" s="1546"/>
      <c r="AP8" s="1546"/>
      <c r="AQ8" s="1546"/>
      <c r="AR8" s="1546"/>
      <c r="AS8" s="1546"/>
      <c r="AT8" s="1202" t="s">
        <v>1771</v>
      </c>
      <c r="AU8" s="1781" t="s">
        <v>1772</v>
      </c>
      <c r="AV8" s="1202"/>
      <c r="AW8" s="1764"/>
      <c r="AX8" s="1202"/>
      <c r="AY8" s="1765" t="s">
        <v>1773</v>
      </c>
      <c r="AZ8" s="1545" t="s">
        <v>1774</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1775</v>
      </c>
      <c r="I9" s="1790" t="s">
        <v>3116</v>
      </c>
      <c r="J9" s="918"/>
      <c r="K9" s="1790" t="s">
        <v>3126</v>
      </c>
      <c r="L9" s="918"/>
      <c r="M9" s="1790"/>
      <c r="N9" s="918"/>
      <c r="O9" s="1790"/>
      <c r="P9" s="918"/>
      <c r="Q9" s="1790"/>
      <c r="R9" s="918"/>
      <c r="S9" s="1790"/>
      <c r="T9" s="918"/>
      <c r="U9" s="1790"/>
      <c r="V9" s="918"/>
      <c r="W9" s="1790"/>
      <c r="X9" s="1791"/>
      <c r="Y9" s="1790"/>
      <c r="Z9" s="918"/>
      <c r="AA9" s="1790"/>
      <c r="AB9" s="918"/>
      <c r="AC9" s="1782"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2"/>
      <c r="AT9" s="1781"/>
      <c r="AU9" s="1781" t="s">
        <v>1778</v>
      </c>
      <c r="AV9" s="1202"/>
      <c r="AW9" s="1764"/>
      <c r="AX9" s="1202"/>
      <c r="AY9" s="28"/>
      <c r="AZ9" s="28" t="s">
        <v>1768</v>
      </c>
      <c r="BA9" s="1793" t="s">
        <v>1779</v>
      </c>
      <c r="BB9" s="1794"/>
      <c r="BC9" s="1248"/>
      <c r="BD9" s="1248"/>
      <c r="BE9" s="1248"/>
      <c r="BF9" s="1248"/>
      <c r="BG9" s="1248"/>
      <c r="BH9" s="1248"/>
      <c r="BI9" s="1248"/>
      <c r="BJ9" s="1248"/>
      <c r="BK9" s="1795"/>
      <c r="BL9" s="15" t="s">
        <v>1780</v>
      </c>
      <c r="BM9" s="1546"/>
      <c r="BN9" s="1784"/>
      <c r="BO9" s="1546"/>
      <c r="BP9" s="1546"/>
      <c r="BQ9" s="1546"/>
      <c r="BR9" s="1546"/>
      <c r="BS9" s="1546"/>
      <c r="BT9" s="26"/>
    </row>
    <row r="10" spans="1:72" s="1788" customFormat="1" ht="12.75">
      <c r="A10" s="1781"/>
      <c r="B10" s="1781"/>
      <c r="C10" s="1781"/>
      <c r="D10" s="1781"/>
      <c r="E10" s="1781"/>
      <c r="F10" s="1781"/>
      <c r="G10" s="1202"/>
      <c r="H10" s="28"/>
      <c r="I10" s="1790" t="s">
        <v>1341</v>
      </c>
      <c r="J10" s="918"/>
      <c r="K10" s="1796" t="s">
        <v>1341</v>
      </c>
      <c r="L10" s="918"/>
      <c r="M10" s="1796"/>
      <c r="N10" s="918"/>
      <c r="O10" s="1796"/>
      <c r="P10" s="918"/>
      <c r="Q10" s="1796"/>
      <c r="R10" s="918"/>
      <c r="S10" s="1796"/>
      <c r="T10" s="918"/>
      <c r="U10" s="1796"/>
      <c r="V10" s="918"/>
      <c r="W10" s="1796"/>
      <c r="X10" s="918"/>
      <c r="Y10" s="1796"/>
      <c r="Z10" s="918"/>
      <c r="AA10" s="1796"/>
      <c r="AB10" s="918"/>
      <c r="AC10" s="1202"/>
      <c r="AD10" s="15" t="s">
        <v>1781</v>
      </c>
      <c r="AE10" s="1797"/>
      <c r="AF10" s="15" t="s">
        <v>1781</v>
      </c>
      <c r="AG10" s="1797"/>
      <c r="AH10" s="15" t="s">
        <v>1782</v>
      </c>
      <c r="AI10" s="1797"/>
      <c r="AJ10" s="15" t="s">
        <v>1782</v>
      </c>
      <c r="AK10" s="1797"/>
      <c r="AL10" s="15" t="s">
        <v>1783</v>
      </c>
      <c r="AM10" s="1208"/>
      <c r="AN10" s="15" t="s">
        <v>1783</v>
      </c>
      <c r="AO10" s="1208"/>
      <c r="AP10" s="15" t="s">
        <v>1784</v>
      </c>
      <c r="AQ10" s="1208"/>
      <c r="AR10" s="15" t="s">
        <v>1784</v>
      </c>
      <c r="AS10" s="1208"/>
      <c r="AT10" s="1781"/>
      <c r="AU10" s="1781"/>
      <c r="AV10" s="1202"/>
      <c r="AW10" s="1764"/>
      <c r="AX10" s="1202"/>
      <c r="AY10" s="28"/>
      <c r="AZ10" s="28"/>
      <c r="BA10" s="1798" t="s">
        <v>1775</v>
      </c>
      <c r="BB10" s="1799" t="str">
        <f>I9</f>
        <v>地上</v>
      </c>
      <c r="BC10" s="29" t="str">
        <f>K9</f>
        <v>地下</v>
      </c>
      <c r="BD10" s="29">
        <f>M9</f>
        <v>0</v>
      </c>
      <c r="BE10" s="29">
        <f>O9</f>
        <v>0</v>
      </c>
      <c r="BF10" s="29">
        <f>Q9</f>
        <v>0</v>
      </c>
      <c r="BG10" s="29">
        <f>S9</f>
        <v>0</v>
      </c>
      <c r="BH10" s="29">
        <f>U9</f>
        <v>0</v>
      </c>
      <c r="BI10" s="29">
        <f>W9</f>
        <v>0</v>
      </c>
      <c r="BJ10" s="29">
        <f>Y9</f>
        <v>0</v>
      </c>
      <c r="BK10" s="29">
        <f>AA9</f>
        <v>0</v>
      </c>
      <c r="BL10" s="25" t="s">
        <v>1775</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1785</v>
      </c>
      <c r="AE11" s="1547"/>
      <c r="AF11" s="1803" t="s">
        <v>1785</v>
      </c>
      <c r="AG11" s="1547"/>
      <c r="AH11" s="1803" t="s">
        <v>1786</v>
      </c>
      <c r="AI11" s="1804"/>
      <c r="AJ11" s="1803" t="s">
        <v>1786</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2" t="s">
        <v>1788</v>
      </c>
      <c r="W12" s="11" t="s">
        <v>1787</v>
      </c>
      <c r="X12" s="11" t="s">
        <v>1788</v>
      </c>
      <c r="Y12" s="11" t="s">
        <v>1787</v>
      </c>
      <c r="Z12" s="11" t="s">
        <v>1788</v>
      </c>
      <c r="AA12" s="11" t="s">
        <v>1787</v>
      </c>
      <c r="AB12" s="11" t="s">
        <v>1788</v>
      </c>
      <c r="AC12" s="1808"/>
      <c r="AD12" s="1535"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6" t="s">
        <v>1788</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3117</v>
      </c>
      <c r="E13" s="16">
        <f>IF($C$3="是",ROUND($A$3*G13/$B$3,2),ROUND($A$3*(G13-AT13)/$B$3,2))</f>
        <v>0</v>
      </c>
      <c r="F13" s="32"/>
      <c r="G13" s="33">
        <f>H13+AC13+AT13</f>
        <v>12383.28</v>
      </c>
      <c r="H13" s="20">
        <f>SUMIF(I$12:AB$12,"总值",I13:AB13)</f>
        <v>12383.28</v>
      </c>
      <c r="I13" s="1813">
        <f>'金鱼池（前门前）'!E46+'金鱼池（前门前）'!E47+'金鱼池（前门前）'!E48</f>
        <v>7686.6500000000005</v>
      </c>
      <c r="J13" s="1813"/>
      <c r="K13" s="1813">
        <f>'金鱼池（前门前）'!E45</f>
        <v>4696.63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12383.28</v>
      </c>
      <c r="BA13" s="16">
        <f>SUM(BB13:BK13)</f>
        <v>12383.28</v>
      </c>
      <c r="BB13" s="16">
        <f>IF($D13="是",I13-J13,0)</f>
        <v>7686.6500000000005</v>
      </c>
      <c r="BC13" s="16">
        <f>IF($D13="是",K13-L13,0)</f>
        <v>4696.63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49"/>
  <sheetViews>
    <sheetView topLeftCell="A19" zoomScale="90" zoomScaleNormal="90" workbookViewId="0">
      <selection activeCell="G50" sqref="G50"/>
    </sheetView>
  </sheetViews>
  <sheetFormatPr defaultColWidth="8.875" defaultRowHeight="16.5"/>
  <cols>
    <col min="1" max="3" width="8.875" style="3045"/>
    <col min="4" max="4" width="39.75" style="3045" customWidth="1"/>
    <col min="5" max="6" width="11.625" style="3045" customWidth="1"/>
    <col min="7" max="8" width="8.875" style="3045"/>
    <col min="9" max="9" width="10.25" style="3045" bestFit="1" customWidth="1"/>
    <col min="10" max="16384" width="8.875" style="3045"/>
  </cols>
  <sheetData>
    <row r="3" spans="4:9">
      <c r="D3" s="3044" t="s">
        <v>3065</v>
      </c>
      <c r="E3" s="3044" t="s">
        <v>3066</v>
      </c>
      <c r="F3" s="3044"/>
      <c r="G3" s="3044" t="s">
        <v>3067</v>
      </c>
      <c r="H3" s="3044" t="s">
        <v>3068</v>
      </c>
    </row>
    <row r="4" spans="4:9" s="3048" customFormat="1">
      <c r="D4" s="3046" t="s">
        <v>3069</v>
      </c>
      <c r="E4" s="3049">
        <v>4696.63</v>
      </c>
      <c r="F4" s="3046" t="s">
        <v>3070</v>
      </c>
      <c r="G4" s="3047">
        <v>685</v>
      </c>
      <c r="H4" s="3047">
        <f>G4*10000/365/E4</f>
        <v>3.9958700786885983</v>
      </c>
      <c r="I4" s="3048">
        <f>E4</f>
        <v>4696.63</v>
      </c>
    </row>
    <row r="5" spans="4:9" s="3048" customFormat="1">
      <c r="D5" s="3046" t="s">
        <v>3071</v>
      </c>
      <c r="E5" s="3049">
        <v>39.65</v>
      </c>
      <c r="F5" s="3046" t="s">
        <v>3072</v>
      </c>
      <c r="G5" s="3125">
        <v>25</v>
      </c>
      <c r="H5" s="3125">
        <f>G5*10000/365/(E5+E6+E7)</f>
        <v>4.840163287748676</v>
      </c>
    </row>
    <row r="6" spans="4:9" s="3048" customFormat="1">
      <c r="D6" s="3046" t="s">
        <v>3073</v>
      </c>
      <c r="E6" s="3049">
        <v>38.15</v>
      </c>
      <c r="F6" s="3046" t="s">
        <v>3072</v>
      </c>
      <c r="G6" s="3125"/>
      <c r="H6" s="3125"/>
    </row>
    <row r="7" spans="4:9" s="3048" customFormat="1">
      <c r="D7" s="3046" t="s">
        <v>3074</v>
      </c>
      <c r="E7" s="3049">
        <v>63.71</v>
      </c>
      <c r="F7" s="3046" t="s">
        <v>3072</v>
      </c>
      <c r="G7" s="3125"/>
      <c r="H7" s="3125"/>
      <c r="I7" s="3048">
        <f>SUM(E5:E7)</f>
        <v>141.51</v>
      </c>
    </row>
    <row r="8" spans="4:9">
      <c r="D8" s="3046" t="s">
        <v>3075</v>
      </c>
      <c r="E8" s="3049">
        <v>182.47</v>
      </c>
      <c r="F8" s="3046" t="s">
        <v>3076</v>
      </c>
      <c r="G8" s="3126">
        <v>328</v>
      </c>
      <c r="H8" s="3126">
        <f>G8*10000/365/I21</f>
        <v>4.9922232424824795</v>
      </c>
    </row>
    <row r="9" spans="4:9">
      <c r="D9" s="3046" t="s">
        <v>3077</v>
      </c>
      <c r="E9" s="3049">
        <v>81.45</v>
      </c>
      <c r="F9" s="3046" t="s">
        <v>3076</v>
      </c>
      <c r="G9" s="3126"/>
      <c r="H9" s="3126"/>
    </row>
    <row r="10" spans="4:9">
      <c r="D10" s="3046" t="s">
        <v>3078</v>
      </c>
      <c r="E10" s="3049">
        <v>103.82</v>
      </c>
      <c r="F10" s="3046" t="s">
        <v>3076</v>
      </c>
      <c r="G10" s="3126"/>
      <c r="H10" s="3126"/>
    </row>
    <row r="11" spans="4:9">
      <c r="D11" s="3046" t="s">
        <v>3079</v>
      </c>
      <c r="E11" s="3049">
        <v>170.93</v>
      </c>
      <c r="F11" s="3046" t="s">
        <v>3076</v>
      </c>
      <c r="G11" s="3126"/>
      <c r="H11" s="3126"/>
    </row>
    <row r="12" spans="4:9">
      <c r="D12" s="3046" t="s">
        <v>3080</v>
      </c>
      <c r="E12" s="3049">
        <v>167.03</v>
      </c>
      <c r="F12" s="3046" t="s">
        <v>3076</v>
      </c>
      <c r="G12" s="3126"/>
      <c r="H12" s="3126"/>
    </row>
    <row r="13" spans="4:9">
      <c r="D13" s="3046" t="s">
        <v>3081</v>
      </c>
      <c r="E13" s="3049">
        <v>171.34</v>
      </c>
      <c r="F13" s="3046" t="s">
        <v>3076</v>
      </c>
      <c r="G13" s="3126"/>
      <c r="H13" s="3126"/>
    </row>
    <row r="14" spans="4:9">
      <c r="D14" s="3046" t="s">
        <v>3082</v>
      </c>
      <c r="E14" s="3049">
        <v>171.34</v>
      </c>
      <c r="F14" s="3046" t="s">
        <v>3076</v>
      </c>
      <c r="G14" s="3126"/>
      <c r="H14" s="3126"/>
    </row>
    <row r="15" spans="4:9">
      <c r="D15" s="3046" t="s">
        <v>3083</v>
      </c>
      <c r="E15" s="3049">
        <v>171.34</v>
      </c>
      <c r="F15" s="3046" t="s">
        <v>3076</v>
      </c>
      <c r="G15" s="3126"/>
      <c r="H15" s="3126"/>
    </row>
    <row r="16" spans="4:9">
      <c r="D16" s="3046" t="s">
        <v>3084</v>
      </c>
      <c r="E16" s="3049">
        <v>161.13</v>
      </c>
      <c r="F16" s="3046" t="s">
        <v>3076</v>
      </c>
      <c r="G16" s="3126"/>
      <c r="H16" s="3126"/>
    </row>
    <row r="17" spans="3:10">
      <c r="D17" s="3046" t="s">
        <v>3085</v>
      </c>
      <c r="E17" s="3049">
        <v>187.4</v>
      </c>
      <c r="F17" s="3046" t="s">
        <v>3076</v>
      </c>
      <c r="G17" s="3126"/>
      <c r="H17" s="3126"/>
    </row>
    <row r="18" spans="3:10">
      <c r="D18" s="3046" t="s">
        <v>3086</v>
      </c>
      <c r="E18" s="3049">
        <v>39.65</v>
      </c>
      <c r="F18" s="3046" t="s">
        <v>3076</v>
      </c>
      <c r="G18" s="3126"/>
      <c r="H18" s="3126"/>
    </row>
    <row r="19" spans="3:10">
      <c r="D19" s="3046" t="s">
        <v>3087</v>
      </c>
      <c r="E19" s="3049">
        <v>38.15</v>
      </c>
      <c r="F19" s="3046" t="s">
        <v>3076</v>
      </c>
      <c r="G19" s="3126"/>
      <c r="H19" s="3126"/>
    </row>
    <row r="20" spans="3:10">
      <c r="D20" s="3046" t="s">
        <v>3088</v>
      </c>
      <c r="E20" s="3049">
        <v>63.71</v>
      </c>
      <c r="F20" s="3046" t="s">
        <v>3076</v>
      </c>
      <c r="G20" s="3126"/>
      <c r="H20" s="3126"/>
    </row>
    <row r="21" spans="3:10">
      <c r="D21" s="3046" t="s">
        <v>3089</v>
      </c>
      <c r="E21" s="3049">
        <v>90.3</v>
      </c>
      <c r="F21" s="3046" t="s">
        <v>3076</v>
      </c>
      <c r="G21" s="3126"/>
      <c r="H21" s="3126"/>
      <c r="I21" s="3045">
        <f>SUM(E8:E21)</f>
        <v>1800.0600000000002</v>
      </c>
    </row>
    <row r="22" spans="3:10" s="3048" customFormat="1">
      <c r="C22" s="3048" t="s">
        <v>3090</v>
      </c>
      <c r="D22" s="3046" t="s">
        <v>3091</v>
      </c>
      <c r="E22" s="3046">
        <v>2519.35</v>
      </c>
      <c r="F22" s="3046" t="s">
        <v>3092</v>
      </c>
      <c r="G22" s="3047">
        <v>459</v>
      </c>
      <c r="H22" s="3047">
        <f>G22*10000/E22/365</f>
        <v>4.9915027549778417</v>
      </c>
      <c r="I22" s="3048">
        <f>E22</f>
        <v>2519.35</v>
      </c>
    </row>
    <row r="23" spans="3:10" s="3048" customFormat="1">
      <c r="C23" s="3127" t="s">
        <v>3093</v>
      </c>
      <c r="D23" s="3046" t="s">
        <v>3094</v>
      </c>
      <c r="E23" s="3049">
        <v>126.11</v>
      </c>
      <c r="F23" s="3046" t="s">
        <v>3076</v>
      </c>
      <c r="G23" s="3125">
        <v>553</v>
      </c>
      <c r="H23" s="3128">
        <f>G23*10000/365/I29</f>
        <v>9.9940532672195701</v>
      </c>
      <c r="J23" s="3048" t="s">
        <v>3095</v>
      </c>
    </row>
    <row r="24" spans="3:10" s="3048" customFormat="1">
      <c r="C24" s="3127"/>
      <c r="D24" s="3046" t="s">
        <v>3096</v>
      </c>
      <c r="E24" s="3049">
        <v>117.13</v>
      </c>
      <c r="F24" s="3046" t="s">
        <v>3076</v>
      </c>
      <c r="G24" s="3125"/>
      <c r="H24" s="3128"/>
    </row>
    <row r="25" spans="3:10" s="3048" customFormat="1">
      <c r="C25" s="3127"/>
      <c r="D25" s="3046" t="s">
        <v>3097</v>
      </c>
      <c r="E25" s="3049">
        <v>290.60000000000002</v>
      </c>
      <c r="F25" s="3046" t="s">
        <v>3076</v>
      </c>
      <c r="G25" s="3125"/>
      <c r="H25" s="3128"/>
    </row>
    <row r="26" spans="3:10" s="3048" customFormat="1">
      <c r="C26" s="3127"/>
      <c r="D26" s="3046" t="s">
        <v>3098</v>
      </c>
      <c r="E26" s="3049">
        <v>268.39</v>
      </c>
      <c r="F26" s="3046" t="s">
        <v>3092</v>
      </c>
      <c r="G26" s="3125"/>
      <c r="H26" s="3128"/>
    </row>
    <row r="27" spans="3:10" s="3048" customFormat="1">
      <c r="C27" s="3127"/>
      <c r="D27" s="3046" t="s">
        <v>3099</v>
      </c>
      <c r="E27" s="3049">
        <v>369.75</v>
      </c>
      <c r="F27" s="3046" t="s">
        <v>3092</v>
      </c>
      <c r="G27" s="3125"/>
      <c r="H27" s="3128"/>
    </row>
    <row r="28" spans="3:10" s="3048" customFormat="1">
      <c r="C28" s="3127"/>
      <c r="D28" s="3046" t="s">
        <v>3100</v>
      </c>
      <c r="E28" s="3049">
        <v>158.85</v>
      </c>
      <c r="F28" s="3046" t="s">
        <v>3092</v>
      </c>
      <c r="G28" s="3125"/>
      <c r="H28" s="3128"/>
    </row>
    <row r="29" spans="3:10" s="3048" customFormat="1">
      <c r="C29" s="3127"/>
      <c r="D29" s="3046" t="s">
        <v>3101</v>
      </c>
      <c r="E29" s="3049">
        <v>185.14</v>
      </c>
      <c r="F29" s="3046" t="s">
        <v>3092</v>
      </c>
      <c r="G29" s="3125"/>
      <c r="H29" s="3128"/>
      <c r="I29" s="3048">
        <f>SUM(E23:E29)</f>
        <v>1515.9699999999998</v>
      </c>
    </row>
    <row r="30" spans="3:10" s="3048" customFormat="1">
      <c r="C30" s="3127"/>
      <c r="D30" s="3046" t="s">
        <v>3102</v>
      </c>
      <c r="E30" s="3049">
        <v>182.47</v>
      </c>
      <c r="F30" s="3046" t="s">
        <v>3103</v>
      </c>
      <c r="G30" s="3129">
        <v>345</v>
      </c>
      <c r="H30" s="3129">
        <f>345*10000/365/I42</f>
        <v>5.5282933245137009</v>
      </c>
    </row>
    <row r="31" spans="3:10" s="3048" customFormat="1">
      <c r="C31" s="3127"/>
      <c r="D31" s="3046" t="s">
        <v>3104</v>
      </c>
      <c r="E31" s="3049">
        <v>81.45</v>
      </c>
      <c r="F31" s="3046" t="s">
        <v>3103</v>
      </c>
      <c r="G31" s="3129"/>
      <c r="H31" s="3129"/>
    </row>
    <row r="32" spans="3:10" s="3048" customFormat="1">
      <c r="C32" s="3127"/>
      <c r="D32" s="3046" t="s">
        <v>3105</v>
      </c>
      <c r="E32" s="3049">
        <v>103.82</v>
      </c>
      <c r="F32" s="3046" t="s">
        <v>3103</v>
      </c>
      <c r="G32" s="3129"/>
      <c r="H32" s="3129"/>
    </row>
    <row r="33" spans="3:9" s="3048" customFormat="1">
      <c r="C33" s="3127"/>
      <c r="D33" s="3046" t="s">
        <v>3106</v>
      </c>
      <c r="E33" s="3049">
        <v>170.93</v>
      </c>
      <c r="F33" s="3046" t="s">
        <v>3103</v>
      </c>
      <c r="G33" s="3129"/>
      <c r="H33" s="3129"/>
    </row>
    <row r="34" spans="3:9" s="3048" customFormat="1">
      <c r="C34" s="3127"/>
      <c r="D34" s="3046" t="s">
        <v>3107</v>
      </c>
      <c r="E34" s="3049">
        <v>167.03</v>
      </c>
      <c r="F34" s="3046" t="s">
        <v>3103</v>
      </c>
      <c r="G34" s="3129"/>
      <c r="H34" s="3129"/>
    </row>
    <row r="35" spans="3:9" s="3048" customFormat="1">
      <c r="C35" s="3127"/>
      <c r="D35" s="3046" t="s">
        <v>3108</v>
      </c>
      <c r="E35" s="3049">
        <v>171.34</v>
      </c>
      <c r="F35" s="3046" t="s">
        <v>3103</v>
      </c>
      <c r="G35" s="3129"/>
      <c r="H35" s="3129"/>
    </row>
    <row r="36" spans="3:9" s="3048" customFormat="1">
      <c r="C36" s="3127"/>
      <c r="D36" s="3046" t="s">
        <v>3109</v>
      </c>
      <c r="E36" s="3049">
        <v>171.34</v>
      </c>
      <c r="F36" s="3046" t="s">
        <v>3103</v>
      </c>
      <c r="G36" s="3129"/>
      <c r="H36" s="3129"/>
    </row>
    <row r="37" spans="3:9" s="3048" customFormat="1">
      <c r="C37" s="3127"/>
      <c r="D37" s="3046" t="s">
        <v>3110</v>
      </c>
      <c r="E37" s="3049">
        <v>171.34</v>
      </c>
      <c r="F37" s="3046" t="s">
        <v>3103</v>
      </c>
      <c r="G37" s="3129"/>
      <c r="H37" s="3129"/>
    </row>
    <row r="38" spans="3:9" s="3048" customFormat="1">
      <c r="C38" s="3127"/>
      <c r="D38" s="3046" t="s">
        <v>3111</v>
      </c>
      <c r="E38" s="3049">
        <v>161.13</v>
      </c>
      <c r="F38" s="3046" t="s">
        <v>3103</v>
      </c>
      <c r="G38" s="3129"/>
      <c r="H38" s="3129"/>
    </row>
    <row r="39" spans="3:9" s="3048" customFormat="1">
      <c r="C39" s="3127"/>
      <c r="D39" s="3046" t="s">
        <v>3112</v>
      </c>
      <c r="E39" s="3049">
        <v>187.4</v>
      </c>
      <c r="F39" s="3046" t="s">
        <v>3103</v>
      </c>
      <c r="G39" s="3129"/>
      <c r="H39" s="3129"/>
    </row>
    <row r="40" spans="3:9" s="3048" customFormat="1">
      <c r="C40" s="3127"/>
      <c r="D40" s="3046" t="s">
        <v>3113</v>
      </c>
      <c r="E40" s="3049">
        <v>39.65</v>
      </c>
      <c r="F40" s="3046" t="s">
        <v>3103</v>
      </c>
      <c r="G40" s="3129"/>
      <c r="H40" s="3129"/>
    </row>
    <row r="41" spans="3:9" s="3048" customFormat="1">
      <c r="C41" s="3127"/>
      <c r="D41" s="3046" t="s">
        <v>3114</v>
      </c>
      <c r="E41" s="3049">
        <v>38.15</v>
      </c>
      <c r="F41" s="3046" t="s">
        <v>3103</v>
      </c>
      <c r="G41" s="3129"/>
      <c r="H41" s="3129"/>
    </row>
    <row r="42" spans="3:9" s="3048" customFormat="1">
      <c r="C42" s="3127"/>
      <c r="D42" s="3046" t="s">
        <v>3115</v>
      </c>
      <c r="E42" s="3049">
        <v>63.71</v>
      </c>
      <c r="F42" s="3046" t="s">
        <v>3103</v>
      </c>
      <c r="G42" s="3129"/>
      <c r="H42" s="3129"/>
      <c r="I42" s="3048">
        <f>SUM(E30:E42)</f>
        <v>1709.7600000000002</v>
      </c>
    </row>
    <row r="43" spans="3:9">
      <c r="E43" s="3045">
        <f>SUM(E4:E42)</f>
        <v>12383.279999999997</v>
      </c>
      <c r="I43" s="3045">
        <f>SUM(I7+I21+I29+I42+I4+I22)</f>
        <v>12383.28</v>
      </c>
    </row>
    <row r="45" spans="3:9">
      <c r="D45" s="3045" t="s">
        <v>3125</v>
      </c>
      <c r="E45" s="3045">
        <v>4696.63</v>
      </c>
      <c r="F45" s="3045">
        <v>0.4</v>
      </c>
      <c r="G45" s="3045">
        <f>F45*G46</f>
        <v>4</v>
      </c>
    </row>
    <row r="46" spans="3:9">
      <c r="D46" s="3045" t="s">
        <v>3119</v>
      </c>
      <c r="E46" s="3045">
        <f>SUM(E5:E7)+SUM(E23:E29)+2519.34/2</f>
        <v>2917.1499999999996</v>
      </c>
      <c r="F46" s="3045">
        <v>1</v>
      </c>
      <c r="G46" s="3045">
        <v>10</v>
      </c>
    </row>
    <row r="47" spans="3:9">
      <c r="D47" s="3045" t="s">
        <v>3121</v>
      </c>
      <c r="E47" s="3045">
        <f>SUM(E30:E42)+2519.34/2+0.01</f>
        <v>2969.4400000000005</v>
      </c>
      <c r="F47" s="3045">
        <v>0.6</v>
      </c>
      <c r="G47" s="3045">
        <f>F47*G46</f>
        <v>6</v>
      </c>
    </row>
    <row r="48" spans="3:9">
      <c r="D48" s="3045" t="s">
        <v>3123</v>
      </c>
      <c r="E48" s="3045">
        <f>SUM(E8:E21)</f>
        <v>1800.0600000000002</v>
      </c>
      <c r="F48" s="3045">
        <v>0.5</v>
      </c>
      <c r="G48" s="3045">
        <f>G46*F48</f>
        <v>5</v>
      </c>
    </row>
    <row r="49" spans="7:7">
      <c r="G49" s="3045">
        <f>(G45*E45+G46*E46+G47*E47+G48*E48)/E43</f>
        <v>6.0383807844125323</v>
      </c>
    </row>
  </sheetData>
  <mergeCells count="9">
    <mergeCell ref="G5:G7"/>
    <mergeCell ref="H5:H7"/>
    <mergeCell ref="G8:G21"/>
    <mergeCell ref="H8:H21"/>
    <mergeCell ref="C23:C42"/>
    <mergeCell ref="G23:G29"/>
    <mergeCell ref="H23:H29"/>
    <mergeCell ref="G30:G42"/>
    <mergeCell ref="H30:H42"/>
  </mergeCells>
  <phoneticPr fontId="140"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1814</v>
      </c>
      <c r="B1" s="1301"/>
      <c r="C1" s="1301"/>
      <c r="D1" s="1301"/>
      <c r="E1" s="1301"/>
      <c r="F1" s="1301"/>
      <c r="G1" s="1301"/>
      <c r="H1" s="1301"/>
      <c r="I1" s="1301"/>
      <c r="J1" s="1301"/>
      <c r="K1" s="1301"/>
      <c r="L1" s="1301"/>
      <c r="M1" s="1301"/>
      <c r="N1" s="1301"/>
      <c r="O1" s="1301"/>
      <c r="P1" s="1301"/>
    </row>
    <row r="2" spans="1:16" ht="15">
      <c r="A2" s="3141" t="s">
        <v>1815</v>
      </c>
      <c r="B2" s="3141"/>
      <c r="C2" s="3141"/>
      <c r="D2" s="904" t="s">
        <v>1791</v>
      </c>
      <c r="E2" s="1826" t="s">
        <v>1792</v>
      </c>
      <c r="F2" s="2888"/>
      <c r="G2" s="2879"/>
      <c r="H2" s="2880"/>
      <c r="I2" s="2550" t="s">
        <v>1816</v>
      </c>
      <c r="J2" s="2888"/>
      <c r="K2" s="2888"/>
      <c r="L2" s="2888"/>
      <c r="M2" s="2888"/>
      <c r="N2" s="2890"/>
      <c r="O2" s="2888"/>
      <c r="P2" s="2888"/>
    </row>
    <row r="3" spans="1:16" ht="15.75" thickBot="1">
      <c r="A3" s="3142" t="s">
        <v>1789</v>
      </c>
      <c r="B3" s="3142"/>
      <c r="C3" s="3142"/>
      <c r="D3" s="46">
        <f>'数据-基础表'!AY6</f>
        <v>0</v>
      </c>
      <c r="E3" s="46">
        <f>'数据-基础表'!AZ5</f>
        <v>12383.28</v>
      </c>
      <c r="F3" s="2888"/>
      <c r="G3" s="1307"/>
      <c r="H3" s="1157" t="s">
        <v>1790</v>
      </c>
      <c r="I3" s="964" t="e">
        <f>ROUND('数据-基础表'!B3/'数据-基础表'!A3,2)</f>
        <v>#DIV/0!</v>
      </c>
      <c r="J3" s="2888"/>
      <c r="K3" s="2888"/>
      <c r="L3" s="2888"/>
      <c r="M3" s="2888"/>
      <c r="N3" s="2890"/>
      <c r="O3" s="2888"/>
      <c r="P3" s="2888"/>
    </row>
    <row r="4" spans="1:16" ht="15">
      <c r="A4" s="3143"/>
      <c r="B4" s="3144"/>
      <c r="C4" s="3145"/>
      <c r="D4" s="1828" t="s">
        <v>1791</v>
      </c>
      <c r="E4" s="1829" t="s">
        <v>1792</v>
      </c>
      <c r="F4" s="2888"/>
      <c r="G4" s="2881" t="s">
        <v>1817</v>
      </c>
      <c r="H4" s="1157" t="s">
        <v>1797</v>
      </c>
      <c r="I4" s="964" t="e">
        <f>ROUND(SUMIF('数据-基础表'!I9:AS9,"地上",'数据-基础表'!I5:AS5)/'数据-基础表'!A3,2)</f>
        <v>#DIV/0!</v>
      </c>
      <c r="J4" s="2888"/>
      <c r="K4" s="2888"/>
      <c r="L4" s="2888"/>
      <c r="M4" s="2888"/>
      <c r="N4" s="2890"/>
      <c r="O4" s="2888"/>
      <c r="P4" s="2888"/>
    </row>
    <row r="5" spans="1:16">
      <c r="A5" s="47" t="s">
        <v>1793</v>
      </c>
      <c r="B5" s="3146" t="s">
        <v>1794</v>
      </c>
      <c r="C5" s="3146"/>
      <c r="D5" s="48">
        <f>ROUND($D$3*E5/$E$3,2)</f>
        <v>0</v>
      </c>
      <c r="E5" s="49">
        <f>SUMIF('数据-基础表'!$11:$11,"住宅",'数据-基础表'!$5:$5)</f>
        <v>0</v>
      </c>
      <c r="F5" s="2888"/>
      <c r="G5" s="1307"/>
      <c r="H5" s="1157" t="s">
        <v>1790</v>
      </c>
      <c r="I5" s="964" t="e">
        <f>ROUND(E31/D31,2)</f>
        <v>#DIV/0!</v>
      </c>
      <c r="J5" s="2888"/>
      <c r="K5" s="2888"/>
      <c r="L5" s="2888"/>
      <c r="M5" s="2888"/>
      <c r="N5" s="2888"/>
      <c r="O5" s="2888"/>
      <c r="P5" s="2888"/>
    </row>
    <row r="6" spans="1:16" ht="15" thickBot="1">
      <c r="A6" s="1831"/>
      <c r="B6" s="3146" t="s">
        <v>1795</v>
      </c>
      <c r="C6" s="3146"/>
      <c r="D6" s="48">
        <f>ROUND($D$3*E6/$E$3,2)</f>
        <v>0</v>
      </c>
      <c r="E6" s="49">
        <f>E3-E5</f>
        <v>12383.28</v>
      </c>
      <c r="F6" s="2888"/>
      <c r="G6" s="2882" t="s">
        <v>1796</v>
      </c>
      <c r="H6" s="1308" t="s">
        <v>1797</v>
      </c>
      <c r="I6" s="2883" t="e">
        <f>ROUND(F31/D31,2)</f>
        <v>#DIV/0!</v>
      </c>
      <c r="J6" s="2888"/>
      <c r="K6" s="2888"/>
      <c r="L6" s="2888"/>
      <c r="M6" s="2888"/>
      <c r="N6" s="2888"/>
      <c r="O6" s="2888"/>
      <c r="P6" s="2888"/>
    </row>
    <row r="7" spans="1:16" ht="15.75" thickBot="1">
      <c r="A7" s="3138"/>
      <c r="B7" s="3139"/>
      <c r="C7" s="3140"/>
      <c r="D7" s="1828" t="s">
        <v>1791</v>
      </c>
      <c r="E7" s="1832" t="s">
        <v>1798</v>
      </c>
      <c r="F7" s="2888"/>
      <c r="G7" s="2884" t="s">
        <v>1799</v>
      </c>
      <c r="H7" s="2885"/>
      <c r="I7" s="2886"/>
      <c r="J7" s="2888"/>
      <c r="K7" s="2888"/>
      <c r="L7" s="2888"/>
      <c r="M7" s="2888"/>
      <c r="N7" s="2888"/>
      <c r="O7" s="2888"/>
      <c r="P7" s="2888"/>
    </row>
    <row r="8" spans="1:16">
      <c r="A8" s="47" t="s">
        <v>1800</v>
      </c>
      <c r="B8" s="50" t="s">
        <v>1801</v>
      </c>
      <c r="C8" s="48" t="s">
        <v>1802</v>
      </c>
      <c r="D8" s="48">
        <f t="shared" ref="D8:D15" si="0">ROUND($D$3*E8/$E$3,2)</f>
        <v>0</v>
      </c>
      <c r="E8" s="51">
        <f>SUMIF('数据-基础表'!BB10:BK10,"地上",'数据-基础表'!BB5:BK5)</f>
        <v>7686.6500000000005</v>
      </c>
      <c r="F8" s="2888"/>
      <c r="G8" s="2889"/>
      <c r="H8" s="2889"/>
      <c r="I8" s="2888"/>
      <c r="J8" s="2888"/>
      <c r="K8" s="2888"/>
      <c r="L8" s="2888"/>
      <c r="M8" s="2888"/>
      <c r="N8" s="2888"/>
      <c r="O8" s="2888"/>
      <c r="P8" s="2888"/>
    </row>
    <row r="9" spans="1:16">
      <c r="A9" s="1833"/>
      <c r="B9" s="1834"/>
      <c r="C9" s="48" t="s">
        <v>1803</v>
      </c>
      <c r="D9" s="48">
        <f t="shared" si="0"/>
        <v>0</v>
      </c>
      <c r="E9" s="52">
        <v>0</v>
      </c>
      <c r="F9" s="2888"/>
      <c r="G9" s="2889"/>
      <c r="H9" s="2889"/>
      <c r="I9" s="2888"/>
      <c r="J9" s="2888"/>
      <c r="K9" s="2888"/>
      <c r="L9" s="2888"/>
      <c r="M9" s="2888"/>
      <c r="N9" s="2888"/>
      <c r="O9" s="2888"/>
      <c r="P9" s="2888"/>
    </row>
    <row r="10" spans="1:16">
      <c r="A10" s="1833"/>
      <c r="B10" s="1834"/>
      <c r="C10" s="48" t="s">
        <v>1812</v>
      </c>
      <c r="D10" s="48">
        <f t="shared" si="0"/>
        <v>0</v>
      </c>
      <c r="E10" s="51">
        <f>SUMPRODUCT(('数据-基础表'!BB10:BK10="地下")*('数据-基础表'!BB11:BK11="商业")*('数据-基础表'!BB5:BK5))</f>
        <v>4696.63</v>
      </c>
      <c r="F10" s="2888"/>
      <c r="G10" s="2889"/>
      <c r="H10" s="2889"/>
      <c r="I10" s="2888"/>
      <c r="J10" s="2888"/>
      <c r="K10" s="2888"/>
      <c r="L10" s="2888"/>
      <c r="M10" s="2888"/>
      <c r="N10" s="2888"/>
      <c r="O10" s="2888"/>
      <c r="P10" s="2888"/>
    </row>
    <row r="11" spans="1:16">
      <c r="A11" s="1833"/>
      <c r="B11" s="1834"/>
      <c r="C11" s="48" t="s">
        <v>1804</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1805</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1806</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1818</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1813</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1807</v>
      </c>
      <c r="D16" s="50">
        <f>SUM(D8:D15)</f>
        <v>0</v>
      </c>
      <c r="E16" s="53">
        <f>SUM(E8:E15)</f>
        <v>12383.28</v>
      </c>
      <c r="F16" s="2888"/>
      <c r="G16" s="2889"/>
      <c r="H16" s="1835" t="s">
        <v>1819</v>
      </c>
      <c r="I16" s="1836"/>
      <c r="J16" s="1301"/>
      <c r="K16" s="3135" t="s">
        <v>1819</v>
      </c>
      <c r="L16" s="3136"/>
      <c r="M16" s="3136"/>
      <c r="N16" s="3136"/>
      <c r="O16" s="3136"/>
      <c r="P16" s="3137"/>
    </row>
    <row r="17" spans="1:19" ht="15">
      <c r="A17" s="1837" t="s">
        <v>1820</v>
      </c>
      <c r="B17" s="1838" t="s">
        <v>1821</v>
      </c>
      <c r="C17" s="1839" t="s">
        <v>1822</v>
      </c>
      <c r="D17" s="1840" t="s">
        <v>1810</v>
      </c>
      <c r="E17" s="1841" t="s">
        <v>1811</v>
      </c>
      <c r="F17" s="1842"/>
      <c r="G17" s="1843"/>
      <c r="H17" s="1844" t="s">
        <v>1823</v>
      </c>
      <c r="I17" s="1845" t="s">
        <v>1808</v>
      </c>
      <c r="J17" s="1301"/>
      <c r="K17" s="3132" t="s">
        <v>1824</v>
      </c>
      <c r="L17" s="3133"/>
      <c r="M17" s="3134"/>
      <c r="N17" s="3132" t="s">
        <v>1825</v>
      </c>
      <c r="O17" s="3133"/>
      <c r="P17" s="3134"/>
      <c r="R17" s="1827" t="s">
        <v>1826</v>
      </c>
      <c r="S17" s="60"/>
    </row>
    <row r="18" spans="1:19" ht="15">
      <c r="A18" s="1833"/>
      <c r="B18" s="1846"/>
      <c r="C18" s="1847"/>
      <c r="D18" s="1848"/>
      <c r="E18" s="1849" t="s">
        <v>1827</v>
      </c>
      <c r="F18" s="1850" t="s">
        <v>1828</v>
      </c>
      <c r="G18" s="1851" t="s">
        <v>1829</v>
      </c>
      <c r="H18" s="1172" t="s">
        <v>1830</v>
      </c>
      <c r="I18" s="1852" t="s">
        <v>1831</v>
      </c>
      <c r="J18" s="1301"/>
      <c r="K18" s="1172" t="s">
        <v>1832</v>
      </c>
      <c r="L18" s="1853" t="s">
        <v>1833</v>
      </c>
      <c r="M18" s="964" t="s">
        <v>1834</v>
      </c>
      <c r="N18" s="1172" t="s">
        <v>1832</v>
      </c>
      <c r="O18" s="1853" t="s">
        <v>1833</v>
      </c>
      <c r="P18" s="964" t="s">
        <v>1834</v>
      </c>
      <c r="R18" s="1157" t="s">
        <v>1835</v>
      </c>
      <c r="S18" s="1157" t="s">
        <v>1836</v>
      </c>
    </row>
    <row r="19" spans="1:19">
      <c r="A19" s="1854"/>
      <c r="B19" s="50" t="s">
        <v>1809</v>
      </c>
      <c r="C19" s="3050" t="s">
        <v>3127</v>
      </c>
      <c r="D19" s="48">
        <f>ROUND($D$3*E19/$E$3,2)</f>
        <v>0</v>
      </c>
      <c r="E19" s="56">
        <f t="shared" ref="E19:E26" si="1">SUM(F19:G19)</f>
        <v>12383.28</v>
      </c>
      <c r="F19" s="3028">
        <f>'数据-基础表'!I13</f>
        <v>7686.6500000000005</v>
      </c>
      <c r="G19" s="3029">
        <f>'数据-基础表'!K13</f>
        <v>4696.63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12383.28</v>
      </c>
    </row>
    <row r="20" spans="1:19">
      <c r="A20" s="1858"/>
      <c r="B20" s="50" t="s">
        <v>1837</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1837</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1837</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1837</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1837</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1837</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1837</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1838</v>
      </c>
      <c r="D27" s="1302">
        <f>SUM(D19:D26)</f>
        <v>0</v>
      </c>
      <c r="E27" s="1303">
        <f>IF(SUM(E19:E26)='数据-基础表'!BA5,SUM(E19:E26),IF(F27="地上面积有误","面积有误","地下面积有误"))</f>
        <v>12383.28</v>
      </c>
      <c r="F27" s="1302">
        <f>IF(SUM(F19:F26)=E8,SUM(F19:F26),"地上面积有误")</f>
        <v>7686.6500000000005</v>
      </c>
      <c r="G27" s="1304">
        <f>SUM(G19:G26)</f>
        <v>4696.63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12383.28</v>
      </c>
    </row>
    <row r="28" spans="1:19">
      <c r="A28" s="1858"/>
      <c r="B28" s="50" t="s">
        <v>1839</v>
      </c>
      <c r="C28" s="1169" t="s">
        <v>1840</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1839</v>
      </c>
      <c r="C29" s="1862" t="s">
        <v>1841</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1838</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1842</v>
      </c>
      <c r="D31" s="685">
        <f>D27+D30</f>
        <v>0</v>
      </c>
      <c r="E31" s="685">
        <f>E27+E30</f>
        <v>12383.28</v>
      </c>
      <c r="F31" s="686">
        <f>F27+F30</f>
        <v>7686.6500000000005</v>
      </c>
      <c r="G31" s="687">
        <f>G27+G30</f>
        <v>4696.63</v>
      </c>
      <c r="H31" s="2888"/>
      <c r="I31" s="2888"/>
      <c r="J31" s="2888"/>
      <c r="K31" s="2888"/>
      <c r="L31" s="2888"/>
      <c r="M31" s="2888"/>
      <c r="N31" s="2888"/>
      <c r="O31" s="2888"/>
      <c r="P31" s="2888"/>
    </row>
    <row r="32" spans="1:19">
      <c r="A32" s="1830"/>
      <c r="B32" s="1830" t="s">
        <v>1843</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1844</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1845</v>
      </c>
      <c r="B2" s="1176">
        <f>项目基本情况!D3</f>
        <v>44082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1846</v>
      </c>
      <c r="B4" s="1876"/>
      <c r="C4" s="1877"/>
      <c r="D4" s="1878"/>
      <c r="E4" s="1877" t="s">
        <v>1847</v>
      </c>
      <c r="F4" s="1877"/>
      <c r="G4" s="1877"/>
      <c r="H4" s="1877"/>
      <c r="I4" s="1877"/>
      <c r="J4" s="1879"/>
      <c r="K4" s="1880"/>
      <c r="L4" s="1881"/>
      <c r="M4" s="1877"/>
      <c r="N4" s="1877" t="s">
        <v>1848</v>
      </c>
      <c r="O4" s="1877"/>
      <c r="P4" s="1877"/>
      <c r="Q4" s="1877"/>
      <c r="R4" s="1877"/>
      <c r="S4" s="1879"/>
      <c r="T4" s="2887" t="str">
        <f>'数据-汇总表'!I17</f>
        <v>按面积比例</v>
      </c>
      <c r="U4" s="1876" t="s">
        <v>1849</v>
      </c>
      <c r="V4" s="1877"/>
      <c r="W4" s="1877"/>
      <c r="X4" s="1877"/>
      <c r="Y4" s="1879"/>
      <c r="Z4" s="1839" t="s">
        <v>1850</v>
      </c>
      <c r="AA4" s="1839"/>
      <c r="AB4" s="1839"/>
      <c r="AC4" s="1839"/>
      <c r="AD4" s="1839"/>
      <c r="AE4" s="1837" t="s">
        <v>1851</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1852</v>
      </c>
      <c r="B5" s="1884" t="s">
        <v>1853</v>
      </c>
      <c r="C5" s="1885" t="s">
        <v>1854</v>
      </c>
      <c r="D5" s="1886" t="s">
        <v>1855</v>
      </c>
      <c r="E5" s="1178" t="s">
        <v>1856</v>
      </c>
      <c r="F5" s="1887" t="s">
        <v>1857</v>
      </c>
      <c r="G5" s="1178" t="s">
        <v>1858</v>
      </c>
      <c r="H5" s="1178" t="s">
        <v>1859</v>
      </c>
      <c r="I5" s="1178" t="s">
        <v>1860</v>
      </c>
      <c r="J5" s="1888" t="s">
        <v>1861</v>
      </c>
      <c r="K5" s="1889" t="s">
        <v>1862</v>
      </c>
      <c r="L5" s="1890" t="s">
        <v>1863</v>
      </c>
      <c r="M5" s="1891" t="s">
        <v>1864</v>
      </c>
      <c r="N5" s="1892" t="s">
        <v>3128</v>
      </c>
      <c r="O5" s="1890" t="s">
        <v>1865</v>
      </c>
      <c r="P5" s="1893" t="s">
        <v>1866</v>
      </c>
      <c r="Q5" s="65" t="s">
        <v>1867</v>
      </c>
      <c r="R5" s="1894" t="s">
        <v>1868</v>
      </c>
      <c r="S5" s="1895" t="s">
        <v>1869</v>
      </c>
      <c r="T5" s="1896" t="s">
        <v>1870</v>
      </c>
      <c r="U5" s="1177" t="s">
        <v>1871</v>
      </c>
      <c r="V5" s="1178" t="s">
        <v>1872</v>
      </c>
      <c r="W5" s="1178" t="s">
        <v>1873</v>
      </c>
      <c r="X5" s="67"/>
      <c r="Y5" s="66" t="s">
        <v>1874</v>
      </c>
      <c r="Z5" s="1897" t="s">
        <v>1871</v>
      </c>
      <c r="AA5" s="1178" t="s">
        <v>1872</v>
      </c>
      <c r="AB5" s="1178" t="s">
        <v>1873</v>
      </c>
      <c r="AC5" s="67"/>
      <c r="AD5" s="67" t="s">
        <v>1874</v>
      </c>
      <c r="AE5" s="1177" t="s">
        <v>1875</v>
      </c>
      <c r="AF5" s="1178" t="s">
        <v>1876</v>
      </c>
      <c r="AG5" s="66" t="s">
        <v>1877</v>
      </c>
      <c r="AH5" s="1177" t="s">
        <v>1878</v>
      </c>
      <c r="AI5" s="1897" t="s">
        <v>1879</v>
      </c>
      <c r="AJ5" s="1897" t="s">
        <v>1880</v>
      </c>
      <c r="AK5" s="1178" t="s">
        <v>1881</v>
      </c>
      <c r="AL5" s="1178" t="s">
        <v>1882</v>
      </c>
      <c r="AM5" s="66" t="s">
        <v>1883</v>
      </c>
      <c r="AN5" s="1898" t="s">
        <v>1884</v>
      </c>
      <c r="AO5" s="1749" t="s">
        <v>1885</v>
      </c>
      <c r="AP5" s="1159" t="s">
        <v>1886</v>
      </c>
      <c r="AQ5" s="1899" t="s">
        <v>1887</v>
      </c>
      <c r="AR5" s="1899" t="s">
        <v>1888</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1341</v>
      </c>
      <c r="D6" s="967">
        <f>SUMIF(项目基本情况!D$12:I$12,C6,项目基本情况!D$14:I$14)</f>
        <v>40</v>
      </c>
      <c r="E6" s="966">
        <f>IF(B6="","",SUMIF(项目基本情况!D$12:I$12,C6,项目基本情况!D$13:I$13))</f>
        <v>53939</v>
      </c>
      <c r="F6" s="68">
        <f>SUMIF(项目基本情况!D$12:I$12,C6,项目基本情况!D$15:I$15)</f>
        <v>27</v>
      </c>
      <c r="G6" s="69">
        <f>IF(ISERROR(ROUND(POWER(1+H6,D6-F6)*(POWER(1+H6,F6)-1)/(POWER(1+H6,D6)-1),3)),0,ROUND(POWER(1+H6,D6-F6)*(POWER(1+H6,F6)-1)/(POWER(1+H6,D6)-1),3))</f>
        <v>0.85299999999999998</v>
      </c>
      <c r="H6" s="741">
        <v>0.05</v>
      </c>
      <c r="I6" s="741">
        <v>5.5E-2</v>
      </c>
      <c r="J6" s="70">
        <v>0.08</v>
      </c>
      <c r="K6" s="1161">
        <f>SUMIF('数据-汇总表'!C$19:C$33,A6,'数据-汇总表'!E$19:E$33)</f>
        <v>12383.28</v>
      </c>
      <c r="L6" s="742">
        <v>3000</v>
      </c>
      <c r="M6" s="71">
        <f t="shared" ref="M6:M14" si="0">ROUND(K6*L6/10000,0)</f>
        <v>3715</v>
      </c>
      <c r="N6" s="740">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6</v>
      </c>
      <c r="V6" s="75">
        <v>0.03</v>
      </c>
      <c r="W6" s="75">
        <v>0.15</v>
      </c>
      <c r="X6" s="1171"/>
      <c r="Y6" s="76">
        <f>N6</f>
        <v>0.82</v>
      </c>
      <c r="Z6" s="77"/>
      <c r="AA6" s="70"/>
      <c r="AB6" s="70"/>
      <c r="AC6" s="1171"/>
      <c r="AD6" s="78"/>
      <c r="AE6" s="1172">
        <f ca="1">IF(AN6="",0,SUMIF(INDIRECT("'"&amp;AN6&amp;"'"&amp;"!E:E"),$AE$5,INDIRECT("'"&amp;AN6&amp;"'"&amp;"!F:F")))</f>
        <v>27</v>
      </c>
      <c r="AF6" s="1534"/>
      <c r="AG6" s="143">
        <f>IF(AF6="",0,AE6-AF6)</f>
        <v>0</v>
      </c>
      <c r="AH6" s="79"/>
      <c r="AI6" s="81">
        <v>365</v>
      </c>
      <c r="AJ6" s="82"/>
      <c r="AK6" s="83">
        <v>1.4999999999999999E-2</v>
      </c>
      <c r="AL6" s="84">
        <v>1.5E-3</v>
      </c>
      <c r="AM6" s="85">
        <v>1.4999999999999999E-2</v>
      </c>
      <c r="AN6" s="1903" t="s">
        <v>3129</v>
      </c>
      <c r="AO6" s="55">
        <f ca="1">SUMIF(INDIRECT("'"&amp;AN6&amp;"'"&amp;"!A:A"),"总价",INDIRECT("'"&amp;AN6&amp;"'"&amp;"!B:B"))</f>
        <v>34300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1889</v>
      </c>
      <c r="B14" s="1901" t="s">
        <v>1890</v>
      </c>
      <c r="C14" s="1906" t="s">
        <v>1889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1891</v>
      </c>
      <c r="B15" s="1901" t="s">
        <v>1890</v>
      </c>
      <c r="C15" s="1906"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1893</v>
      </c>
      <c r="B16" s="93"/>
      <c r="C16" s="942"/>
      <c r="D16" s="1908"/>
      <c r="E16" s="93"/>
      <c r="F16" s="93"/>
      <c r="G16" s="94">
        <f>ROUND(SUMPRODUCT(G6:G13,K6:K13)/SUMPRODUCT((G6:G13&gt;0)*(K6:K13)),3)</f>
        <v>0.85299999999999998</v>
      </c>
      <c r="H16" s="95">
        <f>ROUND(SUMPRODUCT(H6:H13,K6:K13)/SUMPRODUCT((H6:H13&gt;0)*(K6:K13)),3)</f>
        <v>0.05</v>
      </c>
      <c r="I16" s="96"/>
      <c r="J16" s="96"/>
      <c r="K16" s="97">
        <f>SUM(K6:K15)</f>
        <v>12383.28</v>
      </c>
      <c r="L16" s="98">
        <f>ROUND(M16*10000/SUM(K6:K14),0)</f>
        <v>3000</v>
      </c>
      <c r="M16" s="98">
        <f>SUM(M6:M14)</f>
        <v>3715</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1894</v>
      </c>
      <c r="B18" s="2916"/>
      <c r="C18" s="2904"/>
      <c r="D18" s="2907"/>
      <c r="E18" s="2904"/>
      <c r="F18" s="2904"/>
      <c r="G18" s="2904"/>
      <c r="H18" s="2904"/>
      <c r="I18" s="2904"/>
      <c r="J18" s="2904"/>
      <c r="K18" s="2903"/>
      <c r="L18" s="2903"/>
      <c r="M18" s="2902"/>
      <c r="N18" s="2902">
        <v>2009</v>
      </c>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1895</v>
      </c>
      <c r="B19" s="108">
        <v>0</v>
      </c>
      <c r="C19" s="3032" t="s">
        <v>3053</v>
      </c>
      <c r="D19" s="2907"/>
      <c r="E19" s="2904"/>
      <c r="F19" s="2904"/>
      <c r="G19" s="2904"/>
      <c r="H19" s="2904"/>
      <c r="I19" s="2904"/>
      <c r="J19" s="2904"/>
      <c r="K19" s="2903"/>
      <c r="L19" s="2903"/>
      <c r="M19" s="2902"/>
      <c r="N19" s="2902">
        <f>ROUND(1-(2020-N18)/60,2)</f>
        <v>0.82</v>
      </c>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1896</v>
      </c>
      <c r="B20" s="109">
        <v>2</v>
      </c>
      <c r="C20" s="3033" t="s">
        <v>3051</v>
      </c>
      <c r="D20" s="2907"/>
      <c r="E20" s="2904"/>
      <c r="F20" s="2904"/>
      <c r="G20" s="2904"/>
      <c r="H20" s="2904"/>
      <c r="I20" s="2904"/>
      <c r="J20" s="2904"/>
      <c r="K20" s="2903"/>
      <c r="L20" s="2903"/>
      <c r="M20" s="2902"/>
      <c r="N20" s="2902">
        <v>0.85</v>
      </c>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1897</v>
      </c>
      <c r="B21" s="109">
        <v>2</v>
      </c>
      <c r="C21" s="2904"/>
      <c r="D21" s="2907"/>
      <c r="E21" s="2904"/>
      <c r="F21" s="2904"/>
      <c r="G21" s="2904"/>
      <c r="H21" s="2904"/>
      <c r="I21" s="2904"/>
      <c r="J21" s="2904"/>
      <c r="K21" s="2903"/>
      <c r="L21" s="2903"/>
      <c r="M21" s="2902"/>
      <c r="N21" s="2902">
        <f>(N19+N20)/2</f>
        <v>0.83499999999999996</v>
      </c>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1898</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1899</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1900</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1901</v>
      </c>
      <c r="B26" s="1914" t="s">
        <v>1902</v>
      </c>
      <c r="C26" s="2908" t="s">
        <v>1903</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1904</v>
      </c>
      <c r="B27" s="112"/>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1905</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1906</v>
      </c>
      <c r="B29" s="117"/>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1907</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1908</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1909</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1910</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1911</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1912</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1913</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1914</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1915</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1916</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1917</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1918</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1919</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1920</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1921</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1922</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1923</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1924</v>
      </c>
      <c r="B47" s="125"/>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1925</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1926</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1927</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1928</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1929</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1930</v>
      </c>
      <c r="B53" s="1926"/>
      <c r="C53" s="2890" t="s">
        <v>1931</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1932</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1933</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1934</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1935</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1936</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1937</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1938</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1939</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1940</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1941</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7" t="s">
        <v>3033</v>
      </c>
      <c r="B1" s="3148"/>
      <c r="C1" s="3148"/>
      <c r="D1" s="3148"/>
      <c r="E1" s="3148"/>
      <c r="F1" s="3148"/>
      <c r="G1" s="3148"/>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741" customWidth="1"/>
    <col min="2" max="9" width="15.75" style="2741" customWidth="1"/>
    <col min="10" max="16384" width="9" style="2741"/>
  </cols>
  <sheetData>
    <row r="1" spans="1:11" ht="16.5">
      <c r="A1" s="2740" t="s">
        <v>1329</v>
      </c>
      <c r="B1" s="2740">
        <f>SUM(B14:B23)</f>
        <v>22578.760000000002</v>
      </c>
      <c r="C1" s="2917"/>
      <c r="D1" s="2917"/>
      <c r="E1" s="2917"/>
      <c r="F1" s="2917"/>
      <c r="G1" s="2918"/>
      <c r="H1" s="2919"/>
      <c r="I1" s="2919"/>
      <c r="J1" s="2919"/>
      <c r="K1" s="2919"/>
    </row>
    <row r="2" spans="1:11" ht="16.5">
      <c r="A2" s="2740" t="s">
        <v>1317</v>
      </c>
      <c r="B2" s="2740">
        <f>SUM(C14:C23)</f>
        <v>0</v>
      </c>
      <c r="C2" s="2917"/>
      <c r="D2" s="2917"/>
      <c r="E2" s="2917"/>
      <c r="F2" s="2917"/>
      <c r="G2" s="2918"/>
      <c r="H2" s="2919"/>
      <c r="I2" s="2919"/>
      <c r="J2" s="2919"/>
      <c r="K2" s="2919"/>
    </row>
    <row r="3" spans="1:11" ht="16.5">
      <c r="A3" s="2740" t="s">
        <v>1326</v>
      </c>
      <c r="B3" s="2742">
        <f>项目基本情况!D3</f>
        <v>44082</v>
      </c>
      <c r="C3" s="2917"/>
      <c r="D3" s="2917"/>
      <c r="E3" s="2917"/>
      <c r="F3" s="2917"/>
      <c r="G3" s="2918"/>
      <c r="H3" s="2919"/>
      <c r="I3" s="2919"/>
      <c r="J3" s="2919"/>
      <c r="K3" s="2919"/>
    </row>
    <row r="4" spans="1:11" ht="33">
      <c r="A4" s="2740" t="s">
        <v>1325</v>
      </c>
      <c r="B4" s="2740" t="s">
        <v>1324</v>
      </c>
      <c r="C4" s="2740" t="s">
        <v>1323</v>
      </c>
      <c r="D4" s="2740" t="s">
        <v>1322</v>
      </c>
      <c r="E4" s="2917"/>
      <c r="F4" s="2918"/>
      <c r="G4" s="2918"/>
      <c r="H4" s="2919"/>
      <c r="I4" s="2919"/>
      <c r="J4" s="2919"/>
      <c r="K4" s="2919"/>
    </row>
    <row r="5" spans="1:11" ht="16.5">
      <c r="A5" s="2740" t="s">
        <v>1321</v>
      </c>
      <c r="B5" s="2740">
        <f ca="1">SUM(D14:D23)</f>
        <v>66286</v>
      </c>
      <c r="C5" s="2740">
        <f ca="1">ROUND(B5*10000/$B$1,0)</f>
        <v>29358</v>
      </c>
      <c r="D5" s="2740" t="e">
        <f ca="1">ROUND(B5*10000/$B$2,0)</f>
        <v>#DIV/0!</v>
      </c>
      <c r="E5" s="2917"/>
      <c r="F5" s="2918"/>
      <c r="G5" s="2918"/>
      <c r="H5" s="2919"/>
      <c r="I5" s="2919"/>
      <c r="J5" s="2919"/>
      <c r="K5" s="2919"/>
    </row>
    <row r="6" spans="1:11" ht="16.5">
      <c r="A6" s="2740" t="s">
        <v>1320</v>
      </c>
      <c r="B6" s="2740">
        <f ca="1">SUM(G14:G23)</f>
        <v>66286</v>
      </c>
      <c r="C6" s="2740">
        <f ca="1">ROUND(B6*10000/$B$1,0)</f>
        <v>29358</v>
      </c>
      <c r="D6" s="2740" t="e">
        <f ca="1">ROUND(B6*10000/$B$2,0)</f>
        <v>#DIV/0!</v>
      </c>
      <c r="E6" s="2917"/>
      <c r="F6" s="2918"/>
      <c r="G6" s="2918"/>
      <c r="H6" s="2919"/>
      <c r="I6" s="2919"/>
      <c r="J6" s="2919"/>
      <c r="K6" s="2919"/>
    </row>
    <row r="7" spans="1:11" ht="16.5">
      <c r="A7" s="2740" t="s">
        <v>1328</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1319</v>
      </c>
      <c r="B9" s="2748"/>
      <c r="C9" s="2917"/>
      <c r="D9" s="2917"/>
      <c r="E9" s="2917"/>
      <c r="F9" s="2918"/>
      <c r="G9" s="2918"/>
      <c r="H9" s="2919"/>
      <c r="I9" s="2919"/>
      <c r="J9" s="2919"/>
      <c r="K9" s="2919"/>
    </row>
    <row r="10" spans="1:11" ht="16.5">
      <c r="A10" s="2740" t="s">
        <v>1318</v>
      </c>
      <c r="B10" s="2748"/>
      <c r="C10" s="2917"/>
      <c r="D10" s="2917"/>
      <c r="E10" s="2917"/>
      <c r="F10" s="2918"/>
      <c r="G10" s="2918"/>
      <c r="H10" s="2919"/>
      <c r="I10" s="2919"/>
      <c r="J10" s="2919"/>
      <c r="K10" s="2919"/>
    </row>
    <row r="11" spans="1:11" ht="16.5">
      <c r="A11" s="2740" t="s">
        <v>1334</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1333</v>
      </c>
      <c r="B13" s="2744" t="s">
        <v>1330</v>
      </c>
      <c r="C13" s="2744" t="s">
        <v>1332</v>
      </c>
      <c r="D13" s="2744" t="s">
        <v>1331</v>
      </c>
      <c r="E13" s="2740" t="s">
        <v>1323</v>
      </c>
      <c r="F13" s="2740" t="s">
        <v>1322</v>
      </c>
      <c r="G13" s="2744" t="s">
        <v>1316</v>
      </c>
      <c r="H13" s="2744" t="s">
        <v>1327</v>
      </c>
      <c r="I13" s="2744" t="s">
        <v>1315</v>
      </c>
      <c r="J13" s="2918"/>
      <c r="K13" s="2919"/>
    </row>
    <row r="14" spans="1:11" ht="16.5">
      <c r="A14" s="2745" t="s">
        <v>1314</v>
      </c>
      <c r="B14" s="2746">
        <f>结果表!B118</f>
        <v>12383.28</v>
      </c>
      <c r="C14" s="2746">
        <f>结果表!C118</f>
        <v>0</v>
      </c>
      <c r="D14" s="2746">
        <f ca="1">结果表!H118</f>
        <v>49623</v>
      </c>
      <c r="E14" s="2746">
        <f ca="1">ROUND(D14*10000/B14,0)</f>
        <v>40073</v>
      </c>
      <c r="F14" s="2746" t="e">
        <f ca="1">ROUND(D14*10000/C14,0)</f>
        <v>#DIV/0!</v>
      </c>
      <c r="G14" s="2746">
        <f ca="1">结果表!D122</f>
        <v>49623</v>
      </c>
      <c r="H14" s="2746" t="str">
        <f>结果表!D124</f>
        <v>——</v>
      </c>
      <c r="I14" s="2746" t="str">
        <f>结果表!D126</f>
        <v>——</v>
      </c>
      <c r="J14" s="2918"/>
      <c r="K14" s="2919"/>
    </row>
    <row r="15" spans="1:11" ht="16.5">
      <c r="A15" s="2745" t="s">
        <v>3145</v>
      </c>
      <c r="B15" s="2747">
        <f>[1]系统读取表!$B$14</f>
        <v>7604.39</v>
      </c>
      <c r="C15" s="2747">
        <f>[1]系统读取表!$C$14</f>
        <v>0</v>
      </c>
      <c r="D15" s="2747">
        <f ca="1">[1]系统读取表!$D$14</f>
        <v>12799</v>
      </c>
      <c r="E15" s="2746">
        <f t="shared" ref="E15:E23" ca="1" si="0">ROUND(D15*10000/B15,0)</f>
        <v>16831</v>
      </c>
      <c r="F15" s="2746" t="e">
        <f t="shared" ref="F15:F23" ca="1" si="1">ROUND(D15*10000/C15,0)</f>
        <v>#DIV/0!</v>
      </c>
      <c r="G15" s="1502">
        <f ca="1">[1]系统读取表!$G$14</f>
        <v>12799</v>
      </c>
      <c r="H15" s="1502"/>
      <c r="I15" s="2747"/>
      <c r="J15" s="2918"/>
      <c r="K15" s="2919"/>
    </row>
    <row r="16" spans="1:11" ht="16.5">
      <c r="A16" s="2745" t="s">
        <v>3146</v>
      </c>
      <c r="B16" s="2747">
        <f>[2]系统读取表!$B$14</f>
        <v>2591.0899999999997</v>
      </c>
      <c r="C16" s="2747"/>
      <c r="D16" s="2747">
        <f ca="1">[2]系统读取表!$D$14</f>
        <v>3864</v>
      </c>
      <c r="E16" s="2746">
        <f t="shared" ca="1" si="0"/>
        <v>14913</v>
      </c>
      <c r="F16" s="2746" t="e">
        <f t="shared" ca="1" si="1"/>
        <v>#DIV/0!</v>
      </c>
      <c r="G16" s="1502">
        <f ca="1">[2]系统读取表!$G$14</f>
        <v>3864</v>
      </c>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33" sqref="D33"/>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1947</v>
      </c>
      <c r="B1" s="1935"/>
      <c r="C1" s="1936"/>
      <c r="D1" s="1935"/>
      <c r="E1" s="1935"/>
      <c r="F1" s="1937" t="s">
        <v>1948</v>
      </c>
      <c r="G1" s="1748" t="s">
        <v>3142</v>
      </c>
      <c r="H1" s="1938" t="str">
        <f>IF(G1="现房","——","估价对象范围")</f>
        <v>——</v>
      </c>
      <c r="I1" s="1939"/>
    </row>
    <row r="2" spans="1:12" ht="21.75" customHeight="1" thickBot="1">
      <c r="A2" s="3219" t="str">
        <f>项目基本情况!S2</f>
        <v>北京市房地产</v>
      </c>
      <c r="B2" s="3220"/>
      <c r="C2" s="3220"/>
      <c r="D2" s="3220"/>
      <c r="E2" s="3220"/>
      <c r="F2" s="3220"/>
      <c r="G2" s="3220"/>
      <c r="H2" s="3220"/>
      <c r="I2" s="3221"/>
    </row>
    <row r="3" spans="1:12" ht="12.75">
      <c r="A3" s="3223" t="s">
        <v>1949</v>
      </c>
      <c r="B3" s="3224"/>
      <c r="C3" s="3224"/>
      <c r="D3" s="3224"/>
      <c r="E3" s="3224"/>
      <c r="F3" s="3224"/>
      <c r="G3" s="3224"/>
      <c r="H3" s="3224"/>
      <c r="I3" s="3224"/>
    </row>
    <row r="4" spans="1:12" ht="14.25">
      <c r="A4" s="1942" t="s">
        <v>1950</v>
      </c>
      <c r="B4" s="1943" t="s">
        <v>1951</v>
      </c>
      <c r="C4" s="1944" t="s">
        <v>3129</v>
      </c>
      <c r="D4" s="1944" t="s">
        <v>3141</v>
      </c>
      <c r="E4" s="3228" t="s">
        <v>1952</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4" t="s">
        <v>1953</v>
      </c>
      <c r="B5" s="3222">
        <v>25</v>
      </c>
      <c r="C5" s="3225"/>
      <c r="D5" s="3213"/>
      <c r="E5" s="136" t="s">
        <v>1954</v>
      </c>
      <c r="F5" s="1945"/>
      <c r="G5" s="1945"/>
      <c r="H5" s="1945"/>
      <c r="I5" s="1559"/>
    </row>
    <row r="6" spans="1:12" ht="12.75">
      <c r="A6" s="3164"/>
      <c r="B6" s="3222"/>
      <c r="C6" s="3227"/>
      <c r="D6" s="3213"/>
      <c r="E6" s="136" t="s">
        <v>1955</v>
      </c>
      <c r="F6" s="1945"/>
      <c r="G6" s="1945"/>
      <c r="H6" s="1945"/>
      <c r="I6" s="1559"/>
    </row>
    <row r="7" spans="1:12" ht="12.75">
      <c r="A7" s="3164"/>
      <c r="B7" s="3222"/>
      <c r="C7" s="3226"/>
      <c r="D7" s="3213"/>
      <c r="E7" s="136" t="s">
        <v>1956</v>
      </c>
      <c r="F7" s="1945"/>
      <c r="G7" s="1945"/>
      <c r="H7" s="1945"/>
      <c r="I7" s="1559"/>
    </row>
    <row r="8" spans="1:12" ht="12.75">
      <c r="A8" s="3164" t="s">
        <v>1957</v>
      </c>
      <c r="B8" s="3222">
        <v>15</v>
      </c>
      <c r="C8" s="3225"/>
      <c r="D8" s="3213"/>
      <c r="E8" s="136" t="s">
        <v>1958</v>
      </c>
      <c r="F8" s="1945"/>
      <c r="G8" s="1945"/>
      <c r="H8" s="1945"/>
      <c r="I8" s="1559"/>
    </row>
    <row r="9" spans="1:12" ht="12.75">
      <c r="A9" s="3164"/>
      <c r="B9" s="3222"/>
      <c r="C9" s="3226"/>
      <c r="D9" s="3213"/>
      <c r="E9" s="136" t="s">
        <v>1959</v>
      </c>
      <c r="F9" s="1945"/>
      <c r="G9" s="1945"/>
      <c r="H9" s="1945"/>
      <c r="I9" s="1559"/>
    </row>
    <row r="10" spans="1:12" ht="12.75">
      <c r="A10" s="3164" t="s">
        <v>1960</v>
      </c>
      <c r="B10" s="3222">
        <v>15</v>
      </c>
      <c r="C10" s="3225"/>
      <c r="D10" s="3213"/>
      <c r="E10" s="136" t="s">
        <v>1961</v>
      </c>
      <c r="F10" s="1945"/>
      <c r="G10" s="1945"/>
      <c r="H10" s="1945"/>
      <c r="I10" s="1559"/>
    </row>
    <row r="11" spans="1:12" ht="12.75">
      <c r="A11" s="3164"/>
      <c r="B11" s="3222"/>
      <c r="C11" s="3226"/>
      <c r="D11" s="3213"/>
      <c r="E11" s="136" t="s">
        <v>1962</v>
      </c>
      <c r="F11" s="1945"/>
      <c r="G11" s="1945"/>
      <c r="H11" s="1945"/>
      <c r="I11" s="1559"/>
    </row>
    <row r="12" spans="1:12" ht="12.75">
      <c r="A12" s="3164" t="s">
        <v>1963</v>
      </c>
      <c r="B12" s="3222">
        <v>15</v>
      </c>
      <c r="C12" s="3225"/>
      <c r="D12" s="3213"/>
      <c r="E12" s="136" t="s">
        <v>1964</v>
      </c>
      <c r="F12" s="1945"/>
      <c r="G12" s="1945"/>
      <c r="H12" s="1945"/>
      <c r="I12" s="1559"/>
    </row>
    <row r="13" spans="1:12" ht="12.75">
      <c r="A13" s="3164"/>
      <c r="B13" s="3222"/>
      <c r="C13" s="3226"/>
      <c r="D13" s="3213"/>
      <c r="E13" s="136" t="s">
        <v>1965</v>
      </c>
      <c r="F13" s="1945"/>
      <c r="G13" s="1945"/>
      <c r="H13" s="1945"/>
      <c r="I13" s="1559"/>
    </row>
    <row r="14" spans="1:12" ht="12.75">
      <c r="A14" s="3164" t="s">
        <v>1966</v>
      </c>
      <c r="B14" s="3222">
        <v>30</v>
      </c>
      <c r="C14" s="3225">
        <v>4</v>
      </c>
      <c r="D14" s="3213">
        <v>6</v>
      </c>
      <c r="E14" s="136" t="s">
        <v>1967</v>
      </c>
      <c r="F14" s="1945"/>
      <c r="G14" s="1945"/>
      <c r="H14" s="1945"/>
      <c r="I14" s="1559"/>
    </row>
    <row r="15" spans="1:12" ht="12.75">
      <c r="A15" s="3164"/>
      <c r="B15" s="3222"/>
      <c r="C15" s="3227"/>
      <c r="D15" s="3213"/>
      <c r="E15" s="136" t="s">
        <v>1968</v>
      </c>
      <c r="F15" s="1945"/>
      <c r="G15" s="1945"/>
      <c r="H15" s="1945"/>
      <c r="I15" s="1559"/>
    </row>
    <row r="16" spans="1:12" ht="12.75">
      <c r="A16" s="3164"/>
      <c r="B16" s="3222"/>
      <c r="C16" s="3226"/>
      <c r="D16" s="3213"/>
      <c r="E16" s="136" t="s">
        <v>1969</v>
      </c>
      <c r="F16" s="1945"/>
      <c r="G16" s="1945"/>
      <c r="H16" s="1945"/>
      <c r="I16" s="1559"/>
    </row>
    <row r="17" spans="1:36" ht="15">
      <c r="A17" s="1946" t="s">
        <v>1970</v>
      </c>
      <c r="B17" s="60"/>
      <c r="C17" s="137">
        <f>SUM(C5:C16)</f>
        <v>4</v>
      </c>
      <c r="D17" s="137">
        <f>SUM(D5:D16)</f>
        <v>6</v>
      </c>
      <c r="E17" s="134"/>
      <c r="F17" s="134"/>
      <c r="G17" s="134"/>
      <c r="H17" s="134"/>
      <c r="I17" s="134"/>
      <c r="K17" s="308"/>
      <c r="L17" s="308" t="s">
        <v>1971</v>
      </c>
      <c r="M17" s="308" t="s">
        <v>1972</v>
      </c>
    </row>
    <row r="18" spans="1:36" ht="31.9" customHeight="1" thickBot="1">
      <c r="A18" s="1947" t="s">
        <v>1973</v>
      </c>
      <c r="B18" s="1948"/>
      <c r="C18" s="138">
        <f>ROUND(C17/SUM(C17:D17),2)</f>
        <v>0.4</v>
      </c>
      <c r="D18" s="138">
        <f>1-C18</f>
        <v>0.6</v>
      </c>
      <c r="E18" s="3244" t="s">
        <v>2874</v>
      </c>
      <c r="F18" s="3245"/>
      <c r="G18" s="3245"/>
      <c r="H18" s="3245"/>
      <c r="I18" s="3245"/>
      <c r="K18" s="308" t="s">
        <v>1974</v>
      </c>
      <c r="L18" s="308">
        <f>IF(C1="",'数据-汇总表'!E3,SUMIF(项目类型,C1,'数据-汇总表'!E17:E26)+SUMIF(项目类型,C1,'数据-汇总表'!I17:I26))</f>
        <v>12383.28</v>
      </c>
      <c r="M18" s="308">
        <f>IF(C1="",'数据-汇总表'!E3,SUMIF(项目类型,C1,'数据-汇总表'!E17:E26))</f>
        <v>12383.28</v>
      </c>
    </row>
    <row r="19" spans="1:36" ht="15">
      <c r="A19" s="1949" t="s">
        <v>1975</v>
      </c>
      <c r="B19" s="1950" t="s">
        <v>1976</v>
      </c>
      <c r="C19" s="139">
        <f ca="1">SUMIF(INDIRECT("'"&amp;C4&amp;"'"&amp;"!A:A"),结果表!B19,INDIRECT("'"&amp;C4&amp;"'"&amp;"!B:B"))</f>
        <v>34300</v>
      </c>
      <c r="D19" s="140">
        <f ca="1">SUMIF(INDIRECT("'"&amp;D4&amp;"'"&amp;"!A:A"),结果表!B19,INDIRECT("'"&amp;D4&amp;"'"&amp;"!B:B"))</f>
        <v>59839</v>
      </c>
      <c r="E19" s="1949" t="s">
        <v>1977</v>
      </c>
      <c r="F19" s="1950" t="s">
        <v>1976</v>
      </c>
      <c r="G19" s="141">
        <f ca="1">ROUND(C19*$C$18+D19*$D$18,0)</f>
        <v>49623</v>
      </c>
      <c r="H19" s="1951"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2"/>
      <c r="B20" s="1157" t="s">
        <v>1980</v>
      </c>
      <c r="C20" s="142">
        <f ca="1">SUMIF(INDIRECT("'"&amp;C4&amp;"'"&amp;"!A:A"),结果表!B20,INDIRECT("'"&amp;C4&amp;"'"&amp;"!B:B"))</f>
        <v>27699</v>
      </c>
      <c r="D20" s="143">
        <f ca="1">SUMIF(INDIRECT("'"&amp;D4&amp;"'"&amp;"!A:A"),结果表!B20,INDIRECT("'"&amp;D4&amp;"'"&amp;"!B:B"))</f>
        <v>48322</v>
      </c>
      <c r="E20" s="1952"/>
      <c r="F20" s="1157" t="s">
        <v>1980</v>
      </c>
      <c r="G20" s="144">
        <f ca="1">ROUND(C20*$C$18+D20*$D$18,0)</f>
        <v>40073</v>
      </c>
      <c r="H20" s="917" t="s">
        <v>1981</v>
      </c>
      <c r="I20" s="134"/>
    </row>
    <row r="21" spans="1:36" ht="15" customHeight="1" thickBot="1">
      <c r="A21" s="937"/>
      <c r="B21" s="1953" t="s">
        <v>1982</v>
      </c>
      <c r="C21" s="728" t="e">
        <f ca="1">ROUND(C19*10000/L19,0)</f>
        <v>#DIV/0!</v>
      </c>
      <c r="D21" s="729" t="e">
        <f ca="1">ROUND(D19*10000/L19,0)</f>
        <v>#DIV/0!</v>
      </c>
      <c r="E21" s="937"/>
      <c r="F21" s="1953" t="s">
        <v>1982</v>
      </c>
      <c r="G21" s="145" t="e">
        <f ca="1">ROUND(G19*10000/L19,0)</f>
        <v>#DIV/0!</v>
      </c>
      <c r="H21" s="1954" t="s">
        <v>1981</v>
      </c>
      <c r="I21" s="134"/>
    </row>
    <row r="22" spans="1:36" ht="15" thickBot="1">
      <c r="A22" s="1876" t="s">
        <v>1983</v>
      </c>
      <c r="B22" s="1955"/>
      <c r="C22" s="1956"/>
      <c r="D22" s="730">
        <f ca="1">IF(C19&lt;D19,D19/C19-1,C19/D19-1)</f>
        <v>0.74457725947521869</v>
      </c>
      <c r="E22" s="134"/>
      <c r="F22" s="134"/>
      <c r="G22" s="134"/>
      <c r="H22" s="134"/>
      <c r="I22" s="134"/>
    </row>
    <row r="23" spans="1:36" ht="13.5" thickBot="1">
      <c r="A23" s="1935"/>
      <c r="B23" s="1935"/>
      <c r="C23" s="1935"/>
      <c r="D23" s="1935"/>
      <c r="E23" s="134"/>
      <c r="F23" s="134"/>
      <c r="G23" s="134"/>
      <c r="H23" s="134"/>
      <c r="I23" s="134"/>
    </row>
    <row r="24" spans="1:36" ht="14.25">
      <c r="A24" s="3237" t="s">
        <v>1984</v>
      </c>
      <c r="B24" s="1950" t="s">
        <v>1976</v>
      </c>
      <c r="C24" s="141">
        <f>IF(B30=0,0,D30)</f>
        <v>0</v>
      </c>
      <c r="D24" s="1957"/>
      <c r="E24" s="134"/>
      <c r="F24" s="134"/>
      <c r="G24" s="134"/>
      <c r="H24" s="134"/>
      <c r="I24" s="134"/>
    </row>
    <row r="25" spans="1:36" ht="14.25">
      <c r="A25" s="3238"/>
      <c r="B25" s="1157" t="s">
        <v>1980</v>
      </c>
      <c r="C25" s="146">
        <f>IF(B30=0,0,C30)</f>
        <v>0</v>
      </c>
      <c r="D25" s="1958"/>
      <c r="E25" s="134"/>
      <c r="F25" s="134"/>
      <c r="G25" s="134"/>
      <c r="H25" s="134"/>
      <c r="I25" s="134"/>
    </row>
    <row r="26" spans="1:36" ht="13.5" customHeight="1">
      <c r="A26" s="1959" t="s">
        <v>1985</v>
      </c>
      <c r="B26" s="147" t="s">
        <v>1986</v>
      </c>
      <c r="C26" s="147" t="s">
        <v>1987</v>
      </c>
      <c r="D26" s="148" t="s">
        <v>1988</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1989</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1990</v>
      </c>
      <c r="B32" s="1962"/>
      <c r="C32" s="149">
        <f ca="1">IF(D32="总价",G19-C24,G20-C25)</f>
        <v>49623</v>
      </c>
      <c r="D32" s="1963" t="s">
        <v>3143</v>
      </c>
      <c r="E32" s="134"/>
      <c r="F32" s="134"/>
      <c r="G32" s="134"/>
      <c r="H32" s="134"/>
      <c r="I32" s="134"/>
    </row>
    <row r="33" spans="1:15" ht="15">
      <c r="A33" s="894" t="s">
        <v>1991</v>
      </c>
      <c r="B33" s="1964"/>
      <c r="C33" s="1965" t="s">
        <v>3144</v>
      </c>
      <c r="D33" s="1966" t="s">
        <v>3129</v>
      </c>
      <c r="E33" s="1967" t="s">
        <v>1992</v>
      </c>
      <c r="F33" s="1968" t="str">
        <f>IF(D32="楼面单价","取值（单价）","取值（总价）")</f>
        <v>取值（总价）</v>
      </c>
      <c r="G33" s="134"/>
      <c r="H33" s="134"/>
      <c r="I33" s="134"/>
    </row>
    <row r="34" spans="1:15" ht="15">
      <c r="A34" s="1969"/>
      <c r="B34" s="1970" t="s">
        <v>1993</v>
      </c>
      <c r="C34" s="153">
        <f ca="1">IF(C33="自定义",F34,C32-C35)</f>
        <v>39698</v>
      </c>
      <c r="D34" s="970">
        <f ca="1">IF(C33="自定义",ROUND(C34/C32,3),IF(C33="收益比率",SUMIF(INDIRECT("'"&amp;D33&amp;"'"&amp;"!b:b"),"土地收益比率",INDIRECT("'"&amp;D33&amp;"'"&amp;"!c:c")),SUMIF(INDIRECT("'"&amp;D33&amp;"'"&amp;"!b:b"),"土地成本比率",INDIRECT("'"&amp;D33&amp;"'"&amp;"!c:c"))))</f>
        <v>0.8</v>
      </c>
      <c r="E34" s="1971" t="s">
        <v>1994</v>
      </c>
      <c r="F34" s="1500"/>
      <c r="G34" s="134"/>
      <c r="H34" s="134"/>
      <c r="I34" s="134"/>
    </row>
    <row r="35" spans="1:15" ht="15.75" thickBot="1">
      <c r="A35" s="1972"/>
      <c r="B35" s="1973" t="s">
        <v>1995</v>
      </c>
      <c r="C35" s="1332">
        <f ca="1">IF(C33="自定义",F35,ROUND(C32*D35,0))</f>
        <v>9925</v>
      </c>
      <c r="D35" s="1333">
        <f ca="1">IF(C33="自定义",ROUND(C35/C32,3),IF(C33="收益比率",SUMIF(INDIRECT("'"&amp;D33&amp;"'"&amp;"!b:b"),"建筑物收益比率",INDIRECT("'"&amp;D33&amp;"'"&amp;"!c:c")),SUMIF(INDIRECT("'"&amp;D33&amp;"'"&amp;"!b:b"),"建筑物成本比率",INDIRECT("'"&amp;D33&amp;"'"&amp;"!c:c"))))</f>
        <v>0.2</v>
      </c>
      <c r="E35" s="1974" t="s">
        <v>1996</v>
      </c>
      <c r="F35" s="159"/>
      <c r="G35" s="134"/>
      <c r="H35" s="134"/>
      <c r="I35" s="134"/>
    </row>
    <row r="36" spans="1:15" ht="15.75" thickBot="1">
      <c r="A36" s="3214" t="s">
        <v>1997</v>
      </c>
      <c r="B36" s="1975" t="s">
        <v>1998</v>
      </c>
      <c r="C36" s="150"/>
      <c r="D36" s="1976"/>
      <c r="E36" s="1977"/>
      <c r="F36" s="1978"/>
      <c r="G36" s="134"/>
      <c r="H36" s="134"/>
      <c r="I36" s="134"/>
    </row>
    <row r="37" spans="1:15" ht="15.75" thickBot="1">
      <c r="A37" s="3215"/>
      <c r="B37" s="1862" t="s">
        <v>1999</v>
      </c>
      <c r="C37" s="152"/>
      <c r="D37" s="1301"/>
      <c r="E37" s="1301"/>
      <c r="F37" s="1978"/>
      <c r="G37" s="134"/>
      <c r="H37" s="134"/>
      <c r="I37" s="134"/>
    </row>
    <row r="38" spans="1:15" ht="15.75" thickBot="1">
      <c r="A38" s="3216"/>
      <c r="B38" s="1979" t="s">
        <v>2000</v>
      </c>
      <c r="C38" s="683"/>
      <c r="D38" s="1980" t="s">
        <v>2001</v>
      </c>
      <c r="E38" s="1301"/>
      <c r="F38" s="1978"/>
      <c r="G38" s="134"/>
      <c r="H38" s="134"/>
      <c r="I38" s="134"/>
    </row>
    <row r="39" spans="1:15" ht="15">
      <c r="A39" s="1952" t="s">
        <v>2002</v>
      </c>
      <c r="B39" s="1981" t="s">
        <v>2003</v>
      </c>
      <c r="C39" s="1982" t="s">
        <v>2004</v>
      </c>
      <c r="D39" s="1982" t="s">
        <v>2005</v>
      </c>
      <c r="E39" s="1983" t="s">
        <v>2006</v>
      </c>
      <c r="F39" s="1978"/>
      <c r="G39" s="134"/>
      <c r="H39" s="134"/>
      <c r="I39" s="134"/>
    </row>
    <row r="40" spans="1:15" ht="14.25">
      <c r="A40" s="1984" t="s">
        <v>2007</v>
      </c>
      <c r="B40" s="154"/>
      <c r="C40" s="155"/>
      <c r="D40" s="155"/>
      <c r="E40" s="156"/>
      <c r="F40" s="1978"/>
      <c r="G40" s="134"/>
      <c r="H40" s="134"/>
      <c r="I40" s="134"/>
    </row>
    <row r="41" spans="1:15" ht="14.25">
      <c r="A41" s="1984" t="s">
        <v>2008</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2009</v>
      </c>
      <c r="B44" s="1989"/>
      <c r="C44" s="1989"/>
      <c r="D44" s="1990"/>
      <c r="E44" s="1990"/>
      <c r="F44" s="1991"/>
      <c r="G44" s="1991"/>
      <c r="H44" s="1991"/>
      <c r="I44" s="1991"/>
      <c r="J44" s="1992" t="s">
        <v>2010</v>
      </c>
      <c r="K44" s="1993"/>
      <c r="L44" s="1993"/>
      <c r="M44" s="1993"/>
      <c r="N44" s="1993"/>
      <c r="O44" s="1993"/>
    </row>
    <row r="45" spans="1:15" ht="14.25" customHeight="1" thickBot="1">
      <c r="A45" s="3234" t="s">
        <v>2011</v>
      </c>
      <c r="B45" s="3235"/>
      <c r="C45" s="3236"/>
      <c r="D45" s="160">
        <f ca="1">ROUND(H101*F45,0)</f>
        <v>49623</v>
      </c>
      <c r="E45" s="161" t="s">
        <v>2012</v>
      </c>
      <c r="F45" s="162">
        <v>1</v>
      </c>
      <c r="G45" s="163" t="s">
        <v>2013</v>
      </c>
      <c r="H45" s="134"/>
      <c r="I45" s="134"/>
      <c r="J45" s="3151" t="s">
        <v>2014</v>
      </c>
      <c r="K45" s="3151"/>
      <c r="L45" s="3151"/>
      <c r="M45" s="3151"/>
      <c r="N45" s="3151"/>
      <c r="O45" s="3151"/>
    </row>
    <row r="46" spans="1:15" ht="14.25" customHeight="1">
      <c r="A46" s="3231" t="s">
        <v>2015</v>
      </c>
      <c r="B46" s="3232"/>
      <c r="C46" s="3232"/>
      <c r="D46" s="3232"/>
      <c r="E46" s="3232"/>
      <c r="F46" s="3232"/>
      <c r="G46" s="3233"/>
      <c r="H46" s="1994"/>
      <c r="I46" s="164"/>
      <c r="J46" s="2751">
        <v>1</v>
      </c>
      <c r="K46" s="3152" t="s">
        <v>2016</v>
      </c>
      <c r="L46" s="3152"/>
      <c r="M46" s="3153"/>
      <c r="N46" s="3153"/>
      <c r="O46" s="3153"/>
    </row>
    <row r="47" spans="1:15" ht="12" customHeight="1">
      <c r="A47" s="165" t="s">
        <v>2017</v>
      </c>
      <c r="B47" s="166"/>
      <c r="C47" s="167"/>
      <c r="D47" s="1247" t="s">
        <v>2018</v>
      </c>
      <c r="E47" s="308" t="s">
        <v>2019</v>
      </c>
      <c r="F47" s="168" t="s">
        <v>2020</v>
      </c>
      <c r="G47" s="2774" t="s">
        <v>2021</v>
      </c>
      <c r="H47" s="2775"/>
      <c r="I47" s="164"/>
      <c r="J47" s="2751">
        <v>2</v>
      </c>
      <c r="K47" s="3152" t="s">
        <v>2022</v>
      </c>
      <c r="L47" s="3152"/>
      <c r="M47" s="3154">
        <f>'数据-取费表'!B2</f>
        <v>44082</v>
      </c>
      <c r="N47" s="3154"/>
      <c r="O47" s="3154"/>
    </row>
    <row r="48" spans="1:15" ht="25.5">
      <c r="A48" s="3217" t="s">
        <v>2023</v>
      </c>
      <c r="B48" s="3218"/>
      <c r="C48" s="3218"/>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2024</v>
      </c>
      <c r="H48" s="2778"/>
      <c r="I48" s="1994"/>
      <c r="J48" s="2751">
        <v>3</v>
      </c>
      <c r="K48" s="3152" t="s">
        <v>2025</v>
      </c>
      <c r="L48" s="3152"/>
      <c r="M48" s="3155">
        <f ca="1">H101</f>
        <v>49623</v>
      </c>
      <c r="N48" s="3155"/>
      <c r="O48" s="3155"/>
    </row>
    <row r="49" spans="1:35" ht="25.5" customHeight="1">
      <c r="A49" s="2558" t="s">
        <v>2026</v>
      </c>
      <c r="B49" s="3200" t="s">
        <v>2027</v>
      </c>
      <c r="C49" s="3200"/>
      <c r="D49" s="1777">
        <v>0</v>
      </c>
      <c r="E49" s="330" t="s">
        <v>2028</v>
      </c>
      <c r="F49" s="2652" t="s">
        <v>34</v>
      </c>
      <c r="G49" s="3183"/>
      <c r="H49" s="2530" t="s">
        <v>2877</v>
      </c>
      <c r="I49" s="2531"/>
      <c r="J49" s="2751">
        <v>4</v>
      </c>
      <c r="K49" s="3152" t="str">
        <f>IF(项目基本情况!E8="房地产抵押价值","房地产抵押价值","抵押担保权已注销时的房地产抵押价值")</f>
        <v>房地产抵押价值</v>
      </c>
      <c r="L49" s="3152"/>
      <c r="M49" s="3155">
        <f ca="1">IF(项目基本情况!E8="房地产抵押价值",H107,H109)</f>
        <v>49623</v>
      </c>
      <c r="N49" s="3155"/>
      <c r="O49" s="3155"/>
    </row>
    <row r="50" spans="1:35" ht="25.5" customHeight="1">
      <c r="A50" s="2779"/>
      <c r="B50" s="3200" t="s">
        <v>2029</v>
      </c>
      <c r="C50" s="3200"/>
      <c r="D50" s="2780"/>
      <c r="E50" s="338"/>
      <c r="F50" s="2652"/>
      <c r="G50" s="3184"/>
      <c r="H50" s="2532" t="s">
        <v>2878</v>
      </c>
      <c r="I50" s="2531"/>
      <c r="J50" s="3151" t="s">
        <v>2030</v>
      </c>
      <c r="K50" s="3151"/>
      <c r="L50" s="3151"/>
      <c r="M50" s="3151"/>
      <c r="N50" s="3151"/>
      <c r="O50" s="3151"/>
    </row>
    <row r="51" spans="1:35" ht="20.45" customHeight="1">
      <c r="A51" s="2781"/>
      <c r="B51" s="3200" t="s">
        <v>2031</v>
      </c>
      <c r="C51" s="3200"/>
      <c r="D51" s="1247"/>
      <c r="E51" s="333"/>
      <c r="F51" s="2652"/>
      <c r="G51" s="3185"/>
      <c r="H51" s="2532" t="s">
        <v>2879</v>
      </c>
      <c r="I51" s="2531"/>
      <c r="J51" s="2752" t="s">
        <v>2032</v>
      </c>
      <c r="K51" s="3152" t="s">
        <v>2033</v>
      </c>
      <c r="L51" s="3152"/>
      <c r="M51" s="2752" t="s">
        <v>2034</v>
      </c>
      <c r="N51" s="2752" t="s">
        <v>2035</v>
      </c>
      <c r="O51" s="2752" t="s">
        <v>2036</v>
      </c>
    </row>
    <row r="52" spans="1:35" ht="24" customHeight="1">
      <c r="A52" s="2560" t="s">
        <v>2037</v>
      </c>
      <c r="B52" s="3200" t="s">
        <v>2038</v>
      </c>
      <c r="C52" s="3200"/>
      <c r="D52" s="1247">
        <f ca="1">ROUND(D45*'数据-取费表'!B41/(1+'数据-取费表'!C42),0)</f>
        <v>2647</v>
      </c>
      <c r="E52" s="2559" t="s">
        <v>2039</v>
      </c>
      <c r="F52" s="2782">
        <f>'数据-取费表'!B41</f>
        <v>5.6000000000000001E-2</v>
      </c>
      <c r="G52" s="2783"/>
      <c r="H52" s="2772"/>
      <c r="I52" s="1995"/>
      <c r="J52" s="2751">
        <v>1</v>
      </c>
      <c r="K52" s="3177" t="s">
        <v>2040</v>
      </c>
      <c r="L52" s="3177"/>
      <c r="M52" s="2753" t="b">
        <f>D48</f>
        <v>0</v>
      </c>
      <c r="N52" s="2751" t="str">
        <f>E48</f>
        <v>销售额×税（费）率</v>
      </c>
      <c r="O52" s="2754">
        <f>F48</f>
        <v>5.6000000000000001E-2</v>
      </c>
    </row>
    <row r="53" spans="1:35" ht="12" customHeight="1">
      <c r="A53" s="2560" t="s">
        <v>2041</v>
      </c>
      <c r="B53" s="3201" t="s">
        <v>3038</v>
      </c>
      <c r="C53" s="3202"/>
      <c r="D53" s="1247">
        <f ca="1">ROUND(D45*'数据-取费表'!B41/(1+'数据-取费表'!C42),0)</f>
        <v>2647</v>
      </c>
      <c r="E53" s="2559" t="s">
        <v>2039</v>
      </c>
      <c r="F53" s="2782">
        <f>'数据-取费表'!B41</f>
        <v>5.6000000000000001E-2</v>
      </c>
      <c r="G53" s="2783"/>
      <c r="H53" s="2772"/>
      <c r="I53" s="1995"/>
      <c r="J53" s="2751">
        <v>2</v>
      </c>
      <c r="K53" s="3177" t="s">
        <v>2042</v>
      </c>
      <c r="L53" s="3177"/>
      <c r="M53" s="2753">
        <f t="shared" ref="M53:O54" ca="1" si="0">D55</f>
        <v>25</v>
      </c>
      <c r="N53" s="2751" t="str">
        <f t="shared" si="0"/>
        <v>销售额×税（费）率</v>
      </c>
      <c r="O53" s="2754" t="str">
        <f t="shared" si="0"/>
        <v>免征</v>
      </c>
    </row>
    <row r="54" spans="1:35" ht="12" customHeight="1">
      <c r="A54" s="2560" t="s">
        <v>2043</v>
      </c>
      <c r="B54" s="3201" t="s">
        <v>3039</v>
      </c>
      <c r="C54" s="3202"/>
      <c r="D54" s="1247">
        <f ca="1">C68</f>
        <v>2647</v>
      </c>
      <c r="E54" s="333" t="s">
        <v>2044</v>
      </c>
      <c r="F54" s="2782">
        <f>'数据-取费表'!B41</f>
        <v>5.6000000000000001E-2</v>
      </c>
      <c r="G54" s="2783"/>
      <c r="H54" s="2784"/>
      <c r="I54" s="1995"/>
      <c r="J54" s="2751">
        <v>3</v>
      </c>
      <c r="K54" s="3177" t="s">
        <v>2045</v>
      </c>
      <c r="L54" s="3177"/>
      <c r="M54" s="2753">
        <f t="shared" ca="1" si="0"/>
        <v>28086</v>
      </c>
      <c r="N54" s="2751" t="str">
        <f t="shared" si="0"/>
        <v>增值额×税（费）率</v>
      </c>
      <c r="O54" s="2755" t="str">
        <f t="shared" si="0"/>
        <v>免征</v>
      </c>
    </row>
    <row r="55" spans="1:35" ht="24" customHeight="1">
      <c r="A55" s="3240" t="s">
        <v>2046</v>
      </c>
      <c r="B55" s="3218"/>
      <c r="C55" s="3218"/>
      <c r="D55" s="2549">
        <f ca="1">IF(H55="个人住宅",0,ROUND(D45*I55,0))</f>
        <v>25</v>
      </c>
      <c r="E55" s="2559" t="s">
        <v>2047</v>
      </c>
      <c r="F55" s="2782" t="str">
        <f>IF(H55="正常",I55,"免征")</f>
        <v>免征</v>
      </c>
      <c r="G55" s="2783"/>
      <c r="H55" s="2778"/>
      <c r="I55" s="170">
        <f>'数据-取费表'!B49</f>
        <v>5.0000000000000001E-4</v>
      </c>
      <c r="J55" s="2751">
        <f>IF(H59="非个人房产","",4)</f>
        <v>4</v>
      </c>
      <c r="K55" s="3177" t="str">
        <f>IF(H59="非个人房产","——","个人所得税")</f>
        <v>个人所得税</v>
      </c>
      <c r="L55" s="3177"/>
      <c r="M55" s="2756">
        <f ca="1">D59</f>
        <v>473</v>
      </c>
      <c r="N55" s="2230" t="str">
        <f>E59</f>
        <v>差额计税</v>
      </c>
      <c r="O55" s="2757">
        <f>F59</f>
        <v>0.01</v>
      </c>
    </row>
    <row r="56" spans="1:35" ht="24.75">
      <c r="A56" s="3240" t="s">
        <v>2048</v>
      </c>
      <c r="B56" s="3218"/>
      <c r="C56" s="3218"/>
      <c r="D56" s="2549">
        <f ca="1">IF(H56="个人住宅",D57,D58)</f>
        <v>28086</v>
      </c>
      <c r="E56" s="2559" t="s">
        <v>2049</v>
      </c>
      <c r="F56" s="2782" t="str">
        <f>IF(H56="正常",F58,"免征")</f>
        <v>免征</v>
      </c>
      <c r="G56" s="2785" t="s">
        <v>2050</v>
      </c>
      <c r="H56" s="2786"/>
      <c r="I56" s="1996"/>
      <c r="J56" s="2751" t="str">
        <f>IF(项目基本情况!K6="上海银行",IF(J55="",4,J55+1),"")</f>
        <v/>
      </c>
      <c r="K56" s="3158" t="str">
        <f>IF(项目基本情况!K6="上海银行","其他处置费用","")</f>
        <v/>
      </c>
      <c r="L56" s="3159"/>
      <c r="M56" s="2753" t="str">
        <f>IF(项目基本情况!K6="上海银行",M69,"")</f>
        <v/>
      </c>
      <c r="N56" s="3158" t="str">
        <f>IF(项目基本情况!K6="上海银行","包含处置中涉及的律师、诉讼、拍卖、评估等费用","")</f>
        <v/>
      </c>
      <c r="O56" s="3161"/>
    </row>
    <row r="57" spans="1:35" ht="12.75">
      <c r="A57" s="2560" t="s">
        <v>2026</v>
      </c>
      <c r="B57" s="3201" t="s">
        <v>2051</v>
      </c>
      <c r="C57" s="3202"/>
      <c r="D57" s="1777">
        <v>0</v>
      </c>
      <c r="E57" s="330" t="s">
        <v>2028</v>
      </c>
      <c r="F57" s="308"/>
      <c r="G57" s="2783"/>
      <c r="H57" s="2787"/>
      <c r="I57" s="1996"/>
      <c r="J57" s="3177">
        <f>IF(AND(J55="",J56=""),4,IF(项目基本情况!K6="上海银行",结果表!J56+1,结果表!J55+1))</f>
        <v>5</v>
      </c>
      <c r="K57" s="3177" t="s">
        <v>2052</v>
      </c>
      <c r="L57" s="2758" t="s">
        <v>2053</v>
      </c>
      <c r="M57" s="2759"/>
      <c r="N57" s="2760">
        <f ca="1">SUMIF(M52:M56,"&lt;9e307")</f>
        <v>28584</v>
      </c>
      <c r="O57" s="2761"/>
      <c r="P57" s="2921">
        <f ca="1">N57/M49</f>
        <v>0.5760232150414123</v>
      </c>
    </row>
    <row r="58" spans="1:35" ht="24.75">
      <c r="A58" s="2560" t="s">
        <v>2037</v>
      </c>
      <c r="B58" s="3201" t="s">
        <v>2054</v>
      </c>
      <c r="C58" s="3200"/>
      <c r="D58" s="2549">
        <f ca="1">IF(H58="转让取得",C81,C97)</f>
        <v>28086</v>
      </c>
      <c r="E58" s="2559" t="s">
        <v>2049</v>
      </c>
      <c r="F58" s="308" t="s">
        <v>34</v>
      </c>
      <c r="G58" s="2783"/>
      <c r="H58" s="2786"/>
      <c r="I58" s="1996"/>
      <c r="J58" s="3177"/>
      <c r="K58" s="3177"/>
      <c r="L58" s="2758" t="s">
        <v>2055</v>
      </c>
      <c r="M58" s="2762"/>
      <c r="N58" s="2763" t="str">
        <f ca="1">NUMBERSTRING(INT(N57*10000),2)&amp;"元整"</f>
        <v>贰亿捌仟伍佰捌拾肆万元整</v>
      </c>
      <c r="O58" s="2764"/>
    </row>
    <row r="59" spans="1:35" ht="24.75" thickBot="1">
      <c r="A59" s="3181" t="s">
        <v>2056</v>
      </c>
      <c r="B59" s="3182"/>
      <c r="C59" s="3182"/>
      <c r="D59" s="2788">
        <f ca="1">IF(H59="非个人房产","——",IF(H59="个人住宅（满五唯一有凭证）",0,IF(H59="个人其他（无凭证）",ROUND(D45*F59,0),ROUND(C67*F59,0))))</f>
        <v>473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2050</v>
      </c>
      <c r="H59" s="2534"/>
      <c r="I59" s="2533" t="s">
        <v>2880</v>
      </c>
      <c r="J59" s="3179">
        <f>J57+1</f>
        <v>6</v>
      </c>
      <c r="K59" s="3177" t="s">
        <v>2057</v>
      </c>
      <c r="L59" s="2751" t="s">
        <v>2053</v>
      </c>
      <c r="M59" s="2765"/>
      <c r="N59" s="2766">
        <f ca="1">M49-N57</f>
        <v>21039</v>
      </c>
      <c r="O59" s="2767"/>
    </row>
    <row r="60" spans="1:35" ht="12" customHeight="1">
      <c r="A60" s="1997"/>
      <c r="B60" s="1935"/>
      <c r="C60" s="1935"/>
      <c r="D60" s="1935"/>
      <c r="E60" s="1765"/>
      <c r="F60" s="1996"/>
      <c r="G60" s="1996"/>
      <c r="H60" s="1998"/>
      <c r="I60" s="134"/>
      <c r="J60" s="3180"/>
      <c r="K60" s="3177"/>
      <c r="L60" s="2758" t="s">
        <v>2055</v>
      </c>
      <c r="M60" s="2762"/>
      <c r="N60" s="2763" t="str">
        <f ca="1">NUMBERSTRING(INT(N59*10000),2)&amp;"元整"</f>
        <v>贰亿壹仟零叁拾玖万元整</v>
      </c>
      <c r="O60" s="2764"/>
    </row>
    <row r="61" spans="1:35" ht="13.5" thickBot="1">
      <c r="A61" s="3239" t="s">
        <v>2058</v>
      </c>
      <c r="B61" s="3239"/>
      <c r="C61" s="3239"/>
      <c r="D61" s="3239"/>
      <c r="E61" s="3239"/>
      <c r="F61" s="1996"/>
      <c r="G61" s="1996"/>
      <c r="H61" s="1998"/>
      <c r="I61" s="134"/>
      <c r="J61" s="2751">
        <f>J59+1</f>
        <v>7</v>
      </c>
      <c r="K61" s="3177" t="s">
        <v>2059</v>
      </c>
      <c r="L61" s="3177"/>
      <c r="M61" s="2768"/>
      <c r="N61" s="2769">
        <f ca="1">ROUND(N59*10000/'数据-汇总表'!E3,0)</f>
        <v>16990</v>
      </c>
      <c r="O61" s="2770"/>
    </row>
    <row r="62" spans="1:35" ht="12.75">
      <c r="A62" s="3196" t="s">
        <v>2060</v>
      </c>
      <c r="B62" s="3197"/>
      <c r="C62" s="2211"/>
      <c r="D62" s="2211" t="s">
        <v>2061</v>
      </c>
      <c r="E62" s="171" t="s">
        <v>2062</v>
      </c>
      <c r="F62" s="1996"/>
      <c r="G62" s="1996"/>
      <c r="H62" s="1998"/>
      <c r="I62" s="134"/>
    </row>
    <row r="63" spans="1:35" ht="12.75">
      <c r="A63" s="178" t="s">
        <v>775</v>
      </c>
      <c r="B63" s="172" t="s">
        <v>2063</v>
      </c>
      <c r="C63" s="2792">
        <f ca="1">ROUND((C64+C65)/(1+'数据-取费表'!C42),0)</f>
        <v>47260</v>
      </c>
      <c r="D63" s="172"/>
      <c r="E63" s="173"/>
      <c r="F63" s="1996"/>
      <c r="G63" s="1996"/>
      <c r="H63" s="1998"/>
      <c r="I63" s="134"/>
      <c r="J63" s="3160" t="s">
        <v>2064</v>
      </c>
      <c r="K63" s="1503" t="s">
        <v>2065</v>
      </c>
      <c r="L63" s="1503">
        <f ca="1">IF(M49&gt;10000,M49*0.5%,IF(AND(M49&gt;1000,M49&lt;=10000),M49*1%,IF(AND(M49&gt;100,M49&lt;=1000),M49*3%,IF(AND(M49&gt;10,M49&lt;=100),M49*5%,M49*8%))))</f>
        <v>248.11500000000001</v>
      </c>
      <c r="M63" s="308">
        <f ca="1">ROUND(L63,1)</f>
        <v>248.1</v>
      </c>
      <c r="N63" s="2771"/>
      <c r="Z63" s="1940"/>
      <c r="AI63" s="1941"/>
    </row>
    <row r="64" spans="1:35" ht="14.25" customHeight="1">
      <c r="A64" s="174" t="s">
        <v>770</v>
      </c>
      <c r="B64" s="175" t="s">
        <v>2066</v>
      </c>
      <c r="C64" s="2793">
        <f ca="1">D45</f>
        <v>49623</v>
      </c>
      <c r="D64" s="175" t="s">
        <v>32</v>
      </c>
      <c r="E64" s="177"/>
      <c r="F64" s="1996"/>
      <c r="G64" s="1996"/>
      <c r="H64" s="1998"/>
      <c r="I64" s="134"/>
      <c r="J64" s="3160"/>
      <c r="K64" s="1503" t="s">
        <v>2067</v>
      </c>
      <c r="L64" s="1503">
        <f ca="1">IF(M49&gt;2000,M49*0.5%,IF(AND(M49&gt;1000,M49&lt;=2000),M49*0.6%,IF(AND(M49&gt;500,M49&lt;=1000),M49*0.7%,IF(AND(M49&gt;200,M49&lt;=500),M49*0.8%,IF(AND(M49&gt;100,M49&lt;=200),M49*0.9%,IF(AND(M49&gt;50,M49&lt;=100),M49*1%,IF(AND(M49&gt;20,M49&lt;=50),M49*1.5%,IF(AND(M49&gt;10,M49&lt;=20),M49*2%,IF(AND(M49&gt;1,M49&lt;=10),M49*2.5%)))))))))</f>
        <v>248.11500000000001</v>
      </c>
      <c r="M64" s="308">
        <f t="shared" ref="M64:M65" ca="1" si="1">ROUND(L64,1)</f>
        <v>248.1</v>
      </c>
      <c r="N64" s="2772" t="s">
        <v>2068</v>
      </c>
      <c r="Z64" s="1940"/>
      <c r="AI64" s="1941"/>
    </row>
    <row r="65" spans="1:35" ht="14.25" customHeight="1">
      <c r="A65" s="174" t="s">
        <v>771</v>
      </c>
      <c r="B65" s="175" t="s">
        <v>2069</v>
      </c>
      <c r="C65" s="2794"/>
      <c r="D65" s="175"/>
      <c r="E65" s="177"/>
      <c r="F65" s="1996"/>
      <c r="G65" s="1996"/>
      <c r="H65" s="1998"/>
      <c r="I65" s="134"/>
      <c r="J65" s="3160"/>
      <c r="K65" s="1503" t="s">
        <v>2070</v>
      </c>
      <c r="L65" s="1503">
        <f ca="1">IF(M49&gt;1000,M49*0.1%,IF(AND(M49&gt;500,M49&lt;=1000),M49*0.5%,IF(AND(M49&gt;50,M49&lt;=500),M49*1%,IF(AND(M49&gt;1,M49&lt;=50),M49*1.5%))))</f>
        <v>49.622999999999998</v>
      </c>
      <c r="M65" s="308">
        <f t="shared" ca="1" si="1"/>
        <v>49.6</v>
      </c>
      <c r="N65" s="2772" t="s">
        <v>2068</v>
      </c>
      <c r="Z65" s="1940"/>
      <c r="AI65" s="1941"/>
    </row>
    <row r="66" spans="1:35" ht="14.25" customHeight="1">
      <c r="A66" s="178" t="s">
        <v>772</v>
      </c>
      <c r="B66" s="179" t="s">
        <v>2071</v>
      </c>
      <c r="C66" s="2795"/>
      <c r="D66" s="179" t="s">
        <v>32</v>
      </c>
      <c r="E66" s="1511" t="s">
        <v>1335</v>
      </c>
      <c r="F66" s="1996"/>
      <c r="G66" s="1996"/>
      <c r="H66" s="1998"/>
      <c r="I66" s="134"/>
      <c r="J66" s="3160"/>
      <c r="K66" s="1503" t="s">
        <v>2072</v>
      </c>
      <c r="L66" s="1503">
        <f ca="1">M49*0.5%</f>
        <v>248.11500000000001</v>
      </c>
      <c r="M66" s="308">
        <f ca="1">IF(L66&gt;0.5,0.5,ROUND(L66,0))</f>
        <v>0.5</v>
      </c>
      <c r="N66" s="2772" t="s">
        <v>2073</v>
      </c>
      <c r="Z66" s="1940"/>
      <c r="AI66" s="1941"/>
    </row>
    <row r="67" spans="1:35" ht="14.25" customHeight="1">
      <c r="A67" s="178" t="s">
        <v>773</v>
      </c>
      <c r="B67" s="179" t="s">
        <v>2074</v>
      </c>
      <c r="C67" s="2796">
        <f ca="1">C63-C66</f>
        <v>47260</v>
      </c>
      <c r="D67" s="175" t="s">
        <v>32</v>
      </c>
      <c r="E67" s="177"/>
      <c r="F67" s="1996"/>
      <c r="G67" s="1996"/>
      <c r="H67" s="1998"/>
      <c r="I67" s="134"/>
      <c r="J67" s="3160"/>
      <c r="K67" s="1503" t="s">
        <v>2075</v>
      </c>
      <c r="L67" s="1503">
        <f ca="1">IF(M49&gt;=10000,(8.25+(M49-10000)*0.01%),IF(AND(M49&gt;=8000,M49&lt;10000),(7.85+(M49-8000)*0.02%),IF(AND(M49&gt;=5000,M49&lt;8000),(6.65+(M49-5000)*0.04%),IF(AND(M49&gt;=2000,M49&lt;5000),(4.25+(PM49-2000)*0.08%),IF(AND(M49&gt;=1000,M49&lt;2000),(2.75+(M49-1000)*0.15%),IF(AND(M49&gt;=100,M49&lt;1000),(0.5+(M49-100)*0.25%),IF(AND(M49&gt;0,M49&lt;100),M49*0.5%)))))))</f>
        <v>12.212300000000001</v>
      </c>
      <c r="M67" s="308">
        <f ca="1">ROUND(L67*0.9,1)</f>
        <v>11</v>
      </c>
      <c r="N67" s="2771"/>
      <c r="Z67" s="1940"/>
      <c r="AI67" s="1941"/>
    </row>
    <row r="68" spans="1:35" ht="14.25" customHeight="1" thickBot="1">
      <c r="A68" s="181" t="s">
        <v>774</v>
      </c>
      <c r="B68" s="182" t="s">
        <v>2076</v>
      </c>
      <c r="C68" s="2797">
        <f ca="1">IF(C67&lt;=0,0,ROUND(C67*D68,0))</f>
        <v>2647</v>
      </c>
      <c r="D68" s="2798">
        <f>'数据-取费表'!B41</f>
        <v>5.6000000000000001E-2</v>
      </c>
      <c r="E68" s="184"/>
      <c r="F68" s="1996"/>
      <c r="G68" s="1996"/>
      <c r="H68" s="1998"/>
      <c r="I68" s="134"/>
      <c r="J68" s="3160"/>
      <c r="K68" s="1503" t="s">
        <v>2077</v>
      </c>
      <c r="L68" s="1503">
        <f ca="1">IF(M49&gt;10000,M49*0.5%,IF(AND(M49&gt;5000,M49&lt;=10000),M49*1%,IF(AND(M49&gt;1000,M49&lt;=5000),M49*2%,IF(AND(M49&gt;200,M49&lt;=1000),M49*3%,M49*5%))))</f>
        <v>248.11500000000001</v>
      </c>
      <c r="M68" s="308">
        <f ca="1">ROUND(L68,1)</f>
        <v>248.1</v>
      </c>
      <c r="N68" s="2771"/>
      <c r="Z68" s="1940"/>
      <c r="AI68" s="1941"/>
    </row>
    <row r="69" spans="1:35" s="1960" customFormat="1" ht="16.5" customHeight="1">
      <c r="A69" s="1999"/>
      <c r="B69" s="2000"/>
      <c r="C69" s="2001"/>
      <c r="D69" s="2002"/>
      <c r="E69" s="2003"/>
      <c r="F69" s="1765"/>
      <c r="G69" s="1765"/>
      <c r="H69" s="1764"/>
      <c r="I69" s="1935"/>
      <c r="J69" s="3160"/>
      <c r="K69" s="1503" t="s">
        <v>2078</v>
      </c>
      <c r="L69" s="1503"/>
      <c r="M69" s="308">
        <f ca="1">ROUND(SUM(M63:M68),0)</f>
        <v>805</v>
      </c>
      <c r="N69" s="2773">
        <f ca="1">M69/M49</f>
        <v>1.6222316264635349E-2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4" t="s">
        <v>2079</v>
      </c>
      <c r="B70" s="3205"/>
      <c r="C70" s="3205"/>
      <c r="D70" s="3205"/>
      <c r="E70" s="3205"/>
      <c r="F70" s="3205"/>
      <c r="G70" s="3205"/>
      <c r="H70" s="3205"/>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6" t="s">
        <v>2060</v>
      </c>
      <c r="B71" s="3197"/>
      <c r="C71" s="2211"/>
      <c r="D71" s="2211" t="s">
        <v>2061</v>
      </c>
      <c r="E71" s="185" t="s">
        <v>2062</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2080</v>
      </c>
      <c r="C72" s="2796">
        <f ca="1">ROUND(D45/(1+'数据-取费表'!C42),0)</f>
        <v>47260</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2081</v>
      </c>
      <c r="C73" s="2796">
        <f ca="1">C74+C78</f>
        <v>284</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2082</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2083</v>
      </c>
      <c r="C75" s="2799"/>
      <c r="D75" s="175" t="s">
        <v>32</v>
      </c>
      <c r="E75" s="190" t="s">
        <v>2084</v>
      </c>
      <c r="F75" s="2800"/>
      <c r="G75" s="190" t="s">
        <v>2085</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2086</v>
      </c>
      <c r="C76" s="175">
        <f>IF(F75="购房发票",ROUND(C75*H75*D76,0),0)</f>
        <v>0</v>
      </c>
      <c r="D76" s="2802">
        <v>0.05</v>
      </c>
      <c r="E76" s="3201" t="s">
        <v>2087</v>
      </c>
      <c r="F76" s="3200"/>
      <c r="G76" s="3200"/>
      <c r="H76" s="320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2088</v>
      </c>
      <c r="C77" s="175">
        <f>ROUND(IF(G77="个人住宅",0,IF(G77="2016年5月1日前购买",C75*D77,C75*D77/(1+'数据-取费表'!C42))),0)</f>
        <v>0</v>
      </c>
      <c r="D77" s="2803">
        <f>'数据-取费表'!B48+'数据-取费表'!B49</f>
        <v>3.0499999999999999E-2</v>
      </c>
      <c r="E77" s="2549" t="s">
        <v>2089</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2090</v>
      </c>
      <c r="C78" s="2804">
        <f ca="1">ROUND(D45*D78/(1+'数据-取费表'!C42),0)</f>
        <v>284</v>
      </c>
      <c r="D78" s="2805">
        <f>'数据-取费表'!B43</f>
        <v>6.000000000000001E-3</v>
      </c>
      <c r="E78" s="3193" t="s">
        <v>2091</v>
      </c>
      <c r="F78" s="3194"/>
      <c r="G78" s="3194"/>
      <c r="H78" s="319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2092</v>
      </c>
      <c r="C79" s="2796">
        <f ca="1">C72-C73</f>
        <v>46976</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2093</v>
      </c>
      <c r="C80" s="2806">
        <f ca="1">IF(C79&lt;=0,0,C79/C73)</f>
        <v>165.40845070422534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2094</v>
      </c>
      <c r="C81" s="2807">
        <f ca="1">ROUND(IF(C79&lt;=0,0,IF(C80&gt;=200%,C79*60%-C73*35%,IF(C80&gt;=100%,C79*50%-C73*15%,IF(C80&gt;=50%,C79*40%-C73*5%,IF(C80&lt;50%,C79*30%,0))))),0)</f>
        <v>28086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4" t="s">
        <v>2095</v>
      </c>
      <c r="B83" s="3205"/>
      <c r="C83" s="3205"/>
      <c r="D83" s="3205"/>
      <c r="E83" s="3205"/>
      <c r="F83" s="3205"/>
      <c r="G83" s="3205"/>
      <c r="H83" s="320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6" t="s">
        <v>2060</v>
      </c>
      <c r="B84" s="3197"/>
      <c r="C84" s="2211"/>
      <c r="D84" s="2211" t="s">
        <v>2061</v>
      </c>
      <c r="E84" s="185" t="s">
        <v>2062</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2080</v>
      </c>
      <c r="C85" s="2796">
        <f ca="1">ROUND(D45/(1+'数据-取费表'!C42),0)</f>
        <v>47260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2081</v>
      </c>
      <c r="C86" s="2796">
        <f ca="1">IF(H88="仅含出让金",C87+C90+C91+C92+C93+C94,C87+C91+C92+C93+C94)</f>
        <v>284</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2096</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2097</v>
      </c>
      <c r="C88" s="2810"/>
      <c r="D88" s="2805"/>
      <c r="E88" s="199" t="s">
        <v>2098</v>
      </c>
      <c r="F88" s="2552"/>
      <c r="G88" s="200" t="s">
        <v>2099</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2088</v>
      </c>
      <c r="C89" s="2804">
        <f>ROUND(C88*D89,0)</f>
        <v>0</v>
      </c>
      <c r="D89" s="2805">
        <f>'数据-取费表'!B48+'数据-取费表'!B49</f>
        <v>3.0499999999999999E-2</v>
      </c>
      <c r="E89" s="199" t="s">
        <v>2100</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2101</v>
      </c>
      <c r="C90" s="2810"/>
      <c r="D90" s="2805"/>
      <c r="E90" s="199" t="str">
        <f>IF(H88="-","土地取得成本中已包含该笔费用"," ")</f>
        <v xml:space="preserve"> </v>
      </c>
      <c r="F90" s="2552"/>
      <c r="G90" s="3162" t="s">
        <v>2871</v>
      </c>
      <c r="H90" s="3163"/>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2102</v>
      </c>
      <c r="B91" s="175" t="s">
        <v>2103</v>
      </c>
      <c r="C91" s="2804">
        <f>IF(H91="——",成本法!C33,I91)</f>
        <v>0</v>
      </c>
      <c r="D91" s="2805"/>
      <c r="E91" s="3193" t="s">
        <v>2104</v>
      </c>
      <c r="F91" s="3194"/>
      <c r="G91" s="319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2105</v>
      </c>
      <c r="B92" s="175" t="s">
        <v>2106</v>
      </c>
      <c r="C92" s="2804">
        <f>ROUND((C87+C90+C91)*D92,0)</f>
        <v>0</v>
      </c>
      <c r="D92" s="2811"/>
      <c r="E92" s="3193" t="s">
        <v>2107</v>
      </c>
      <c r="F92" s="3194"/>
      <c r="G92" s="3194"/>
      <c r="H92" s="3195"/>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2108</v>
      </c>
      <c r="B93" s="175" t="s">
        <v>2090</v>
      </c>
      <c r="C93" s="2804">
        <f ca="1">ROUND(D45*D93/(1+'数据-取费表'!C42),0)</f>
        <v>284</v>
      </c>
      <c r="D93" s="2805">
        <f>'数据-取费表'!B43</f>
        <v>6.000000000000001E-3</v>
      </c>
      <c r="E93" s="3193" t="s">
        <v>2091</v>
      </c>
      <c r="F93" s="3194"/>
      <c r="G93" s="3194"/>
      <c r="H93" s="319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2109</v>
      </c>
      <c r="B94" s="175" t="s">
        <v>2110</v>
      </c>
      <c r="C94" s="2810">
        <f>ROUND((C87+C90+C91)*D94,0)</f>
        <v>0</v>
      </c>
      <c r="D94" s="2805">
        <v>0.2</v>
      </c>
      <c r="E94" s="3241" t="s">
        <v>2111</v>
      </c>
      <c r="F94" s="3242"/>
      <c r="G94" s="3242"/>
      <c r="H94" s="324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2092</v>
      </c>
      <c r="C95" s="2796">
        <f ca="1">ROUND(C85-C86,0)</f>
        <v>46976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2093</v>
      </c>
      <c r="C96" s="2806">
        <f ca="1">IF(C95&lt;=0,0,C95/C86)</f>
        <v>165.40845070422534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2094</v>
      </c>
      <c r="C97" s="2807">
        <f ca="1">ROUND(IF(C95&lt;=0,0,IF(C96&gt;=200%,C95*60%-C86*35%,IF(C96&gt;=100%,C95*50%-C86*15%,IF(C96&gt;=50%,C95*40%-C86*5%,IF(C96&lt;50%,C95*30%,0))))),0)</f>
        <v>28086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2112</v>
      </c>
      <c r="B99" s="1935"/>
      <c r="C99" s="1935"/>
      <c r="D99" s="1935"/>
      <c r="E99" s="1765"/>
      <c r="F99" s="1765"/>
      <c r="G99" s="1765"/>
      <c r="H99" s="1764"/>
      <c r="I99" s="134"/>
    </row>
    <row r="100" spans="1:35" ht="18.75" customHeight="1">
      <c r="A100" s="3143" t="s">
        <v>2113</v>
      </c>
      <c r="B100" s="3144"/>
      <c r="C100" s="3144"/>
      <c r="D100" s="3178"/>
      <c r="E100" s="3144" t="s">
        <v>2114</v>
      </c>
      <c r="F100" s="3144"/>
      <c r="G100" s="3144"/>
      <c r="H100" s="3178"/>
      <c r="I100" s="134"/>
    </row>
    <row r="101" spans="1:35" ht="18.75" customHeight="1">
      <c r="A101" s="3186" t="s">
        <v>2115</v>
      </c>
      <c r="B101" s="3187"/>
      <c r="C101" s="2813" t="str">
        <f>C4</f>
        <v>收益法</v>
      </c>
      <c r="D101" s="2814" t="str">
        <f>D4</f>
        <v>典型户型修正</v>
      </c>
      <c r="E101" s="3156" t="s">
        <v>2116</v>
      </c>
      <c r="F101" s="3157"/>
      <c r="G101" s="2015" t="s">
        <v>2117</v>
      </c>
      <c r="H101" s="2823">
        <f ca="1">H118</f>
        <v>49623</v>
      </c>
      <c r="I101" s="134"/>
    </row>
    <row r="102" spans="1:35" ht="18.75" customHeight="1">
      <c r="A102" s="3188" t="s">
        <v>2118</v>
      </c>
      <c r="B102" s="2812" t="s">
        <v>2117</v>
      </c>
      <c r="C102" s="2813">
        <f ca="1">C19</f>
        <v>34300</v>
      </c>
      <c r="D102" s="2814">
        <f ca="1">D19</f>
        <v>59839</v>
      </c>
      <c r="E102" s="3156"/>
      <c r="F102" s="3157"/>
      <c r="G102" s="2015" t="s">
        <v>2119</v>
      </c>
      <c r="H102" s="2783">
        <f ca="1">I118</f>
        <v>40073</v>
      </c>
      <c r="I102" s="134"/>
    </row>
    <row r="103" spans="1:35" ht="42.75" customHeight="1">
      <c r="A103" s="3188"/>
      <c r="B103" s="2812" t="s">
        <v>2119</v>
      </c>
      <c r="C103" s="2815">
        <f ca="1">C20</f>
        <v>27699</v>
      </c>
      <c r="D103" s="2816">
        <f ca="1">D20</f>
        <v>48322</v>
      </c>
      <c r="E103" s="3149" t="s">
        <v>2120</v>
      </c>
      <c r="F103" s="3150"/>
      <c r="G103" s="2016" t="s">
        <v>2121</v>
      </c>
      <c r="H103" s="2823">
        <f>IF(D36="正常操作",H104+H105+H106,H105+H106)</f>
        <v>0</v>
      </c>
      <c r="I103" s="134"/>
    </row>
    <row r="104" spans="1:35" ht="18.75" customHeight="1">
      <c r="A104" s="3188" t="s">
        <v>2122</v>
      </c>
      <c r="B104" s="2817" t="s">
        <v>2117</v>
      </c>
      <c r="C104" s="2818">
        <f ca="1">H118</f>
        <v>49623</v>
      </c>
      <c r="D104" s="2819"/>
      <c r="E104" s="1862" t="s">
        <v>2123</v>
      </c>
      <c r="F104" s="1853"/>
      <c r="G104" s="2016" t="s">
        <v>2121</v>
      </c>
      <c r="H104" s="2824">
        <f>IF(D36="同一抵押权人同一抵押物续贷",C36&amp;"（续贷，未扣减，详见特别提示）",C36)</f>
        <v>0</v>
      </c>
      <c r="I104" s="134"/>
    </row>
    <row r="105" spans="1:35" ht="18.75" customHeight="1" thickBot="1">
      <c r="A105" s="3198"/>
      <c r="B105" s="2820" t="s">
        <v>2119</v>
      </c>
      <c r="C105" s="2821">
        <f ca="1">I118</f>
        <v>40073</v>
      </c>
      <c r="D105" s="2822"/>
      <c r="E105" s="1862" t="s">
        <v>2124</v>
      </c>
      <c r="F105" s="1853"/>
      <c r="G105" s="2016" t="s">
        <v>2121</v>
      </c>
      <c r="H105" s="2825">
        <f>C37</f>
        <v>0</v>
      </c>
      <c r="I105" s="134"/>
    </row>
    <row r="106" spans="1:35" ht="18.75" customHeight="1">
      <c r="A106" s="1935" t="s">
        <v>2125</v>
      </c>
      <c r="B106" s="1935"/>
      <c r="C106" s="1935"/>
      <c r="D106" s="1935"/>
      <c r="E106" s="2017" t="s">
        <v>2126</v>
      </c>
      <c r="F106" s="1853"/>
      <c r="G106" s="2016" t="s">
        <v>2121</v>
      </c>
      <c r="H106" s="2825">
        <f>C38</f>
        <v>0</v>
      </c>
      <c r="I106" s="134"/>
    </row>
    <row r="107" spans="1:35" ht="18.75" customHeight="1">
      <c r="A107" s="134"/>
      <c r="B107" s="134"/>
      <c r="C107" s="134"/>
      <c r="D107" s="134"/>
      <c r="E107" s="3189" t="str">
        <f>IF(项目基本情况!E8="已注销","——","3.房地产抵押价值")</f>
        <v>3.房地产抵押价值</v>
      </c>
      <c r="F107" s="3157"/>
      <c r="G107" s="2015" t="s">
        <v>2117</v>
      </c>
      <c r="H107" s="2823">
        <f ca="1">IF(E107="——","——",H101-H103)</f>
        <v>49623</v>
      </c>
      <c r="I107" s="134"/>
    </row>
    <row r="108" spans="1:35" ht="18.75" customHeight="1">
      <c r="A108" s="134"/>
      <c r="B108" s="134"/>
      <c r="C108" s="134"/>
      <c r="D108" s="134"/>
      <c r="E108" s="3189"/>
      <c r="F108" s="3157"/>
      <c r="G108" s="2015" t="s">
        <v>2119</v>
      </c>
      <c r="H108" s="2783">
        <f ca="1">ROUND(H107*10000/'数据-汇总表'!E3,0)</f>
        <v>40073</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5" t="s">
        <v>2117</v>
      </c>
      <c r="H109" s="2826" t="str">
        <f>IF(E109="——","——",H101-H105-H106)</f>
        <v>——</v>
      </c>
      <c r="I109" s="134"/>
    </row>
    <row r="110" spans="1:35" ht="18.75" customHeight="1">
      <c r="A110" s="134"/>
      <c r="B110" s="134"/>
      <c r="C110" s="134"/>
      <c r="D110" s="134"/>
      <c r="E110" s="3189"/>
      <c r="F110" s="3157"/>
      <c r="G110" s="2015" t="s">
        <v>2119</v>
      </c>
      <c r="H110" s="2783"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v>
      </c>
      <c r="F111" s="3176"/>
      <c r="G111" s="2015" t="s">
        <v>2117</v>
      </c>
      <c r="H111" s="2823" t="str">
        <f>IF(E111="——","——",N59)</f>
        <v>——</v>
      </c>
      <c r="I111" s="134"/>
    </row>
    <row r="112" spans="1:35" ht="18.75" customHeight="1" thickBot="1">
      <c r="A112" s="134"/>
      <c r="B112" s="134"/>
      <c r="C112" s="134"/>
      <c r="D112" s="134"/>
      <c r="E112" s="3191"/>
      <c r="F112" s="3192"/>
      <c r="G112" s="2018" t="s">
        <v>2119</v>
      </c>
      <c r="H112" s="2827" t="str">
        <f>IF(E111="——","——",N61)</f>
        <v>——</v>
      </c>
      <c r="I112" s="134"/>
    </row>
    <row r="113" spans="1:27" ht="18.75" customHeight="1">
      <c r="A113" s="134"/>
      <c r="B113" s="134"/>
      <c r="C113" s="134"/>
      <c r="D113" s="134"/>
      <c r="E113" s="3199" t="s">
        <v>2125</v>
      </c>
      <c r="F113" s="3199"/>
      <c r="G113" s="3199"/>
      <c r="H113" s="3199"/>
      <c r="I113" s="134"/>
    </row>
    <row r="114" spans="1:27" ht="3.75" customHeight="1">
      <c r="A114" s="1935"/>
      <c r="B114" s="1935"/>
      <c r="C114" s="1935"/>
      <c r="D114" s="1935"/>
      <c r="E114" s="1997"/>
      <c r="F114" s="1997"/>
      <c r="G114" s="1997"/>
      <c r="H114" s="1997"/>
      <c r="I114" s="1935"/>
    </row>
    <row r="115" spans="1:27" ht="18.75" customHeight="1">
      <c r="A115" s="3210" t="s">
        <v>2127</v>
      </c>
      <c r="B115" s="3211"/>
      <c r="C115" s="3211"/>
      <c r="D115" s="3211"/>
      <c r="E115" s="3211"/>
      <c r="F115" s="3211"/>
      <c r="G115" s="3211"/>
      <c r="H115" s="3211"/>
      <c r="I115" s="3212"/>
    </row>
    <row r="116" spans="1:27" ht="27" customHeight="1">
      <c r="A116" s="3164" t="s">
        <v>2128</v>
      </c>
      <c r="B116" s="3168" t="s">
        <v>2129</v>
      </c>
      <c r="C116" s="3168" t="s">
        <v>2130</v>
      </c>
      <c r="D116" s="3174" t="s">
        <v>2131</v>
      </c>
      <c r="E116" s="3175"/>
      <c r="F116" s="3206" t="s">
        <v>2132</v>
      </c>
      <c r="G116" s="3206"/>
      <c r="H116" s="3164" t="s">
        <v>2133</v>
      </c>
      <c r="I116" s="3164"/>
    </row>
    <row r="117" spans="1:27" ht="18.75" customHeight="1">
      <c r="A117" s="3164"/>
      <c r="B117" s="3169"/>
      <c r="C117" s="3169"/>
      <c r="D117" s="2554" t="s">
        <v>2134</v>
      </c>
      <c r="E117" s="2554" t="s">
        <v>2135</v>
      </c>
      <c r="F117" s="2554" t="s">
        <v>2134</v>
      </c>
      <c r="G117" s="2554" t="s">
        <v>2136</v>
      </c>
      <c r="H117" s="2554" t="s">
        <v>2134</v>
      </c>
      <c r="I117" s="2554" t="s">
        <v>2136</v>
      </c>
    </row>
    <row r="118" spans="1:27" ht="24.75" customHeight="1">
      <c r="A118" s="2828" t="str">
        <f>项目基本情况!S2</f>
        <v>北京市房地产</v>
      </c>
      <c r="B118" s="2554">
        <f>M18</f>
        <v>12383.28</v>
      </c>
      <c r="C118" s="2554">
        <f>M19</f>
        <v>0</v>
      </c>
      <c r="D118" s="2554">
        <f ca="1">ROUND(IF(D32="总价",C34,E118*B118/10000),0)</f>
        <v>39698</v>
      </c>
      <c r="E118" s="2554">
        <f ca="1">ROUND(IF(C33="自定义",IF(D32="楼面单价",C34,D118*10000/B118),I118-G118),0)</f>
        <v>32058</v>
      </c>
      <c r="F118" s="2554">
        <f ca="1">ROUND(IF(D32="总价",C35,G118*B118/10000),0)</f>
        <v>9925</v>
      </c>
      <c r="G118" s="2554">
        <f ca="1">ROUND(IF(D32="楼面单价",C35,F118*10000/B118),0)</f>
        <v>8015</v>
      </c>
      <c r="H118" s="2554">
        <f ca="1">ROUND(IF(D32="总价",C32,I118*B118/10000),0)</f>
        <v>49623</v>
      </c>
      <c r="I118" s="2554">
        <f ca="1">ROUND(IF(D32="楼面单价",C32,H118*10000/B118),0)</f>
        <v>40073</v>
      </c>
    </row>
    <row r="119" spans="1:27" ht="18.75" customHeight="1">
      <c r="A119" s="3164" t="s">
        <v>2137</v>
      </c>
      <c r="B119" s="3164"/>
      <c r="C119" s="3164"/>
      <c r="D119" s="3170" t="str">
        <f ca="1">NUMBERSTRING(INT(D118*10000),2)&amp;"元整"</f>
        <v>叁亿玖仟陆佰玖拾捌万元整</v>
      </c>
      <c r="E119" s="3171"/>
      <c r="F119" s="3170" t="str">
        <f ca="1">NUMBERSTRING(INT(F118*10000),2)&amp;"元整"</f>
        <v>玖仟玖佰贰拾伍万元整</v>
      </c>
      <c r="G119" s="3171"/>
      <c r="H119" s="3170" t="str">
        <f ca="1">NUMBERSTRING(INT(H118*10000),2)&amp;"元整"</f>
        <v>肆亿玖仟陆佰贰拾叁万元整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7" t="s">
        <v>2137</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49623</v>
      </c>
      <c r="E122" s="3166"/>
      <c r="F122" s="3166"/>
      <c r="G122" s="3166"/>
      <c r="H122" s="3166"/>
      <c r="I122" s="3167"/>
      <c r="AA122" s="734"/>
    </row>
    <row r="123" spans="1:27" ht="18.75" customHeight="1">
      <c r="A123" s="3164" t="s">
        <v>2137</v>
      </c>
      <c r="B123" s="3164"/>
      <c r="C123" s="3164"/>
      <c r="D123" s="3170" t="str">
        <f ca="1">NUMBERSTRING(INT(D122*10000),2)&amp;"元整"</f>
        <v>肆亿玖仟陆佰贰拾叁万元整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2137</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
      </c>
      <c r="B126" s="3176"/>
      <c r="C126" s="3176"/>
      <c r="D126" s="3165" t="str">
        <f>H111</f>
        <v>——</v>
      </c>
      <c r="E126" s="3166"/>
      <c r="F126" s="3166"/>
      <c r="G126" s="3166"/>
      <c r="H126" s="3166"/>
      <c r="I126" s="3167"/>
      <c r="AA126" s="734"/>
    </row>
    <row r="127" spans="1:27" ht="18.75" customHeight="1">
      <c r="A127" s="3164" t="s">
        <v>2137</v>
      </c>
      <c r="B127" s="3164"/>
      <c r="C127" s="3164"/>
      <c r="D127" s="3170" t="e">
        <f>NUMBERSTRING(INT(D126*10000),2)&amp;"元整"</f>
        <v>#VALUE!</v>
      </c>
      <c r="E127" s="3172"/>
      <c r="F127" s="3172"/>
      <c r="G127" s="3172"/>
      <c r="H127" s="3172"/>
      <c r="I127" s="3171"/>
      <c r="AA127" s="734"/>
    </row>
    <row r="128" spans="1:27" ht="21.75" customHeight="1">
      <c r="A128" s="3173" t="s">
        <v>2138</v>
      </c>
      <c r="B128" s="3173"/>
      <c r="C128" s="3173"/>
      <c r="D128" s="3173"/>
      <c r="E128" s="3173"/>
      <c r="F128" s="3173"/>
      <c r="G128" s="3173"/>
      <c r="H128" s="3173"/>
      <c r="I128" s="3173"/>
      <c r="AA128" s="734"/>
    </row>
    <row r="129" spans="1:35" ht="21.75" customHeight="1">
      <c r="A129" s="2019" t="s">
        <v>2139</v>
      </c>
      <c r="B129" s="2020"/>
      <c r="C129" s="2021" t="s">
        <v>2140</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2141</v>
      </c>
      <c r="G135" s="2036"/>
      <c r="H135" s="2036"/>
      <c r="I135" s="2037" t="s">
        <v>2142</v>
      </c>
    </row>
    <row r="136" spans="1:35" ht="21.75" customHeight="1">
      <c r="A136" s="734"/>
      <c r="B136" s="2038"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2144</v>
      </c>
    </row>
    <row r="139" spans="1:35" ht="21.75" customHeight="1">
      <c r="A139" s="734"/>
      <c r="B139" s="2038" t="s">
        <v>2145</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2144</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2" t="str">
        <f>项目基本情况!B1</f>
        <v>北京市房地产抵押价值预评估</v>
      </c>
      <c r="C37" s="3052"/>
      <c r="D37" s="3052"/>
      <c r="E37" s="3052"/>
      <c r="F37" s="3052"/>
      <c r="G37" s="3052"/>
      <c r="H37" s="3052"/>
      <c r="I37" s="3052"/>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E48" sqref="E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t="s">
        <v>1341</v>
      </c>
      <c r="E1" s="2545"/>
      <c r="F1" s="2067" t="s">
        <v>3135</v>
      </c>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2147</v>
      </c>
      <c r="B2" s="1326">
        <f>IF(C2="——",ROUND(C49*D3/10000,0),ROUND(C49*D3/10000,0)-D2)</f>
        <v>99479</v>
      </c>
      <c r="C2" s="2069" t="s">
        <v>70</v>
      </c>
      <c r="D2" s="1275" t="e">
        <f ca="1">SUMIF(INDIRECT("'"&amp;F2&amp;"'"&amp;"!A:A"),"承租人权益价值",INDIRECT("'"&amp;F2&amp;"'"&amp;"!c:c"))</f>
        <v>#REF!</v>
      </c>
      <c r="E2" s="2070" t="s">
        <v>2148</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2149</v>
      </c>
      <c r="B3" s="566">
        <f>IF(C2="——",C49,ROUND(B2*10000/D3,0))</f>
        <v>80333</v>
      </c>
      <c r="C3" s="360" t="s">
        <v>2464</v>
      </c>
      <c r="D3" s="359">
        <f>IF(D1="",'数据-汇总表'!E3,SUMIF('数据-汇总表'!$C19:$C33,D1,'数据-汇总表'!$E19:$E33))</f>
        <v>12383.28</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9"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9"/>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9"/>
      <c r="AC6" s="3248"/>
    </row>
    <row r="7" spans="1:29" s="113" customFormat="1" ht="15.75" thickBot="1">
      <c r="A7" s="368" t="s">
        <v>2368</v>
      </c>
      <c r="B7" s="369"/>
      <c r="C7" s="370">
        <f>'数据-取费表'!B2</f>
        <v>44082</v>
      </c>
      <c r="D7" s="371">
        <v>100</v>
      </c>
      <c r="E7" s="372">
        <f>C7</f>
        <v>44082</v>
      </c>
      <c r="F7" s="373">
        <f>SUMIF(58:58,YEAR(E7)&amp;"-"&amp;MONTH(E7),59:59)</f>
        <v>100</v>
      </c>
      <c r="G7" s="372">
        <f>C7</f>
        <v>44082</v>
      </c>
      <c r="H7" s="371">
        <f>SUMIF(58:58,YEAR(G7)&amp;"-"&amp;MONTH(G7),59:59)</f>
        <v>100</v>
      </c>
      <c r="I7" s="372">
        <f>C7</f>
        <v>44082</v>
      </c>
      <c r="J7" s="371">
        <f>SUMIF(58:58,YEAR(I7)&amp;"-"&amp;MONTH(I7),59:59)</f>
        <v>100</v>
      </c>
      <c r="K7" s="568"/>
      <c r="L7" s="2948"/>
      <c r="M7" s="2949"/>
      <c r="N7" s="2949"/>
      <c r="O7" s="2949"/>
      <c r="P7" s="3250" t="s">
        <v>2369</v>
      </c>
      <c r="Q7" s="3277"/>
      <c r="R7" s="710" t="s">
        <v>17</v>
      </c>
      <c r="S7" s="711">
        <f t="shared" ref="S7:S15" si="0">F7</f>
        <v>100</v>
      </c>
      <c r="T7" s="710" t="s">
        <v>17</v>
      </c>
      <c r="U7" s="711">
        <f t="shared" ref="U7:U15" si="1">H7</f>
        <v>100</v>
      </c>
      <c r="V7" s="710" t="s">
        <v>17</v>
      </c>
      <c r="W7" s="711">
        <f t="shared" ref="W7:W15" si="2">J7</f>
        <v>100</v>
      </c>
      <c r="X7" s="712"/>
      <c r="Y7" s="3250" t="s">
        <v>2369</v>
      </c>
      <c r="Z7" s="3251"/>
      <c r="AA7" s="713">
        <f>D7/F7</f>
        <v>1</v>
      </c>
      <c r="AB7" s="713">
        <f>D7/H7</f>
        <v>1</v>
      </c>
      <c r="AC7" s="713">
        <f>D7/J7</f>
        <v>1</v>
      </c>
    </row>
    <row r="8" spans="1:29" s="113" customFormat="1" ht="15.75" thickBot="1">
      <c r="A8" s="368" t="s">
        <v>2370</v>
      </c>
      <c r="B8" s="369"/>
      <c r="C8" s="374" t="s">
        <v>2472</v>
      </c>
      <c r="D8" s="371">
        <v>100</v>
      </c>
      <c r="E8" s="374" t="s">
        <v>3134</v>
      </c>
      <c r="F8" s="373">
        <f>SUMIF(61:61,E8,62:62)-SUMIF(61:61,C8,62:62)+100</f>
        <v>100</v>
      </c>
      <c r="G8" s="374" t="s">
        <v>3134</v>
      </c>
      <c r="H8" s="371">
        <f>SUMIF(61:61,G8,62:62)-SUMIF(61:61,C8,62:62)+100</f>
        <v>100</v>
      </c>
      <c r="I8" s="374" t="s">
        <v>3134</v>
      </c>
      <c r="J8" s="371">
        <f>SUMIF(61:61,I8,62:62)-SUMIF(61:61,C8,62:62)+100</f>
        <v>100</v>
      </c>
      <c r="K8" s="568"/>
      <c r="L8" s="2948"/>
      <c r="M8" s="2949"/>
      <c r="N8" s="2949"/>
      <c r="O8" s="2949"/>
      <c r="P8" s="3250" t="s">
        <v>2372</v>
      </c>
      <c r="Q8" s="3251"/>
      <c r="R8" s="710" t="s">
        <v>17</v>
      </c>
      <c r="S8" s="711">
        <f t="shared" si="0"/>
        <v>100</v>
      </c>
      <c r="T8" s="710" t="s">
        <v>17</v>
      </c>
      <c r="U8" s="711">
        <f t="shared" si="1"/>
        <v>100</v>
      </c>
      <c r="V8" s="710" t="s">
        <v>17</v>
      </c>
      <c r="W8" s="711">
        <f t="shared" si="2"/>
        <v>100</v>
      </c>
      <c r="X8" s="712"/>
      <c r="Y8" s="3250" t="s">
        <v>2372</v>
      </c>
      <c r="Z8" s="3251"/>
      <c r="AA8" s="713">
        <f t="shared" ref="AA8:AA46" si="3">D8/F8</f>
        <v>1</v>
      </c>
      <c r="AB8" s="713">
        <f t="shared" ref="AB8:AB46" si="4">D8/H8</f>
        <v>1</v>
      </c>
      <c r="AC8" s="713">
        <f t="shared" ref="AC8:AC46" si="5">D8/J8</f>
        <v>1</v>
      </c>
    </row>
    <row r="9" spans="1:29" s="113" customFormat="1">
      <c r="A9" s="375" t="s">
        <v>2373</v>
      </c>
      <c r="B9" s="67" t="s">
        <v>2374</v>
      </c>
      <c r="C9" s="3051" t="s">
        <v>3136</v>
      </c>
      <c r="D9" s="131">
        <v>100</v>
      </c>
      <c r="E9" s="377" t="s">
        <v>1341</v>
      </c>
      <c r="F9" s="378">
        <f>SUMIF(63:63,E9,64:64)-SUMIF(63:63,C9,64:64)+100</f>
        <v>100</v>
      </c>
      <c r="G9" s="377" t="s">
        <v>1341</v>
      </c>
      <c r="H9" s="131">
        <f>SUMIF(63:63,G9,64:64)-SUMIF(63:63,C9,64:64)+100</f>
        <v>100</v>
      </c>
      <c r="I9" s="377" t="s">
        <v>1341</v>
      </c>
      <c r="J9" s="131">
        <f>SUMIF(63:63,I9,64:64)-SUMIF(63:63,C9,64:64)+100</f>
        <v>100</v>
      </c>
      <c r="K9" s="568"/>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64"/>
      <c r="Q11" s="1529" t="str">
        <f t="shared" si="6"/>
        <v>容积率</v>
      </c>
      <c r="R11" s="710" t="s">
        <v>17</v>
      </c>
      <c r="S11" s="711">
        <f t="shared" si="0"/>
        <v>100</v>
      </c>
      <c r="T11" s="710" t="s">
        <v>17</v>
      </c>
      <c r="U11" s="711">
        <f t="shared" si="1"/>
        <v>100</v>
      </c>
      <c r="V11" s="710" t="s">
        <v>17</v>
      </c>
      <c r="W11" s="711">
        <f t="shared" si="2"/>
        <v>100</v>
      </c>
      <c r="X11" s="712"/>
      <c r="Y11" s="3222"/>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6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6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6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8" t="s">
        <v>2380</v>
      </c>
      <c r="Q15" s="1538" t="str">
        <f t="shared" si="6"/>
        <v>商业繁华度</v>
      </c>
      <c r="R15" s="714" t="s">
        <v>17</v>
      </c>
      <c r="S15" s="715">
        <f t="shared" si="0"/>
        <v>100</v>
      </c>
      <c r="T15" s="714" t="s">
        <v>17</v>
      </c>
      <c r="U15" s="715">
        <f t="shared" si="1"/>
        <v>100</v>
      </c>
      <c r="V15" s="714" t="s">
        <v>17</v>
      </c>
      <c r="W15" s="715">
        <f t="shared" si="2"/>
        <v>100</v>
      </c>
      <c r="X15" s="1541"/>
      <c r="Y15" s="3280"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9"/>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9"/>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9"/>
      <c r="Q18" s="1538"/>
      <c r="R18" s="714"/>
      <c r="S18" s="715"/>
      <c r="T18" s="714"/>
      <c r="U18" s="715"/>
      <c r="V18" s="714"/>
      <c r="W18" s="715"/>
      <c r="X18" s="1541"/>
      <c r="Y18" s="3281"/>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9"/>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9"/>
      <c r="Q20" s="1538"/>
      <c r="R20" s="714"/>
      <c r="S20" s="715"/>
      <c r="T20" s="714"/>
      <c r="U20" s="715"/>
      <c r="V20" s="714"/>
      <c r="W20" s="715"/>
      <c r="X20" s="1541"/>
      <c r="Y20" s="3281"/>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9"/>
      <c r="Q22" s="1538"/>
      <c r="R22" s="714"/>
      <c r="S22" s="715"/>
      <c r="T22" s="714"/>
      <c r="U22" s="715"/>
      <c r="V22" s="714"/>
      <c r="W22" s="715"/>
      <c r="X22" s="1541"/>
      <c r="Y22" s="3281"/>
      <c r="Z22" s="1542"/>
      <c r="AA22" s="1539">
        <v>1</v>
      </c>
      <c r="AB22" s="1539">
        <v>1</v>
      </c>
      <c r="AC22" s="1539">
        <v>1</v>
      </c>
    </row>
    <row r="23" spans="1:29" ht="57">
      <c r="A23" s="387"/>
      <c r="B23" s="410" t="s">
        <v>1946</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9"/>
      <c r="Q23" s="1538" t="str">
        <f>B23</f>
        <v>自然及人文环境</v>
      </c>
      <c r="R23" s="714" t="s">
        <v>17</v>
      </c>
      <c r="S23" s="715">
        <f>F23</f>
        <v>100</v>
      </c>
      <c r="T23" s="714" t="s">
        <v>17</v>
      </c>
      <c r="U23" s="715">
        <f>H23</f>
        <v>100</v>
      </c>
      <c r="V23" s="714" t="s">
        <v>17</v>
      </c>
      <c r="W23" s="715">
        <f>J23</f>
        <v>100</v>
      </c>
      <c r="X23" s="1541"/>
      <c r="Y23" s="328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9"/>
      <c r="Q24" s="1538"/>
      <c r="R24" s="714"/>
      <c r="S24" s="715"/>
      <c r="T24" s="714"/>
      <c r="U24" s="715"/>
      <c r="V24" s="714"/>
      <c r="W24" s="715"/>
      <c r="X24" s="1541"/>
      <c r="Y24" s="3281"/>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9"/>
      <c r="Q25" s="1538" t="str">
        <f t="shared" ref="Q25:Q46" si="11">B25</f>
        <v>临街状况</v>
      </c>
      <c r="R25" s="714" t="s">
        <v>17</v>
      </c>
      <c r="S25" s="715">
        <f>F25</f>
        <v>100</v>
      </c>
      <c r="T25" s="714" t="s">
        <v>17</v>
      </c>
      <c r="U25" s="715">
        <f>H25</f>
        <v>100</v>
      </c>
      <c r="V25" s="714" t="s">
        <v>17</v>
      </c>
      <c r="W25" s="715">
        <f>J25</f>
        <v>100</v>
      </c>
      <c r="X25" s="1541"/>
      <c r="Y25" s="3281"/>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9"/>
      <c r="Q26" s="1538" t="str">
        <f t="shared" si="11"/>
        <v>平面位置/可视性</v>
      </c>
      <c r="R26" s="714" t="s">
        <v>17</v>
      </c>
      <c r="S26" s="715">
        <f>F26</f>
        <v>100</v>
      </c>
      <c r="T26" s="714" t="s">
        <v>17</v>
      </c>
      <c r="U26" s="715">
        <f>H26</f>
        <v>100</v>
      </c>
      <c r="V26" s="714" t="s">
        <v>17</v>
      </c>
      <c r="W26" s="715">
        <f>J26</f>
        <v>100</v>
      </c>
      <c r="X26" s="1541"/>
      <c r="Y26" s="3281"/>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9"/>
      <c r="Q27" s="1529" t="str">
        <f t="shared" si="11"/>
        <v>人流量</v>
      </c>
      <c r="R27" s="710" t="s">
        <v>17</v>
      </c>
      <c r="S27" s="711">
        <f>F27</f>
        <v>100</v>
      </c>
      <c r="T27" s="710" t="s">
        <v>17</v>
      </c>
      <c r="U27" s="711">
        <f>H27</f>
        <v>100</v>
      </c>
      <c r="V27" s="710" t="s">
        <v>17</v>
      </c>
      <c r="W27" s="711">
        <f>J27</f>
        <v>100</v>
      </c>
      <c r="X27" s="712"/>
      <c r="Y27" s="3281"/>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9"/>
      <c r="Q29" s="1538">
        <f t="shared" si="11"/>
        <v>111</v>
      </c>
      <c r="R29" s="714" t="s">
        <v>17</v>
      </c>
      <c r="S29" s="715">
        <f t="shared" si="12"/>
        <v>100</v>
      </c>
      <c r="T29" s="714" t="s">
        <v>17</v>
      </c>
      <c r="U29" s="715">
        <f t="shared" si="13"/>
        <v>100</v>
      </c>
      <c r="V29" s="714" t="s">
        <v>17</v>
      </c>
      <c r="W29" s="715">
        <f t="shared" si="14"/>
        <v>100</v>
      </c>
      <c r="X29" s="1541"/>
      <c r="Y29" s="328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9"/>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9"/>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82" t="s">
        <v>2385</v>
      </c>
      <c r="Q32" s="1538" t="str">
        <f t="shared" si="11"/>
        <v>商业类型</v>
      </c>
      <c r="R32" s="714" t="s">
        <v>17</v>
      </c>
      <c r="S32" s="715">
        <f t="shared" si="12"/>
        <v>100</v>
      </c>
      <c r="T32" s="714" t="s">
        <v>17</v>
      </c>
      <c r="U32" s="715">
        <f t="shared" si="13"/>
        <v>100</v>
      </c>
      <c r="V32" s="714" t="s">
        <v>17</v>
      </c>
      <c r="W32" s="715">
        <f t="shared" si="14"/>
        <v>100</v>
      </c>
      <c r="X32" s="1541"/>
      <c r="Y32" s="3285"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283"/>
      <c r="Q33" s="716" t="str">
        <f t="shared" si="11"/>
        <v>项目建筑规模</v>
      </c>
      <c r="R33" s="717" t="s">
        <v>17</v>
      </c>
      <c r="S33" s="718">
        <f t="shared" si="12"/>
        <v>100</v>
      </c>
      <c r="T33" s="717" t="s">
        <v>17</v>
      </c>
      <c r="U33" s="718">
        <f t="shared" si="13"/>
        <v>100</v>
      </c>
      <c r="V33" s="717" t="s">
        <v>17</v>
      </c>
      <c r="W33" s="718">
        <f t="shared" si="14"/>
        <v>100</v>
      </c>
      <c r="X33" s="719"/>
      <c r="Y33" s="3285"/>
      <c r="Z33" s="720" t="str">
        <f t="shared" si="15"/>
        <v>项目建筑规模</v>
      </c>
      <c r="AA33" s="1539">
        <f t="shared" si="3"/>
        <v>1</v>
      </c>
      <c r="AB33" s="1539">
        <f t="shared" si="4"/>
        <v>1</v>
      </c>
      <c r="AC33" s="1539">
        <f t="shared" si="5"/>
        <v>1</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83"/>
      <c r="Q34" s="1538" t="str">
        <f t="shared" si="11"/>
        <v>建筑结构</v>
      </c>
      <c r="R34" s="714" t="s">
        <v>17</v>
      </c>
      <c r="S34" s="715">
        <f t="shared" si="12"/>
        <v>100</v>
      </c>
      <c r="T34" s="714" t="s">
        <v>17</v>
      </c>
      <c r="U34" s="715">
        <f t="shared" si="13"/>
        <v>100</v>
      </c>
      <c r="V34" s="714" t="s">
        <v>17</v>
      </c>
      <c r="W34" s="715">
        <f t="shared" si="14"/>
        <v>100</v>
      </c>
      <c r="X34" s="1541"/>
      <c r="Y34" s="3285"/>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83"/>
      <c r="Q35" s="1538" t="str">
        <f t="shared" si="11"/>
        <v>公共部分装修</v>
      </c>
      <c r="R35" s="714" t="s">
        <v>17</v>
      </c>
      <c r="S35" s="715">
        <f t="shared" si="12"/>
        <v>100</v>
      </c>
      <c r="T35" s="714" t="s">
        <v>17</v>
      </c>
      <c r="U35" s="715">
        <f t="shared" si="13"/>
        <v>100</v>
      </c>
      <c r="V35" s="714" t="s">
        <v>17</v>
      </c>
      <c r="W35" s="715">
        <f t="shared" si="14"/>
        <v>100</v>
      </c>
      <c r="X35" s="1541"/>
      <c r="Y35" s="3285"/>
      <c r="Z35" s="1542" t="str">
        <f t="shared" si="15"/>
        <v>公共部分装修</v>
      </c>
      <c r="AA35" s="1539">
        <f t="shared" si="3"/>
        <v>1</v>
      </c>
      <c r="AB35" s="1539">
        <f t="shared" si="4"/>
        <v>1</v>
      </c>
      <c r="AC35" s="1539">
        <f t="shared" si="5"/>
        <v>1</v>
      </c>
    </row>
    <row r="36" spans="1:29" ht="15">
      <c r="A36" s="431"/>
      <c r="B36" s="381" t="s">
        <v>2482</v>
      </c>
      <c r="C36" s="433">
        <f>'数据-取费表'!Y6</f>
        <v>0.82</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v>2</v>
      </c>
      <c r="L36" s="2953"/>
      <c r="M36" s="2947"/>
      <c r="N36" s="2947"/>
      <c r="O36" s="2947"/>
      <c r="P36" s="3283"/>
      <c r="Q36" s="1538" t="str">
        <f t="shared" si="11"/>
        <v>成新度</v>
      </c>
      <c r="R36" s="714" t="s">
        <v>17</v>
      </c>
      <c r="S36" s="715">
        <f t="shared" si="12"/>
        <v>100</v>
      </c>
      <c r="T36" s="714" t="s">
        <v>17</v>
      </c>
      <c r="U36" s="715">
        <f t="shared" si="13"/>
        <v>100</v>
      </c>
      <c r="V36" s="714" t="s">
        <v>17</v>
      </c>
      <c r="W36" s="715">
        <f t="shared" si="14"/>
        <v>100</v>
      </c>
      <c r="X36" s="1541"/>
      <c r="Y36" s="3285"/>
      <c r="Z36" s="1542" t="str">
        <f t="shared" si="15"/>
        <v>成新度</v>
      </c>
      <c r="AA36" s="1539">
        <f t="shared" si="3"/>
        <v>1</v>
      </c>
      <c r="AB36" s="1539">
        <f t="shared" si="4"/>
        <v>1</v>
      </c>
      <c r="AC36" s="1539">
        <f t="shared" si="5"/>
        <v>1</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83"/>
      <c r="Q37" s="1529"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83" t="s">
        <v>2385</v>
      </c>
      <c r="Q38" s="1538" t="str">
        <f t="shared" si="11"/>
        <v>业态</v>
      </c>
      <c r="R38" s="714" t="s">
        <v>17</v>
      </c>
      <c r="S38" s="715">
        <f t="shared" si="12"/>
        <v>100</v>
      </c>
      <c r="T38" s="714" t="s">
        <v>17</v>
      </c>
      <c r="U38" s="715">
        <f t="shared" si="13"/>
        <v>100</v>
      </c>
      <c r="V38" s="714" t="s">
        <v>17</v>
      </c>
      <c r="W38" s="715">
        <f t="shared" si="14"/>
        <v>100</v>
      </c>
      <c r="X38" s="1541"/>
      <c r="Y38" s="3285"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83"/>
      <c r="Q39" s="1538" t="str">
        <f t="shared" si="11"/>
        <v>层高</v>
      </c>
      <c r="R39" s="714" t="s">
        <v>17</v>
      </c>
      <c r="S39" s="715">
        <f t="shared" si="12"/>
        <v>100</v>
      </c>
      <c r="T39" s="714" t="s">
        <v>17</v>
      </c>
      <c r="U39" s="715">
        <f t="shared" si="13"/>
        <v>100</v>
      </c>
      <c r="V39" s="714" t="s">
        <v>17</v>
      </c>
      <c r="W39" s="715">
        <f t="shared" si="14"/>
        <v>100</v>
      </c>
      <c r="X39" s="1541"/>
      <c r="Y39" s="3285"/>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83"/>
      <c r="Q40" s="1538" t="str">
        <f t="shared" si="11"/>
        <v>单套建筑面积</v>
      </c>
      <c r="R40" s="714" t="s">
        <v>17</v>
      </c>
      <c r="S40" s="715">
        <f t="shared" si="12"/>
        <v>100</v>
      </c>
      <c r="T40" s="714" t="s">
        <v>17</v>
      </c>
      <c r="U40" s="715">
        <f t="shared" si="13"/>
        <v>100</v>
      </c>
      <c r="V40" s="714" t="s">
        <v>17</v>
      </c>
      <c r="W40" s="715">
        <f t="shared" si="14"/>
        <v>100</v>
      </c>
      <c r="X40" s="1541"/>
      <c r="Y40" s="3285"/>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83"/>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83"/>
      <c r="Q42" s="1538" t="str">
        <f t="shared" si="11"/>
        <v>内部装修</v>
      </c>
      <c r="R42" s="714" t="s">
        <v>17</v>
      </c>
      <c r="S42" s="715">
        <f t="shared" si="12"/>
        <v>100</v>
      </c>
      <c r="T42" s="714" t="s">
        <v>17</v>
      </c>
      <c r="U42" s="715">
        <f t="shared" si="13"/>
        <v>100</v>
      </c>
      <c r="V42" s="714" t="s">
        <v>17</v>
      </c>
      <c r="W42" s="715">
        <f t="shared" si="14"/>
        <v>100</v>
      </c>
      <c r="X42" s="1541"/>
      <c r="Y42" s="3285"/>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83"/>
      <c r="Q43" s="1538" t="str">
        <f t="shared" si="11"/>
        <v>内部装修维护情况</v>
      </c>
      <c r="R43" s="714" t="s">
        <v>17</v>
      </c>
      <c r="S43" s="715">
        <f t="shared" si="12"/>
        <v>100</v>
      </c>
      <c r="T43" s="714" t="s">
        <v>17</v>
      </c>
      <c r="U43" s="715">
        <f t="shared" si="13"/>
        <v>100</v>
      </c>
      <c r="V43" s="714" t="s">
        <v>17</v>
      </c>
      <c r="W43" s="715">
        <f t="shared" si="14"/>
        <v>100</v>
      </c>
      <c r="X43" s="1541"/>
      <c r="Y43" s="328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83"/>
      <c r="Q44" s="1529">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83"/>
      <c r="Q45" s="1538">
        <f t="shared" si="11"/>
        <v>111</v>
      </c>
      <c r="R45" s="714" t="s">
        <v>17</v>
      </c>
      <c r="S45" s="715">
        <f t="shared" si="12"/>
        <v>100</v>
      </c>
      <c r="T45" s="714" t="s">
        <v>17</v>
      </c>
      <c r="U45" s="715">
        <f t="shared" si="13"/>
        <v>100</v>
      </c>
      <c r="V45" s="714" t="s">
        <v>17</v>
      </c>
      <c r="W45" s="715">
        <f t="shared" si="14"/>
        <v>100</v>
      </c>
      <c r="X45" s="1541"/>
      <c r="Y45" s="328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84"/>
      <c r="Q46" s="1538">
        <f t="shared" si="11"/>
        <v>111</v>
      </c>
      <c r="R46" s="714" t="s">
        <v>17</v>
      </c>
      <c r="S46" s="715">
        <f t="shared" si="12"/>
        <v>100</v>
      </c>
      <c r="T46" s="714" t="s">
        <v>17</v>
      </c>
      <c r="U46" s="715">
        <f t="shared" si="13"/>
        <v>100</v>
      </c>
      <c r="V46" s="714" t="s">
        <v>17</v>
      </c>
      <c r="W46" s="715">
        <f t="shared" si="14"/>
        <v>100</v>
      </c>
      <c r="X46" s="1541"/>
      <c r="Y46" s="3286"/>
      <c r="Z46" s="1542">
        <f t="shared" si="15"/>
        <v>111</v>
      </c>
      <c r="AA46" s="1539">
        <f t="shared" si="3"/>
        <v>1</v>
      </c>
      <c r="AB46" s="1539">
        <f t="shared" si="4"/>
        <v>1</v>
      </c>
      <c r="AC46" s="1539">
        <f t="shared" si="5"/>
        <v>1</v>
      </c>
    </row>
    <row r="47" spans="1:29" ht="15">
      <c r="A47" s="438" t="s">
        <v>2397</v>
      </c>
      <c r="B47" s="439"/>
      <c r="C47" s="1316" t="s">
        <v>1</v>
      </c>
      <c r="D47" s="1317"/>
      <c r="E47" s="1318">
        <v>81000</v>
      </c>
      <c r="F47" s="1319"/>
      <c r="G47" s="1320">
        <v>80000</v>
      </c>
      <c r="H47" s="1321"/>
      <c r="I47" s="1318">
        <v>80000</v>
      </c>
      <c r="J47" s="1321"/>
      <c r="K47" s="723"/>
      <c r="L47" s="2955"/>
      <c r="M47" s="2956"/>
      <c r="N47" s="2947"/>
      <c r="O47" s="2956"/>
      <c r="P47" s="3287" t="str">
        <f>A47</f>
        <v>成交单价（元/平方米）</v>
      </c>
      <c r="Q47" s="3287"/>
      <c r="R47" s="3249">
        <f>E47</f>
        <v>81000</v>
      </c>
      <c r="S47" s="3249"/>
      <c r="T47" s="3249">
        <f>G47</f>
        <v>80000</v>
      </c>
      <c r="U47" s="3249"/>
      <c r="V47" s="3249">
        <f>I47</f>
        <v>80000</v>
      </c>
      <c r="W47" s="3249"/>
      <c r="X47" s="699"/>
      <c r="Y47" s="721"/>
      <c r="Z47" s="699"/>
      <c r="AA47" s="699"/>
      <c r="AB47" s="699"/>
      <c r="AC47" s="699"/>
    </row>
    <row r="48" spans="1:29" ht="15.75" thickBot="1">
      <c r="A48" s="445" t="s">
        <v>2489</v>
      </c>
      <c r="B48" s="446"/>
      <c r="C48" s="1322">
        <f>R49</f>
        <v>80333</v>
      </c>
      <c r="D48" s="2540" t="s">
        <v>2881</v>
      </c>
      <c r="E48" s="1323">
        <f>R48</f>
        <v>81000</v>
      </c>
      <c r="F48" s="2541"/>
      <c r="G48" s="1322">
        <f>T48</f>
        <v>80000</v>
      </c>
      <c r="H48" s="2541"/>
      <c r="I48" s="1323">
        <f>V48</f>
        <v>80000</v>
      </c>
      <c r="J48" s="2541"/>
      <c r="K48" s="2543">
        <f>F48+H48+J48</f>
        <v>0</v>
      </c>
      <c r="L48" s="2955"/>
      <c r="M48" s="2956"/>
      <c r="N48" s="2947"/>
      <c r="O48" s="2956"/>
      <c r="P48" s="3287" t="str">
        <f>A48</f>
        <v>比较价值（元/平方米）</v>
      </c>
      <c r="Q48" s="3287"/>
      <c r="R48" s="3288">
        <f>IF(F1="售价",ROUND(PRODUCT(R47,AA7:AA46),0),ROUND(PRODUCT(R47,AA7:AA46),1))</f>
        <v>81000</v>
      </c>
      <c r="S48" s="3288"/>
      <c r="T48" s="3288">
        <f>IF(F1="售价",ROUND(PRODUCT(T47,AB7:AB46),0),ROUND(PRODUCT(T47,AB7:AB46),1))</f>
        <v>80000</v>
      </c>
      <c r="U48" s="3288"/>
      <c r="V48" s="3288">
        <f>IF(F1="售价",ROUND(PRODUCT(V47,AC7:AC46),0),ROUND(PRODUCT(V47,AC7:AC46),1))</f>
        <v>80000</v>
      </c>
      <c r="W48" s="3288"/>
      <c r="X48" s="699"/>
      <c r="Y48" s="699"/>
      <c r="Z48" s="699"/>
      <c r="AA48" s="699"/>
      <c r="AB48" s="699"/>
      <c r="AC48" s="699"/>
    </row>
    <row r="49" spans="1:29" ht="15.75" thickBot="1">
      <c r="A49" s="449" t="s">
        <v>2490</v>
      </c>
      <c r="B49" s="450"/>
      <c r="C49" s="1325">
        <f>R49</f>
        <v>80333</v>
      </c>
      <c r="D49" s="1325"/>
      <c r="E49" s="1325"/>
      <c r="F49" s="1325"/>
      <c r="G49" s="1325"/>
      <c r="H49" s="1325"/>
      <c r="I49" s="1325"/>
      <c r="J49" s="1325"/>
      <c r="K49" s="724"/>
      <c r="L49" s="2955"/>
      <c r="M49" s="2956"/>
      <c r="N49" s="2947"/>
      <c r="O49" s="2956"/>
      <c r="P49" s="3289" t="str">
        <f>A49</f>
        <v>估价对象XX用房的比较价值（楼面单价，元/平方米）</v>
      </c>
      <c r="Q49" s="3290"/>
      <c r="R49" s="3291">
        <f>IF(F1="售价",ROUND(IF(D48="简单平均",AVERAGE(R48:V48),R48*F48+T48*H48+V48*J48),0),ROUND(IF(D48="简单平均",AVERAGE(R48:V48),R48*F48+T48*H48+V48*J48),1))</f>
        <v>80333</v>
      </c>
      <c r="S49" s="3291"/>
      <c r="T49" s="3291"/>
      <c r="U49" s="3291"/>
      <c r="V49" s="3291"/>
      <c r="W49" s="329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f>IF(E48&lt;G48,G48/E48-1,E48/G48-1)</f>
        <v>1.2499999999999956E-2</v>
      </c>
      <c r="F53" s="457" t="str">
        <f>IF(OR(E53&gt;=0.2,E53&lt;=-0.2),"超过20%","")</f>
        <v/>
      </c>
      <c r="G53" s="456">
        <f>IF(G48&lt;I48,I48/G48-1,G48/I48-1)</f>
        <v>0</v>
      </c>
      <c r="H53" s="457" t="str">
        <f>IF(OR(G53&gt;=0.2,G53&lt;=-0.2),"超过20%","")</f>
        <v/>
      </c>
      <c r="I53" s="456">
        <f>IF(I48&lt;E48,E48/I48-1,I48/E48-1)</f>
        <v>1.2499999999999956E-2</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f>IF(E47&lt;G47,G47/E47-1,E47/G47-1)</f>
        <v>1.2499999999999956E-2</v>
      </c>
      <c r="F54" s="457" t="str">
        <f>IF(OR(E54&gt;=0.3,E54&lt;=-0.3),"超过30%","")</f>
        <v/>
      </c>
      <c r="G54" s="456">
        <f>IF(G47&lt;I47,I47/G47-1,G47/I47-1)</f>
        <v>0</v>
      </c>
      <c r="H54" s="457" t="str">
        <f>IF(OR(G54&gt;=0.3,G54&lt;=-0.3),"超过30%","")</f>
        <v/>
      </c>
      <c r="I54" s="456">
        <f>IF(I47&lt;E47,E47/I47-1,I47/E47-1)</f>
        <v>1.2499999999999956E-2</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t="str">
        <f>C9</f>
        <v>商业</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295" t="s">
        <v>2825</v>
      </c>
      <c r="D1" s="3296"/>
      <c r="E1" s="3296"/>
      <c r="F1" s="3296"/>
      <c r="G1" s="3296"/>
      <c r="H1" s="3296"/>
      <c r="I1" s="3296"/>
      <c r="J1" s="3296"/>
      <c r="K1" s="3296"/>
      <c r="L1" s="3296"/>
      <c r="M1" s="3296"/>
      <c r="N1" s="3296"/>
      <c r="O1" s="3296"/>
      <c r="P1" s="3296"/>
      <c r="Q1" s="3296"/>
      <c r="R1" s="3296"/>
      <c r="S1" s="3297"/>
      <c r="T1" s="1114" t="s">
        <v>2826</v>
      </c>
    </row>
    <row r="2" spans="1:45" s="663" customFormat="1" ht="38.25">
      <c r="A2" s="1115"/>
      <c r="B2" s="659" t="s">
        <v>2827</v>
      </c>
      <c r="C2" s="660" t="str">
        <f t="shared" ref="C2:L2" si="0">C3&amp;"(含)"&amp;"-"&amp;D3</f>
        <v>0(含)-2000</v>
      </c>
      <c r="D2" s="661" t="str">
        <f t="shared" si="0"/>
        <v>2000(含)-3000</v>
      </c>
      <c r="E2" s="661" t="str">
        <f t="shared" si="0"/>
        <v>3000(含)-4000</v>
      </c>
      <c r="F2" s="661" t="str">
        <f t="shared" si="0"/>
        <v>4000(含)-5000</v>
      </c>
      <c r="G2" s="661" t="str">
        <f t="shared" si="0"/>
        <v>5000(含)-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2000</v>
      </c>
      <c r="E3" s="666">
        <v>3000</v>
      </c>
      <c r="F3" s="1475">
        <v>4000</v>
      </c>
      <c r="G3" s="1475">
        <v>5000</v>
      </c>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96</v>
      </c>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t="s">
        <v>3137</v>
      </c>
      <c r="D17" s="1142" t="s">
        <v>3138</v>
      </c>
      <c r="E17" s="1142" t="s">
        <v>3139</v>
      </c>
      <c r="F17" s="1142" t="s">
        <v>3140</v>
      </c>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60</v>
      </c>
      <c r="E18" s="1154">
        <v>50</v>
      </c>
      <c r="F18" s="1154">
        <v>40</v>
      </c>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f>IF(D20="——",S22,S22-F20)</f>
        <v>59839</v>
      </c>
      <c r="C20" s="164"/>
      <c r="D20" s="2369" t="s">
        <v>70</v>
      </c>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f>ROUND(B20*10000/B22,0)</f>
        <v>48322</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12383.28</v>
      </c>
      <c r="C22" s="3292" t="s">
        <v>33</v>
      </c>
      <c r="D22" s="3293"/>
      <c r="E22" s="3293"/>
      <c r="F22" s="3293"/>
      <c r="G22" s="3293"/>
      <c r="H22" s="3293"/>
      <c r="I22" s="3293"/>
      <c r="J22" s="3293"/>
      <c r="K22" s="3293"/>
      <c r="L22" s="3293"/>
      <c r="M22" s="3293"/>
      <c r="N22" s="3293"/>
      <c r="O22" s="3293"/>
      <c r="P22" s="3293"/>
      <c r="Q22" s="3294"/>
      <c r="R22" s="672">
        <f>ROUND(S22*10000/B22,0)</f>
        <v>48322</v>
      </c>
      <c r="S22" s="24">
        <f>SUM(S24:S10000)</f>
        <v>59839</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f>'金鱼池（前门前）'!E46</f>
        <v>2917.1499999999996</v>
      </c>
      <c r="C24" s="3042">
        <v>1</v>
      </c>
      <c r="D24" s="3043"/>
      <c r="E24" s="3042">
        <v>1</v>
      </c>
      <c r="F24" s="3043"/>
      <c r="G24" s="3042">
        <v>1</v>
      </c>
      <c r="H24" s="3043"/>
      <c r="I24" s="3042">
        <v>1</v>
      </c>
      <c r="J24" s="3043"/>
      <c r="K24" s="3042">
        <v>1</v>
      </c>
      <c r="L24" s="3043"/>
      <c r="M24" s="3042">
        <v>1</v>
      </c>
      <c r="N24" s="3043"/>
      <c r="O24" s="3042">
        <v>1</v>
      </c>
      <c r="P24" s="3043" t="s">
        <v>3118</v>
      </c>
      <c r="Q24" s="3042">
        <v>1</v>
      </c>
      <c r="R24" s="677">
        <f>'比较法-商业'!C48</f>
        <v>80333</v>
      </c>
      <c r="S24" s="675">
        <f t="shared" ref="S24:S54" si="11">ROUND(R24*B24/10000,0)</f>
        <v>23434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'金鱼池（前门前）'!E47</f>
        <v>2969.4400000000005</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3120</v>
      </c>
      <c r="Q25" s="24">
        <f>(SUMIF($17:$17,P25,$18:$18)-SUMIF($17:$17,$P$24,$18:$18)+100)/100</f>
        <v>0.6</v>
      </c>
      <c r="R25" s="672">
        <f>IF(B25="",0,ROUND($R$24*C25*E25*G25*I25*K25*M25*O25*Q25,0))</f>
        <v>48200</v>
      </c>
      <c r="S25" s="322">
        <f t="shared" si="11"/>
        <v>14313</v>
      </c>
    </row>
    <row r="26" spans="1:45">
      <c r="A26" s="155"/>
      <c r="B26" s="57">
        <f>'金鱼池（前门前）'!E48</f>
        <v>1800.0600000000002</v>
      </c>
      <c r="C26" s="24">
        <f t="shared" ref="C26:C89" si="12">IF(B26="",1,(LOOKUP(B26,$3:$3,$4:$4)-LOOKUP($B$24,$3:$3,$4:$4)+100)/100)</f>
        <v>1.01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3122</v>
      </c>
      <c r="Q26" s="24">
        <f t="shared" ref="Q26:Q89" si="19">(SUMIF($17:$17,P26,$18:$18)-SUMIF($17:$17,$P$24,$18:$18)+100)/100</f>
        <v>0.5</v>
      </c>
      <c r="R26" s="672">
        <f t="shared" ref="R26:R89" si="20">IF(B26="",0,ROUND($R$24*C26*E26*G26*I26*K26*M26*O26*Q26,0))</f>
        <v>40568</v>
      </c>
      <c r="S26" s="322">
        <f t="shared" si="11"/>
        <v>7302</v>
      </c>
    </row>
    <row r="27" spans="1:45">
      <c r="A27" s="155"/>
      <c r="B27" s="57">
        <f>'金鱼池（前门前）'!E45</f>
        <v>4696.63</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3124</v>
      </c>
      <c r="Q27" s="24">
        <f t="shared" si="19"/>
        <v>0.4</v>
      </c>
      <c r="R27" s="672">
        <f t="shared" si="20"/>
        <v>31491</v>
      </c>
      <c r="S27" s="322">
        <f t="shared" si="11"/>
        <v>14790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t="s">
        <v>1341</v>
      </c>
      <c r="D1" s="1548" t="s">
        <v>70</v>
      </c>
      <c r="E1" s="1549" t="s">
        <v>1350</v>
      </c>
      <c r="F1" s="1193">
        <f ca="1">J53</f>
        <v>27</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1478</v>
      </c>
      <c r="B2" s="1572">
        <f ca="1">C40+J29+L46</f>
        <v>34300</v>
      </c>
      <c r="C2" s="1573" t="s">
        <v>1479</v>
      </c>
      <c r="D2" s="1573"/>
      <c r="E2" s="1574"/>
      <c r="F2" s="1575"/>
      <c r="G2" s="2937"/>
      <c r="H2" s="2926"/>
      <c r="I2" s="2926"/>
      <c r="J2" s="2926"/>
      <c r="K2" s="2927"/>
      <c r="L2" s="2926"/>
      <c r="M2" s="2926"/>
    </row>
    <row r="3" spans="1:37" ht="18" customHeight="1" thickBot="1">
      <c r="A3" s="1576" t="s">
        <v>1480</v>
      </c>
      <c r="B3" s="1577">
        <f ca="1">IF(ISERROR(B2*10000/F43),0,ROUND(B2*10000/F43,0))</f>
        <v>27699</v>
      </c>
      <c r="C3" s="1573" t="s">
        <v>1481</v>
      </c>
      <c r="D3" s="1573"/>
      <c r="E3" s="1574"/>
      <c r="F3" s="1575"/>
      <c r="G3" s="2937"/>
      <c r="H3" s="692" t="s">
        <v>1551</v>
      </c>
      <c r="I3" s="1568"/>
      <c r="J3" s="1568"/>
      <c r="K3" s="1569"/>
      <c r="L3" s="1568"/>
      <c r="M3" s="1568"/>
    </row>
    <row r="4" spans="1:37" ht="18" customHeight="1">
      <c r="A4" s="301" t="s">
        <v>1359</v>
      </c>
      <c r="B4" s="302" t="s">
        <v>1360</v>
      </c>
      <c r="C4" s="302" t="s">
        <v>1361</v>
      </c>
      <c r="D4" s="302" t="s">
        <v>1362</v>
      </c>
      <c r="E4" s="303" t="s">
        <v>1363</v>
      </c>
      <c r="F4" s="304"/>
      <c r="G4" s="1570"/>
      <c r="H4" s="301" t="s">
        <v>1359</v>
      </c>
      <c r="I4" s="302" t="s">
        <v>1360</v>
      </c>
      <c r="J4" s="302" t="s">
        <v>1361</v>
      </c>
      <c r="K4" s="302" t="s">
        <v>1362</v>
      </c>
      <c r="L4" s="303" t="s">
        <v>1363</v>
      </c>
      <c r="M4" s="304"/>
    </row>
    <row r="5" spans="1:37" ht="18" customHeight="1">
      <c r="A5" s="305">
        <v>1</v>
      </c>
      <c r="B5" s="306" t="s">
        <v>1364</v>
      </c>
      <c r="C5" s="1202">
        <f ca="1">C6+C10+C12</f>
        <v>2308</v>
      </c>
      <c r="D5" s="1550" t="s">
        <v>1365</v>
      </c>
      <c r="E5" s="1203"/>
      <c r="F5" s="1204"/>
      <c r="G5" s="1570"/>
      <c r="H5" s="305">
        <v>1</v>
      </c>
      <c r="I5" s="306" t="s">
        <v>1364</v>
      </c>
      <c r="J5" s="1202">
        <f ca="1">J6+J10+J12</f>
        <v>0</v>
      </c>
      <c r="K5" s="1550" t="s">
        <v>1365</v>
      </c>
      <c r="L5" s="1203"/>
      <c r="M5" s="1204"/>
    </row>
    <row r="6" spans="1:37" ht="18" customHeight="1">
      <c r="A6" s="1201" t="s">
        <v>1003</v>
      </c>
      <c r="B6" s="3300" t="s">
        <v>1366</v>
      </c>
      <c r="C6" s="1206">
        <f ca="1">ROUND(F6*F8*F7*(1-F9)/10000,0)</f>
        <v>2305</v>
      </c>
      <c r="D6" s="160" t="s">
        <v>2850</v>
      </c>
      <c r="E6" s="308" t="s">
        <v>1368</v>
      </c>
      <c r="F6" s="309">
        <f ca="1">INDIRECT("'数据-取费表'!u"&amp;$G$1)</f>
        <v>6</v>
      </c>
      <c r="G6" s="1570"/>
      <c r="H6" s="1201" t="s">
        <v>1003</v>
      </c>
      <c r="I6" s="3300" t="s">
        <v>1366</v>
      </c>
      <c r="J6" s="307">
        <f ca="1">ROUND(M6*M8*M7*(1-M9)/10000,0)</f>
        <v>0</v>
      </c>
      <c r="K6" s="160" t="s">
        <v>2849</v>
      </c>
      <c r="L6" s="308" t="s">
        <v>1368</v>
      </c>
      <c r="M6" s="309">
        <f ca="1">INDIRECT("'数据-取费表'!z"&amp;$G$1)</f>
        <v>0</v>
      </c>
    </row>
    <row r="7" spans="1:37" ht="18" customHeight="1">
      <c r="A7" s="1205"/>
      <c r="B7" s="3301"/>
      <c r="C7" s="1207"/>
      <c r="D7" s="313"/>
      <c r="E7" s="1208" t="s">
        <v>1369</v>
      </c>
      <c r="F7" s="309">
        <f ca="1">IF(INDIRECT("'数据-取费表'!ah"&amp;$G$1)="",INDIRECT("'数据-取费表'!k"&amp;$G$1),INDIRECT("'数据-取费表'!ah"&amp;$G$1))</f>
        <v>12383.28</v>
      </c>
      <c r="G7" s="1570"/>
      <c r="H7" s="310"/>
      <c r="I7" s="3301"/>
      <c r="J7" s="312"/>
      <c r="K7" s="313"/>
      <c r="L7" s="308" t="s">
        <v>1369</v>
      </c>
      <c r="M7" s="309">
        <f ca="1">F7</f>
        <v>12383.28</v>
      </c>
    </row>
    <row r="8" spans="1:37" ht="18" customHeight="1">
      <c r="A8" s="310"/>
      <c r="B8" s="3301"/>
      <c r="C8" s="312"/>
      <c r="D8" s="313"/>
      <c r="E8" s="308" t="s">
        <v>1370</v>
      </c>
      <c r="F8" s="309">
        <f ca="1">INDIRECT("'数据-取费表'!ai"&amp;$G$1)</f>
        <v>365</v>
      </c>
      <c r="G8" s="1570"/>
      <c r="H8" s="310"/>
      <c r="I8" s="3301"/>
      <c r="J8" s="312"/>
      <c r="K8" s="313"/>
      <c r="L8" s="308" t="s">
        <v>1370</v>
      </c>
      <c r="M8" s="309">
        <f ca="1">INDIRECT("'数据-取费表'!ai"&amp;$G$1)</f>
        <v>365</v>
      </c>
    </row>
    <row r="9" spans="1:37" ht="18" customHeight="1">
      <c r="A9" s="310"/>
      <c r="B9" s="3302"/>
      <c r="C9" s="312"/>
      <c r="D9" s="313"/>
      <c r="E9" s="308" t="s">
        <v>1371</v>
      </c>
      <c r="F9" s="318">
        <f ca="1">INDIRECT("'数据-取费表'!w"&amp;$G$1)</f>
        <v>0.15</v>
      </c>
      <c r="G9" s="1570"/>
      <c r="H9" s="310"/>
      <c r="I9" s="3302"/>
      <c r="J9" s="312"/>
      <c r="K9" s="313"/>
      <c r="L9" s="319" t="s">
        <v>1371</v>
      </c>
      <c r="M9" s="320">
        <f ca="1">INDIRECT("'数据-取费表'!ab"&amp;$G$1)</f>
        <v>0</v>
      </c>
    </row>
    <row r="10" spans="1:37" ht="18" customHeight="1">
      <c r="A10" s="1201" t="s">
        <v>1007</v>
      </c>
      <c r="B10" s="1551" t="s">
        <v>1372</v>
      </c>
      <c r="C10" s="322">
        <f ca="1">ROUND(IF(F10="押一",C6/12*F11,IF(F10="押二",C6/12*2*F11,IF(F10="押三",C6/12*3*F11,C11*F11))),0)</f>
        <v>3</v>
      </c>
      <c r="D10" s="1552" t="s">
        <v>2858</v>
      </c>
      <c r="E10" s="319" t="s">
        <v>1373</v>
      </c>
      <c r="F10" s="1276" t="s">
        <v>3130</v>
      </c>
      <c r="G10" s="1570"/>
      <c r="H10" s="1201" t="s">
        <v>1007</v>
      </c>
      <c r="I10" s="1551" t="s">
        <v>1372</v>
      </c>
      <c r="J10" s="307">
        <f ca="1">ROUND(IF(M10="押一",J6/12*M11,IF(M10="押二",J6/12*2*M11,IF(M10="押三",J6/12*3*M11,J11*M11))),0)</f>
        <v>0</v>
      </c>
      <c r="K10" s="1552" t="s">
        <v>2857</v>
      </c>
      <c r="L10" s="319" t="s">
        <v>1373</v>
      </c>
      <c r="M10" s="1276" t="s">
        <v>1374</v>
      </c>
    </row>
    <row r="11" spans="1:37" ht="18" customHeight="1">
      <c r="A11" s="314"/>
      <c r="B11" s="1553" t="s">
        <v>1351</v>
      </c>
      <c r="C11" s="1090"/>
      <c r="D11" s="1554"/>
      <c r="E11" s="319" t="s">
        <v>1375</v>
      </c>
      <c r="F11" s="320">
        <f ca="1">'数据-取费表'!B39</f>
        <v>1.4999999999999999E-2</v>
      </c>
      <c r="G11" s="1570"/>
      <c r="H11" s="1209"/>
      <c r="I11" s="1553" t="s">
        <v>1351</v>
      </c>
      <c r="J11" s="1090"/>
      <c r="K11" s="693"/>
      <c r="L11" s="319" t="s">
        <v>1375</v>
      </c>
      <c r="M11" s="971">
        <f ca="1">'数据-取费表'!B39</f>
        <v>1.4999999999999999E-2</v>
      </c>
    </row>
    <row r="12" spans="1:37" ht="18" customHeight="1" thickBot="1">
      <c r="A12" s="1243" t="s">
        <v>1043</v>
      </c>
      <c r="B12" s="1555" t="s">
        <v>1376</v>
      </c>
      <c r="C12" s="1244"/>
      <c r="D12" s="1245"/>
      <c r="E12" s="1250"/>
      <c r="F12" s="1246"/>
      <c r="G12" s="1570"/>
      <c r="H12" s="1243" t="s">
        <v>1043</v>
      </c>
      <c r="I12" s="1555" t="s">
        <v>1376</v>
      </c>
      <c r="J12" s="1244"/>
      <c r="K12" s="1258"/>
      <c r="L12" s="1250"/>
      <c r="M12" s="1259"/>
    </row>
    <row r="13" spans="1:37" ht="18" customHeight="1" thickTop="1">
      <c r="A13" s="1239">
        <v>2</v>
      </c>
      <c r="B13" s="1240" t="s">
        <v>1377</v>
      </c>
      <c r="C13" s="316">
        <f ca="1">ROUND(C29*F13,0)</f>
        <v>4484</v>
      </c>
      <c r="D13" s="1241" t="s">
        <v>1378</v>
      </c>
      <c r="E13" s="1241" t="s">
        <v>1379</v>
      </c>
      <c r="F13" s="1242">
        <f ca="1">INDIRECT("'数据-取费表'!y"&amp;$G$1)</f>
        <v>0.82</v>
      </c>
      <c r="G13" s="1570"/>
      <c r="H13" s="1239">
        <v>2</v>
      </c>
      <c r="I13" s="1240" t="s">
        <v>1377</v>
      </c>
      <c r="J13" s="1200">
        <f ca="1">ROUND(J14*J15,0)</f>
        <v>0</v>
      </c>
      <c r="K13" s="1247" t="s">
        <v>1378</v>
      </c>
      <c r="L13" s="1578"/>
      <c r="M13" s="1579"/>
    </row>
    <row r="14" spans="1:37" ht="18" customHeight="1">
      <c r="A14" s="1113" t="s">
        <v>1002</v>
      </c>
      <c r="B14" s="308" t="s">
        <v>1380</v>
      </c>
      <c r="C14" s="324">
        <f ca="1">INDIRECT("'数据-取费表'!m"&amp;$G$1)+INDIRECT("'数据-取费表'!t"&amp;$G$1)</f>
        <v>3715</v>
      </c>
      <c r="D14" s="1531" t="s">
        <v>1381</v>
      </c>
      <c r="E14" s="1528"/>
      <c r="F14" s="325"/>
      <c r="G14" s="1570"/>
      <c r="H14" s="1113" t="s">
        <v>1003</v>
      </c>
      <c r="I14" s="308" t="s">
        <v>1382</v>
      </c>
      <c r="J14" s="24">
        <f ca="1">C29</f>
        <v>5468</v>
      </c>
      <c r="K14" s="15"/>
      <c r="L14" s="916"/>
      <c r="M14" s="917"/>
    </row>
    <row r="15" spans="1:37" s="1583" customFormat="1" ht="18" customHeight="1" thickBot="1">
      <c r="A15" s="1113" t="s">
        <v>1004</v>
      </c>
      <c r="B15" s="308" t="s">
        <v>1383</v>
      </c>
      <c r="C15" s="24">
        <f ca="1">ROUND(C14*F15,0)</f>
        <v>111</v>
      </c>
      <c r="D15" s="326" t="s">
        <v>1384</v>
      </c>
      <c r="E15" s="326" t="s">
        <v>1385</v>
      </c>
      <c r="F15" s="327">
        <f>'数据-取费表'!B33</f>
        <v>0.03</v>
      </c>
      <c r="G15" s="1582"/>
      <c r="H15" s="1249" t="s">
        <v>1007</v>
      </c>
      <c r="I15" s="1250" t="s">
        <v>1379</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1352</v>
      </c>
      <c r="B16" s="308" t="s">
        <v>1386</v>
      </c>
      <c r="C16" s="24">
        <f ca="1">ROUND(INDIRECT("'数据-取费表'!m"&amp;$G$1)*F16,0)</f>
        <v>0</v>
      </c>
      <c r="D16" s="308" t="s">
        <v>1384</v>
      </c>
      <c r="E16" s="308" t="s">
        <v>1385</v>
      </c>
      <c r="F16" s="328">
        <f ca="1">IF(INDIRECT("'数据-取费表'!c"&amp;$G$1)="住宅",'数据-取费表'!B34,0)</f>
        <v>0</v>
      </c>
      <c r="G16" s="1570"/>
      <c r="H16" s="1239" t="s">
        <v>998</v>
      </c>
      <c r="I16" s="1240" t="s">
        <v>1387</v>
      </c>
      <c r="J16" s="316">
        <f ca="1">ROUND(J17+J22+J23+J24,0)</f>
        <v>128</v>
      </c>
      <c r="K16" s="1247" t="s">
        <v>1388</v>
      </c>
      <c r="L16" s="1248"/>
      <c r="M16" s="1204"/>
    </row>
    <row r="17" spans="1:37" s="1583" customFormat="1" ht="18" customHeight="1">
      <c r="A17" s="1113" t="s">
        <v>1353</v>
      </c>
      <c r="B17" s="308" t="s">
        <v>1389</v>
      </c>
      <c r="C17" s="24">
        <f ca="1">ROUND(F17*(F43+INDIRECT("'数据-取费表'!S"&amp;$G$1))/10000,0)</f>
        <v>248</v>
      </c>
      <c r="D17" s="308" t="s">
        <v>1390</v>
      </c>
      <c r="E17" s="308" t="s">
        <v>1391</v>
      </c>
      <c r="F17" s="26">
        <f>'数据-取费表'!B35</f>
        <v>200</v>
      </c>
      <c r="G17" s="1582"/>
      <c r="H17" s="1113" t="s">
        <v>1003</v>
      </c>
      <c r="I17" s="308" t="s">
        <v>1392</v>
      </c>
      <c r="J17" s="2536">
        <f ca="1">ROUND(IF(AND(项目基本情况!B11="自然人",项目基本情况!B10="北京市"),J6*M17/(1+'数据-取费表'!C42),J18+J19+J20),0)</f>
        <v>46</v>
      </c>
      <c r="K17" s="1531" t="s">
        <v>1393</v>
      </c>
      <c r="L17" s="1530" t="s">
        <v>1394</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1354</v>
      </c>
      <c r="B18" s="308" t="s">
        <v>1395</v>
      </c>
      <c r="C18" s="24">
        <f ca="1">ROUND(C14*F18,0)</f>
        <v>56</v>
      </c>
      <c r="D18" s="308" t="s">
        <v>1384</v>
      </c>
      <c r="E18" s="308" t="s">
        <v>1385</v>
      </c>
      <c r="F18" s="328">
        <f>'数据-取费表'!B36</f>
        <v>1.4999999999999999E-2</v>
      </c>
      <c r="G18" s="1582"/>
      <c r="H18" s="1113" t="s">
        <v>1002</v>
      </c>
      <c r="I18" s="308" t="s">
        <v>1396</v>
      </c>
      <c r="J18" s="24">
        <f ca="1">ROUND(J6*M18/(1+'数据-取费表'!C42),2)</f>
        <v>0</v>
      </c>
      <c r="K18" s="1530" t="s">
        <v>1397</v>
      </c>
      <c r="L18" s="308" t="s">
        <v>1385</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1398</v>
      </c>
      <c r="C19" s="24">
        <f ca="1">SUM(C14:C18)</f>
        <v>4130</v>
      </c>
      <c r="D19" s="136" t="s">
        <v>1399</v>
      </c>
      <c r="E19" s="1546"/>
      <c r="F19" s="26"/>
      <c r="G19" s="1570"/>
      <c r="H19" s="1113" t="s">
        <v>1004</v>
      </c>
      <c r="I19" s="308" t="s">
        <v>1400</v>
      </c>
      <c r="J19" s="24">
        <f ca="1">IF(K19="按租金收入计税",ROUND(J6*M19/(1+'数据-取费表'!C42),2),ROUND(C29*M19*0.7,2))</f>
        <v>45.93</v>
      </c>
      <c r="K19" s="1556" t="s">
        <v>1401</v>
      </c>
      <c r="L19" s="308" t="s">
        <v>1385</v>
      </c>
      <c r="M19" s="328">
        <f>IF(K19="按租金收入计税",'数据-取费表'!B51,'数据-取费表'!B50)</f>
        <v>1.2E-2</v>
      </c>
    </row>
    <row r="20" spans="1:37" s="1583" customFormat="1" ht="18" customHeight="1">
      <c r="A20" s="1113" t="s">
        <v>1007</v>
      </c>
      <c r="B20" s="308" t="s">
        <v>1402</v>
      </c>
      <c r="C20" s="24">
        <f ca="1">ROUND(C19*F20,0)</f>
        <v>83</v>
      </c>
      <c r="D20" s="329" t="s">
        <v>1403</v>
      </c>
      <c r="E20" s="308" t="s">
        <v>1385</v>
      </c>
      <c r="F20" s="328">
        <f>'数据-取费表'!B37</f>
        <v>0.02</v>
      </c>
      <c r="G20" s="1582"/>
      <c r="H20" s="1113" t="s">
        <v>1352</v>
      </c>
      <c r="I20" s="160" t="s">
        <v>1404</v>
      </c>
      <c r="J20" s="25">
        <f ca="1">ROUND(M20*M21/10000,2)</f>
        <v>0</v>
      </c>
      <c r="K20" s="330" t="s">
        <v>1405</v>
      </c>
      <c r="L20" s="308" t="s">
        <v>1406</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1407</v>
      </c>
      <c r="C21" s="24" t="s">
        <v>18</v>
      </c>
      <c r="D21" s="329" t="s">
        <v>1408</v>
      </c>
      <c r="E21" s="308" t="s">
        <v>1409</v>
      </c>
      <c r="F21" s="328">
        <f>'数据-取费表'!B38</f>
        <v>0.02</v>
      </c>
      <c r="G21" s="1582"/>
      <c r="H21" s="332"/>
      <c r="I21" s="317"/>
      <c r="J21" s="29"/>
      <c r="K21" s="333"/>
      <c r="L21" s="308" t="s">
        <v>1410</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1355</v>
      </c>
      <c r="B22" s="308" t="s">
        <v>1411</v>
      </c>
      <c r="C22" s="24"/>
      <c r="D22" s="136" t="str">
        <f>IF(F23&lt;=1,"单利计息。","复利计息。")&amp;"建造成本、管理费用、销售费用产生的利息。"</f>
        <v>复利计息。建造成本、管理费用、销售费用产生的利息。</v>
      </c>
      <c r="E22" s="1546"/>
      <c r="F22" s="26"/>
      <c r="G22" s="1570"/>
      <c r="H22" s="1113" t="s">
        <v>1007</v>
      </c>
      <c r="I22" s="308" t="s">
        <v>1412</v>
      </c>
      <c r="J22" s="24">
        <f ca="1">ROUND(J14*M22,1)</f>
        <v>82</v>
      </c>
      <c r="K22" s="1530" t="s">
        <v>1413</v>
      </c>
      <c r="L22" s="308" t="s">
        <v>1385</v>
      </c>
      <c r="M22" s="334">
        <f ca="1">INDIRECT("'数据-取费表'!Ak"&amp;$G$1)</f>
        <v>1.4999999999999999E-2</v>
      </c>
    </row>
    <row r="23" spans="1:37" s="1583" customFormat="1" ht="18" customHeight="1">
      <c r="A23" s="1113" t="s">
        <v>1002</v>
      </c>
      <c r="B23" s="308" t="s">
        <v>1414</v>
      </c>
      <c r="C23" s="24">
        <f ca="1">IF('数据-取费表'!B22&lt;=1,ROUND(C19*F24*F23/2,0)+ROUND(C20*F24*F23/2,0),ROUND(C19*(POWER((1+F24),F23/2)-1),0)+ROUND(C20*(POWER((1+F24),F23/2)-1),0))</f>
        <v>200</v>
      </c>
      <c r="D23" s="335" t="str">
        <f>IF(F23&lt;=1,"(建造成本+管理费用)×利率×(建设周期÷2)","(建造成本+管理费用)×((1+利率)^(建设周期÷2)-1)")</f>
        <v>(建造成本+管理费用)×((1+利率)^(建设周期÷2)-1)</v>
      </c>
      <c r="E23" s="308" t="s">
        <v>1415</v>
      </c>
      <c r="F23" s="331">
        <f>'数据-取费表'!B20</f>
        <v>2</v>
      </c>
      <c r="G23" s="1582"/>
      <c r="H23" s="1113" t="s">
        <v>1043</v>
      </c>
      <c r="I23" s="308" t="s">
        <v>1416</v>
      </c>
      <c r="J23" s="24">
        <f ca="1">ROUND(J13*M23,1)</f>
        <v>0</v>
      </c>
      <c r="K23" s="1530" t="s">
        <v>1417</v>
      </c>
      <c r="L23" s="308" t="s">
        <v>1418</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1419</v>
      </c>
      <c r="B24" s="308" t="s">
        <v>1420</v>
      </c>
      <c r="C24" s="24">
        <f ca="1">ROUND(IF('数据-取费表'!B22&lt;=1,F21*F24*F23/2,F21*(POWER((1+F24),F23/2)-1)),4)</f>
        <v>1E-3</v>
      </c>
      <c r="D24" s="335" t="str">
        <f>IF(F23&lt;=1,"销售费用×利率×(建设周期÷2)","销售费用×((1+利率)^(建设周期÷2)-1)")</f>
        <v>销售费用×((1+利率)^(建设周期÷2)-1)</v>
      </c>
      <c r="E24" s="308" t="s">
        <v>1421</v>
      </c>
      <c r="F24" s="337">
        <f ca="1">'数据-取费表'!B40</f>
        <v>4.7500000000000001E-2</v>
      </c>
      <c r="G24" s="1582"/>
      <c r="H24" s="1249" t="s">
        <v>1356</v>
      </c>
      <c r="I24" s="1250" t="s">
        <v>1402</v>
      </c>
      <c r="J24" s="1251">
        <f ca="1">ROUND(J5*M24,1)</f>
        <v>0</v>
      </c>
      <c r="K24" s="1252" t="s">
        <v>1422</v>
      </c>
      <c r="L24" s="1250" t="s">
        <v>1418</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1423</v>
      </c>
      <c r="B25" s="308" t="s">
        <v>1424</v>
      </c>
      <c r="C25" s="24"/>
      <c r="D25" s="136" t="s">
        <v>1425</v>
      </c>
      <c r="E25" s="1546"/>
      <c r="F25" s="26"/>
      <c r="G25" s="1570"/>
      <c r="H25" s="1239" t="s">
        <v>999</v>
      </c>
      <c r="I25" s="1254" t="s">
        <v>1426</v>
      </c>
      <c r="J25" s="316">
        <f ca="1">J5-J16</f>
        <v>-128</v>
      </c>
      <c r="K25" s="1255" t="s">
        <v>1427</v>
      </c>
      <c r="L25" s="1256"/>
      <c r="M25" s="1257"/>
    </row>
    <row r="26" spans="1:37">
      <c r="A26" s="1113" t="s">
        <v>1002</v>
      </c>
      <c r="B26" s="308" t="s">
        <v>1428</v>
      </c>
      <c r="C26" s="24">
        <f ca="1">ROUND((C19+C20)*F26,0)</f>
        <v>632</v>
      </c>
      <c r="D26" s="329" t="s">
        <v>1429</v>
      </c>
      <c r="E26" s="319" t="s">
        <v>1430</v>
      </c>
      <c r="F26" s="318">
        <f ca="1">INDIRECT("'数据-取费表'!q"&amp;$G$1)</f>
        <v>0.15</v>
      </c>
      <c r="G26" s="1570"/>
      <c r="H26" s="305" t="s">
        <v>1000</v>
      </c>
      <c r="I26" s="306" t="s">
        <v>1431</v>
      </c>
      <c r="J26" s="307">
        <f ca="1">IF(J5&lt;&gt;0,ROUND(J25*(1-((1+M28)/(1+M26))^M27)/(M26-M28),0),0)</f>
        <v>0</v>
      </c>
      <c r="K26" s="330" t="s">
        <v>1432</v>
      </c>
      <c r="L26" s="308" t="s">
        <v>1433</v>
      </c>
      <c r="M26" s="318">
        <f ca="1">INDIRECT("'数据-取费表'!I"&amp;$G$1)</f>
        <v>5.5E-2</v>
      </c>
    </row>
    <row r="27" spans="1:37" ht="18" customHeight="1">
      <c r="A27" s="1113" t="s">
        <v>1004</v>
      </c>
      <c r="B27" s="308" t="s">
        <v>1434</v>
      </c>
      <c r="C27" s="24">
        <f ca="1">ROUND(F21*F26,4)</f>
        <v>3.0000000000000001E-3</v>
      </c>
      <c r="D27" s="329" t="s">
        <v>1435</v>
      </c>
      <c r="E27" s="326"/>
      <c r="F27" s="327"/>
      <c r="G27" s="1570"/>
      <c r="H27" s="310"/>
      <c r="I27" s="311"/>
      <c r="J27" s="312"/>
      <c r="K27" s="338" t="s">
        <v>1436</v>
      </c>
      <c r="L27" s="308" t="s">
        <v>1437</v>
      </c>
      <c r="M27" s="339">
        <f ca="1">INDIRECT("'数据-取费表'!ag"&amp;$G$1)</f>
        <v>0</v>
      </c>
    </row>
    <row r="28" spans="1:37" s="1583" customFormat="1" ht="18" customHeight="1">
      <c r="A28" s="1113" t="s">
        <v>1005</v>
      </c>
      <c r="B28" s="308" t="s">
        <v>1438</v>
      </c>
      <c r="C28" s="24">
        <f>ROUND(F28/(1+'数据-取费表'!C42),4)</f>
        <v>5.33E-2</v>
      </c>
      <c r="D28" s="329" t="s">
        <v>1439</v>
      </c>
      <c r="E28" s="308" t="s">
        <v>1385</v>
      </c>
      <c r="F28" s="328">
        <f>'数据-取费表'!B41</f>
        <v>5.6000000000000001E-2</v>
      </c>
      <c r="G28" s="1582"/>
      <c r="H28" s="314"/>
      <c r="I28" s="315"/>
      <c r="J28" s="316"/>
      <c r="K28" s="333"/>
      <c r="L28" s="308" t="s">
        <v>1440</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1441</v>
      </c>
      <c r="C29" s="1251">
        <f ca="1">ROUND((C19+C20+C23+C26)/(1-F21-C24-C27-C28),0)</f>
        <v>5468</v>
      </c>
      <c r="D29" s="1252"/>
      <c r="E29" s="1250"/>
      <c r="F29" s="1253"/>
      <c r="G29" s="1582"/>
      <c r="H29" s="340" t="s">
        <v>1001</v>
      </c>
      <c r="I29" s="341" t="s">
        <v>1442</v>
      </c>
      <c r="J29" s="342">
        <f ca="1">ROUND(J26/(1+F40)^F41,0)</f>
        <v>0</v>
      </c>
      <c r="K29" s="343" t="s">
        <v>1443</v>
      </c>
      <c r="L29" s="344"/>
      <c r="M29" s="345">
        <f ca="1">INDIRECT("'数据-取费表'!k"&amp;$G$1)</f>
        <v>12383.28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1387</v>
      </c>
      <c r="C30" s="316">
        <f ca="1">ROUND(C31+C36+C37+C38,0)</f>
        <v>509</v>
      </c>
      <c r="D30" s="1247" t="s">
        <v>1388</v>
      </c>
      <c r="E30" s="1248"/>
      <c r="F30" s="1204"/>
      <c r="G30" s="1570"/>
      <c r="H30" s="2928"/>
      <c r="I30" s="1584"/>
      <c r="J30" s="1585"/>
      <c r="K30" s="2703"/>
      <c r="L30" s="2929"/>
      <c r="M30" s="2930"/>
    </row>
    <row r="31" spans="1:37" ht="18" customHeight="1">
      <c r="A31" s="1113" t="s">
        <v>1003</v>
      </c>
      <c r="B31" s="308" t="s">
        <v>1392</v>
      </c>
      <c r="C31" s="2536">
        <f ca="1">ROUND(IF(AND(项目基本情况!B11="自然人",项目基本情况!B10="北京市"),C6*F31/(1+'数据-取费表'!C42),C32+C33+C34),0)</f>
        <v>386</v>
      </c>
      <c r="D31" s="1531" t="s">
        <v>1393</v>
      </c>
      <c r="E31" s="1530" t="s">
        <v>1444</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1396</v>
      </c>
      <c r="C32" s="24">
        <f ca="1">IF(项目基本情况!B11="自然人","——",ROUND(C6*F32/(1+'数据-取费表'!C42),2))</f>
        <v>122.93</v>
      </c>
      <c r="D32" s="1530" t="s">
        <v>1397</v>
      </c>
      <c r="E32" s="308" t="s">
        <v>1385</v>
      </c>
      <c r="F32" s="337">
        <f>'数据-取费表'!B41</f>
        <v>5.6000000000000001E-2</v>
      </c>
      <c r="G32" s="1570"/>
      <c r="H32" s="2928"/>
      <c r="I32" s="1584"/>
      <c r="J32" s="1585"/>
      <c r="K32" s="2703"/>
      <c r="L32" s="2929"/>
      <c r="M32" s="2930"/>
    </row>
    <row r="33" spans="1:18" ht="18" customHeight="1">
      <c r="A33" s="1113" t="s">
        <v>1004</v>
      </c>
      <c r="B33" s="308" t="s">
        <v>1400</v>
      </c>
      <c r="C33" s="24">
        <f ca="1">IF(项目基本情况!B11="自然人","——",IF(D33="按租金收入计税",ROUND(C6*F33/(1+'数据-取费表'!C42),2),IF(D33="按房产原值计税",ROUND(C29*F33*0.7,2),INDIRECT("'数据-取费表'!Aj"&amp;$G$1))))</f>
        <v>263.43</v>
      </c>
      <c r="D33" s="1556" t="s">
        <v>3131</v>
      </c>
      <c r="E33" s="308" t="s">
        <v>1385</v>
      </c>
      <c r="F33" s="328">
        <f>IF(D33="按票据","——",IF(D33="按租金收入计税",'数据-取费表'!B51,'数据-取费表'!B50))</f>
        <v>0.12</v>
      </c>
      <c r="G33" s="1570"/>
      <c r="H33" s="2931"/>
      <c r="I33" s="1584"/>
      <c r="J33" s="1585"/>
      <c r="K33" s="2932"/>
      <c r="L33" s="2931"/>
      <c r="M33" s="2931"/>
    </row>
    <row r="34" spans="1:18" ht="18" customHeight="1">
      <c r="A34" s="1201" t="s">
        <v>1352</v>
      </c>
      <c r="B34" s="160" t="s">
        <v>1404</v>
      </c>
      <c r="C34" s="25">
        <f ca="1">IF(项目基本情况!B11="自然人","——",ROUND(F34*F35/10000,2))</f>
        <v>0</v>
      </c>
      <c r="D34" s="330" t="s">
        <v>1405</v>
      </c>
      <c r="E34" s="308" t="s">
        <v>1406</v>
      </c>
      <c r="F34" s="331">
        <f>'数据-取费表'!B52</f>
        <v>0</v>
      </c>
      <c r="G34" s="1570"/>
      <c r="H34" s="2928"/>
      <c r="I34" s="1584"/>
      <c r="J34" s="1585"/>
      <c r="K34" s="2933"/>
      <c r="L34" s="2934"/>
      <c r="M34" s="2934"/>
    </row>
    <row r="35" spans="1:18" ht="18" customHeight="1">
      <c r="A35" s="1263"/>
      <c r="B35" s="1261"/>
      <c r="C35" s="29"/>
      <c r="D35" s="333"/>
      <c r="E35" s="308" t="s">
        <v>1410</v>
      </c>
      <c r="F35" s="309">
        <f ca="1">INDIRECT("'数据-取费表'!r"&amp;$G$1)</f>
        <v>0</v>
      </c>
      <c r="G35" s="1570"/>
      <c r="H35" s="2928"/>
      <c r="I35" s="1584"/>
      <c r="J35" s="1585"/>
      <c r="K35" s="2932"/>
      <c r="L35" s="2931"/>
      <c r="M35" s="2931"/>
    </row>
    <row r="36" spans="1:18" ht="18" customHeight="1">
      <c r="A36" s="1262" t="s">
        <v>1007</v>
      </c>
      <c r="B36" s="308" t="s">
        <v>1412</v>
      </c>
      <c r="C36" s="24">
        <f ca="1">ROUND(C29*F36,1)</f>
        <v>82</v>
      </c>
      <c r="D36" s="1530" t="s">
        <v>1445</v>
      </c>
      <c r="E36" s="308" t="s">
        <v>1385</v>
      </c>
      <c r="F36" s="334">
        <f ca="1">INDIRECT("'数据-取费表'!Ak"&amp;$G$1)</f>
        <v>1.4999999999999999E-2</v>
      </c>
      <c r="G36" s="1570"/>
      <c r="H36" s="2931"/>
      <c r="I36" s="1584"/>
      <c r="J36" s="1585"/>
      <c r="K36" s="2772"/>
      <c r="L36" s="2931"/>
      <c r="M36" s="2931"/>
    </row>
    <row r="37" spans="1:18" ht="18" customHeight="1">
      <c r="A37" s="1113" t="s">
        <v>1043</v>
      </c>
      <c r="B37" s="308" t="s">
        <v>1416</v>
      </c>
      <c r="C37" s="24">
        <f ca="1">ROUND(C13*F37,1)</f>
        <v>6.7</v>
      </c>
      <c r="D37" s="1530" t="s">
        <v>1417</v>
      </c>
      <c r="E37" s="308" t="s">
        <v>1418</v>
      </c>
      <c r="F37" s="336">
        <f ca="1">INDIRECT("'数据-取费表'!Al"&amp;$G$1)</f>
        <v>1.5E-3</v>
      </c>
      <c r="G37" s="1570"/>
      <c r="H37" s="2931"/>
      <c r="I37" s="1584"/>
      <c r="J37" s="1585"/>
      <c r="K37" s="2772"/>
      <c r="L37" s="2931"/>
      <c r="M37" s="2931"/>
    </row>
    <row r="38" spans="1:18" ht="18" customHeight="1" thickBot="1">
      <c r="A38" s="1249" t="s">
        <v>1356</v>
      </c>
      <c r="B38" s="1250" t="s">
        <v>1402</v>
      </c>
      <c r="C38" s="1251">
        <f ca="1">ROUND(C5*F38,1)</f>
        <v>34.6</v>
      </c>
      <c r="D38" s="1252" t="s">
        <v>1422</v>
      </c>
      <c r="E38" s="1250" t="s">
        <v>1418</v>
      </c>
      <c r="F38" s="1246">
        <f ca="1">INDIRECT("'数据-取费表'!Am"&amp;$G$1)</f>
        <v>1.4999999999999999E-2</v>
      </c>
      <c r="G38" s="1570"/>
      <c r="H38" s="2931"/>
      <c r="I38" s="1584"/>
      <c r="J38" s="1585"/>
      <c r="K38" s="2935"/>
      <c r="L38" s="2931"/>
      <c r="M38" s="2931"/>
    </row>
    <row r="39" spans="1:18" ht="24.6" customHeight="1" thickTop="1">
      <c r="A39" s="1239" t="s">
        <v>999</v>
      </c>
      <c r="B39" s="1254" t="s">
        <v>1446</v>
      </c>
      <c r="C39" s="316">
        <f ca="1">C5-C30</f>
        <v>1799</v>
      </c>
      <c r="D39" s="1255" t="s">
        <v>1447</v>
      </c>
      <c r="E39" s="1256"/>
      <c r="F39" s="1257"/>
      <c r="G39" s="1570"/>
      <c r="H39" s="2931"/>
      <c r="I39" s="1584"/>
      <c r="J39" s="1585"/>
      <c r="K39" s="2935"/>
      <c r="L39" s="2931"/>
      <c r="M39" s="2931"/>
    </row>
    <row r="40" spans="1:18" ht="18" customHeight="1">
      <c r="A40" s="305" t="s">
        <v>1000</v>
      </c>
      <c r="B40" s="306" t="s">
        <v>1448</v>
      </c>
      <c r="C40" s="307">
        <f ca="1">ROUND(C39*(1-((1+F42)/(1+F40))^F41)/(F40-F42),0)</f>
        <v>34300</v>
      </c>
      <c r="D40" s="330" t="s">
        <v>1432</v>
      </c>
      <c r="E40" s="308" t="s">
        <v>1433</v>
      </c>
      <c r="F40" s="318">
        <f ca="1">INDIRECT("'数据-取费表'!I"&amp;$G$1)</f>
        <v>5.5E-2</v>
      </c>
      <c r="G40" s="1570"/>
      <c r="H40" s="1647"/>
      <c r="I40" s="1584"/>
      <c r="J40" s="1585"/>
      <c r="K40" s="2935"/>
      <c r="L40" s="1647"/>
      <c r="M40" s="1647"/>
    </row>
    <row r="41" spans="1:18" ht="18" customHeight="1">
      <c r="A41" s="310"/>
      <c r="B41" s="311"/>
      <c r="C41" s="312"/>
      <c r="D41" s="338" t="s">
        <v>1449</v>
      </c>
      <c r="E41" s="308" t="s">
        <v>1437</v>
      </c>
      <c r="F41" s="339">
        <f ca="1">IF(INDIRECT("'数据-取费表'!af"&amp;$G$1)=0,INDIRECT("'数据-取费表'!ae"&amp;$G$1),INDIRECT("'数据-取费表'!af"&amp;$G$1))</f>
        <v>27</v>
      </c>
      <c r="G41" s="1570"/>
      <c r="H41" s="1353"/>
      <c r="I41" s="1584"/>
      <c r="J41" s="1585"/>
      <c r="K41" s="2772"/>
      <c r="L41" s="1353"/>
      <c r="M41" s="1353"/>
    </row>
    <row r="42" spans="1:18" ht="18" customHeight="1">
      <c r="A42" s="314"/>
      <c r="B42" s="315"/>
      <c r="C42" s="316"/>
      <c r="D42" s="333"/>
      <c r="E42" s="308" t="s">
        <v>1440</v>
      </c>
      <c r="F42" s="318">
        <f ca="1">INDIRECT("'数据-取费表'!v"&amp;$G$1)</f>
        <v>0.03</v>
      </c>
      <c r="G42" s="1570"/>
      <c r="H42" s="1353"/>
      <c r="I42" s="1584"/>
      <c r="J42" s="1585"/>
      <c r="K42" s="2772"/>
      <c r="L42" s="1353"/>
      <c r="M42" s="1353"/>
    </row>
    <row r="43" spans="1:18" ht="18" customHeight="1" thickBot="1">
      <c r="A43" s="340" t="s">
        <v>1001</v>
      </c>
      <c r="B43" s="341" t="s">
        <v>1450</v>
      </c>
      <c r="C43" s="342">
        <f ca="1">ROUND(C40*10000/F43,0)</f>
        <v>27699</v>
      </c>
      <c r="D43" s="343" t="s">
        <v>1451</v>
      </c>
      <c r="E43" s="344" t="s">
        <v>1452</v>
      </c>
      <c r="F43" s="345">
        <f ca="1">INDIRECT("'数据-取费表'!k"&amp;$G$1)</f>
        <v>12383.28</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1482</v>
      </c>
      <c r="P45" s="1647"/>
      <c r="Q45" s="1647"/>
      <c r="R45" s="1647"/>
    </row>
    <row r="46" spans="1:18" s="1570" customFormat="1" ht="13.5" thickBot="1">
      <c r="A46" s="1590" t="s">
        <v>1483</v>
      </c>
      <c r="C46" s="1591">
        <f ca="1">C68-C40</f>
        <v>-41916</v>
      </c>
      <c r="D46" s="1592" t="str">
        <f>C2</f>
        <v>万元</v>
      </c>
      <c r="E46" s="1586"/>
      <c r="F46" s="1586"/>
      <c r="I46" s="1593" t="s">
        <v>1484</v>
      </c>
      <c r="J46" s="1594"/>
      <c r="K46" s="1595"/>
      <c r="L46" s="1596" t="str">
        <f ca="1">IF(M47="住宅",0,IF(L48&gt;J51,L60,J60))</f>
        <v>0</v>
      </c>
      <c r="O46" s="1597" t="s">
        <v>1485</v>
      </c>
      <c r="P46" s="1598" t="s">
        <v>1486</v>
      </c>
      <c r="Q46" s="1599" t="s">
        <v>1487</v>
      </c>
      <c r="R46" s="1599" t="s">
        <v>1488</v>
      </c>
    </row>
    <row r="47" spans="1:18" s="1570" customFormat="1" ht="13.5" thickBot="1">
      <c r="A47" s="1077" t="s">
        <v>1359</v>
      </c>
      <c r="B47" s="1109" t="s">
        <v>1360</v>
      </c>
      <c r="C47" s="1277" t="s">
        <v>1361</v>
      </c>
      <c r="D47" s="1109" t="s">
        <v>1362</v>
      </c>
      <c r="E47" s="1189" t="s">
        <v>1363</v>
      </c>
      <c r="F47" s="1190"/>
      <c r="G47" s="731"/>
      <c r="I47" s="1600" t="s">
        <v>1489</v>
      </c>
      <c r="J47" s="1601" t="s">
        <v>3132</v>
      </c>
      <c r="K47" s="1602" t="s">
        <v>1490</v>
      </c>
      <c r="L47" s="1603">
        <f ca="1">INDIRECT("'数据-取费表'!d"&amp;$G$1)</f>
        <v>40</v>
      </c>
      <c r="M47" s="1566" t="str">
        <f>IF(ISNUMBER(FIND("住宅",C1)),"住宅","非住宅")</f>
        <v>非住宅</v>
      </c>
      <c r="O47" s="1604" t="s">
        <v>1008</v>
      </c>
      <c r="P47" s="1605" t="s">
        <v>1491</v>
      </c>
      <c r="Q47" s="1606">
        <f ca="1">C40+J29</f>
        <v>34300</v>
      </c>
      <c r="R47" s="1606" t="s">
        <v>1492</v>
      </c>
    </row>
    <row r="48" spans="1:18" s="1570" customFormat="1" ht="28.5" thickBot="1">
      <c r="A48" s="1270" t="s">
        <v>1103</v>
      </c>
      <c r="B48" s="306" t="s">
        <v>1364</v>
      </c>
      <c r="C48" s="1545">
        <f ca="1">C49+C53+C55</f>
        <v>0</v>
      </c>
      <c r="D48" s="1272"/>
      <c r="E48" s="1273"/>
      <c r="F48" s="1093"/>
      <c r="G48" s="731"/>
      <c r="H48" s="732"/>
      <c r="I48" s="1607" t="s">
        <v>1493</v>
      </c>
      <c r="J48" s="1608" t="s">
        <v>3133</v>
      </c>
      <c r="K48" s="1609" t="s">
        <v>1494</v>
      </c>
      <c r="L48" s="1610">
        <f ca="1">INDIRECT("'数据-取费表'!f"&amp;$G$1)</f>
        <v>27</v>
      </c>
      <c r="O48" s="1604" t="s">
        <v>1009</v>
      </c>
      <c r="P48" s="1605" t="s">
        <v>1495</v>
      </c>
      <c r="Q48" s="1606" t="str">
        <f ca="1">J60</f>
        <v>0</v>
      </c>
      <c r="R48" s="1606" t="s">
        <v>1496</v>
      </c>
    </row>
    <row r="49" spans="1:18" s="1570" customFormat="1" ht="13.5" thickBot="1">
      <c r="A49" s="1106" t="s">
        <v>1104</v>
      </c>
      <c r="B49" s="1557" t="s">
        <v>1453</v>
      </c>
      <c r="C49" s="1274">
        <f ca="1">ROUND(F49*F51*F50*(1-F52)/10000,0)</f>
        <v>0</v>
      </c>
      <c r="D49" s="1186" t="s">
        <v>2851</v>
      </c>
      <c r="E49" s="1558" t="s">
        <v>1454</v>
      </c>
      <c r="F49" s="1191"/>
      <c r="G49" s="1611"/>
      <c r="H49" s="732"/>
      <c r="I49" s="1607" t="s">
        <v>1497</v>
      </c>
      <c r="J49" s="1612">
        <v>2000</v>
      </c>
      <c r="K49" s="1609" t="s">
        <v>1498</v>
      </c>
      <c r="L49" s="1613"/>
      <c r="O49" s="1614" t="s">
        <v>1010</v>
      </c>
      <c r="P49" s="1605" t="s">
        <v>1499</v>
      </c>
      <c r="Q49" s="1606">
        <f ca="1">C29</f>
        <v>5468</v>
      </c>
      <c r="R49" s="1606" t="s">
        <v>1492</v>
      </c>
    </row>
    <row r="50" spans="1:18" s="1570" customFormat="1" ht="13.5" thickBot="1">
      <c r="A50" s="1107"/>
      <c r="B50" s="1110"/>
      <c r="C50" s="1278"/>
      <c r="D50" s="1084"/>
      <c r="E50" s="1187" t="s">
        <v>1369</v>
      </c>
      <c r="F50" s="1188">
        <f ca="1">F7</f>
        <v>12383.28</v>
      </c>
      <c r="H50" s="732"/>
      <c r="I50" s="1607" t="s">
        <v>1500</v>
      </c>
      <c r="J50" s="1615">
        <f>SUMPRODUCT((I63:I65=J47)*(J62:L62=J48)*(J63:L65))</f>
        <v>60</v>
      </c>
      <c r="K50" s="1609" t="s">
        <v>1501</v>
      </c>
      <c r="L50" s="1613"/>
      <c r="M50" s="1616"/>
      <c r="O50" s="1614" t="s">
        <v>1011</v>
      </c>
      <c r="P50" s="1605" t="s">
        <v>1502</v>
      </c>
      <c r="Q50" s="1617" t="e">
        <f ca="1">J58</f>
        <v>#VALUE!</v>
      </c>
      <c r="R50" s="1606"/>
    </row>
    <row r="51" spans="1:18" s="1570" customFormat="1" ht="13.5" thickBot="1">
      <c r="A51" s="1108"/>
      <c r="B51" s="1110"/>
      <c r="C51" s="1111"/>
      <c r="D51" s="1084"/>
      <c r="E51" s="1112" t="s">
        <v>1370</v>
      </c>
      <c r="F51" s="309">
        <f ca="1">F8</f>
        <v>365</v>
      </c>
      <c r="I51" s="1618" t="s">
        <v>1503</v>
      </c>
      <c r="J51" s="1619">
        <f>IF(J49="",J50,J49+J50-YEAR('数据-取费表'!B2))</f>
        <v>40</v>
      </c>
      <c r="K51" s="1620" t="s">
        <v>1504</v>
      </c>
      <c r="L51" s="1621">
        <f ca="1">ROUND(-PV(INDIRECT("'数据-取费表'!h"&amp;$G$1),J51,(C39-C13*C76),0),0)</f>
        <v>24714</v>
      </c>
      <c r="M51" s="1622"/>
      <c r="O51" s="1614" t="s">
        <v>1012</v>
      </c>
      <c r="P51" s="1605" t="s">
        <v>1505</v>
      </c>
      <c r="Q51" s="1617">
        <f>J52</f>
        <v>8.5000000000000006E-2</v>
      </c>
      <c r="R51" s="1606"/>
    </row>
    <row r="52" spans="1:18" s="1570" customFormat="1" ht="13.5" thickBot="1">
      <c r="A52" s="1108"/>
      <c r="B52" s="1110"/>
      <c r="C52" s="1111"/>
      <c r="D52" s="1084"/>
      <c r="E52" s="1112" t="s">
        <v>1371</v>
      </c>
      <c r="F52" s="1185"/>
      <c r="I52" s="1623" t="s">
        <v>1506</v>
      </c>
      <c r="J52" s="1624">
        <v>8.5000000000000006E-2</v>
      </c>
      <c r="K52" s="1623" t="s">
        <v>1507</v>
      </c>
      <c r="L52" s="1624"/>
      <c r="O52" s="1614" t="s">
        <v>1013</v>
      </c>
      <c r="P52" s="1605" t="s">
        <v>1508</v>
      </c>
      <c r="Q52" s="1606">
        <f ca="1">J53</f>
        <v>27</v>
      </c>
      <c r="R52" s="1606" t="s">
        <v>1509</v>
      </c>
    </row>
    <row r="53" spans="1:18" s="1570" customFormat="1" ht="24.75" thickBot="1">
      <c r="A53" s="1314" t="s">
        <v>1105</v>
      </c>
      <c r="B53" s="1559" t="s">
        <v>1372</v>
      </c>
      <c r="C53" s="322">
        <f ca="1">ROUND(IF(F53="押一",C49/12*F11,IF(F53="押二",C49/12*2*F11,IF(F53="押三",C49/12*3*F11,C54*F11))),0)</f>
        <v>0</v>
      </c>
      <c r="D53" s="1552" t="s">
        <v>2857</v>
      </c>
      <c r="E53" s="319" t="s">
        <v>1373</v>
      </c>
      <c r="F53" s="1276"/>
      <c r="I53" s="1625" t="s">
        <v>1510</v>
      </c>
      <c r="J53" s="2388">
        <f ca="1">IF(M47="住宅",IF(D1="——",MAX(J51,L48),MAX(J51,L48-'数据-取费表'!B24)),IF(D1="——",MIN(J51,L48),MIN(J51,L48-'数据-取费表'!B24)))</f>
        <v>27</v>
      </c>
      <c r="K53" s="3298" t="s">
        <v>1511</v>
      </c>
      <c r="L53" s="3299"/>
      <c r="O53" s="1604" t="s">
        <v>1014</v>
      </c>
      <c r="P53" s="1605" t="s">
        <v>1512</v>
      </c>
      <c r="Q53" s="1606">
        <f ca="1">Q47+Q48</f>
        <v>34300</v>
      </c>
      <c r="R53" s="1606" t="s">
        <v>1015</v>
      </c>
    </row>
    <row r="54" spans="1:18" s="1570" customFormat="1" ht="13.5" thickBot="1">
      <c r="A54" s="1315"/>
      <c r="B54" s="1553" t="s">
        <v>1351</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1513</v>
      </c>
      <c r="P54" s="1567"/>
      <c r="Q54" s="1567"/>
      <c r="R54" s="1567"/>
    </row>
    <row r="55" spans="1:18" s="1570" customFormat="1" ht="13.5" thickBot="1">
      <c r="A55" s="1243" t="s">
        <v>1043</v>
      </c>
      <c r="B55" s="1555" t="s">
        <v>1376</v>
      </c>
      <c r="C55" s="1244"/>
      <c r="D55" s="1552"/>
      <c r="E55" s="1560"/>
      <c r="F55" s="1626"/>
      <c r="I55" s="1629" t="s">
        <v>1514</v>
      </c>
      <c r="J55" s="1630" t="e">
        <f ca="1">ROUND(IF(J47="钢混",J57/J50,1-(1-2%)*(J50-J57)/J50),3)</f>
        <v>#VALUE!</v>
      </c>
      <c r="K55" s="1631" t="s">
        <v>1515</v>
      </c>
      <c r="L55" s="1632" t="s">
        <v>1516</v>
      </c>
      <c r="O55" s="1597" t="s">
        <v>1485</v>
      </c>
      <c r="P55" s="1598" t="s">
        <v>1486</v>
      </c>
      <c r="Q55" s="1599" t="s">
        <v>1487</v>
      </c>
      <c r="R55" s="1599" t="s">
        <v>1488</v>
      </c>
    </row>
    <row r="56" spans="1:18" s="1570" customFormat="1" ht="25.5" thickTop="1" thickBot="1">
      <c r="A56" s="1088">
        <v>2</v>
      </c>
      <c r="B56" s="1089" t="s">
        <v>1377</v>
      </c>
      <c r="C56" s="238">
        <f ca="1">C13</f>
        <v>4484</v>
      </c>
      <c r="D56" s="1633"/>
      <c r="E56" s="1634"/>
      <c r="F56" s="1626"/>
      <c r="I56" s="1635" t="s">
        <v>1517</v>
      </c>
      <c r="J56" s="1636" t="s">
        <v>3117</v>
      </c>
      <c r="K56" s="1607" t="s">
        <v>1518</v>
      </c>
      <c r="L56" s="1610" t="str">
        <f ca="1">IF(L48&lt;J51,"——",L48-J53)</f>
        <v>——</v>
      </c>
      <c r="O56" s="1604" t="s">
        <v>1008</v>
      </c>
      <c r="P56" s="1605" t="s">
        <v>1491</v>
      </c>
      <c r="Q56" s="1606">
        <f ca="1">C40+J29</f>
        <v>34300</v>
      </c>
      <c r="R56" s="1606" t="s">
        <v>1492</v>
      </c>
    </row>
    <row r="57" spans="1:18" s="1570" customFormat="1" ht="24.75" thickBot="1">
      <c r="A57" s="1637"/>
      <c r="B57" s="1081" t="s">
        <v>1441</v>
      </c>
      <c r="C57" s="244">
        <f ca="1">C29</f>
        <v>5468</v>
      </c>
      <c r="D57" s="1638"/>
      <c r="E57" s="1639"/>
      <c r="F57" s="1640"/>
      <c r="I57" s="1641" t="s">
        <v>1519</v>
      </c>
      <c r="J57" s="1642" t="str">
        <f ca="1">IF(OR(M47="住宅",J51&lt;L48,J56="是"),"——",J51-L48)</f>
        <v>——</v>
      </c>
      <c r="K57" s="1607" t="s">
        <v>1520</v>
      </c>
      <c r="L57" s="1610" t="str">
        <f ca="1">IF(L48&lt;J51,"——",IF(L55="比较法",L49,IF(L55="基准地价",L50,L51)))</f>
        <v>——</v>
      </c>
      <c r="O57" s="1604" t="s">
        <v>1009</v>
      </c>
      <c r="P57" s="1605" t="s">
        <v>1521</v>
      </c>
      <c r="Q57" s="1606">
        <f ca="1">L60</f>
        <v>0</v>
      </c>
      <c r="R57" s="1606" t="s">
        <v>1522</v>
      </c>
    </row>
    <row r="58" spans="1:18" s="1570" customFormat="1" ht="24.75" thickBot="1">
      <c r="A58" s="321" t="s">
        <v>998</v>
      </c>
      <c r="B58" s="1089" t="s">
        <v>1387</v>
      </c>
      <c r="C58" s="322">
        <f ca="1">ROUND(C59+C64+C65+C66,0)</f>
        <v>548</v>
      </c>
      <c r="D58" s="1091" t="s">
        <v>1388</v>
      </c>
      <c r="E58" s="1092"/>
      <c r="F58" s="1093"/>
      <c r="I58" s="1641" t="s">
        <v>1523</v>
      </c>
      <c r="J58" s="1643" t="e">
        <f ca="1">IF(J55&lt;0.4,0.4,J55)</f>
        <v>#VALUE!</v>
      </c>
      <c r="K58" s="1620" t="s">
        <v>1524</v>
      </c>
      <c r="L58" s="1610" t="e">
        <f ca="1">ROUND(POWER(1+L52,L47-L48)*(POWER(1+L52,L48)-1)/(POWER(1+L52,L47)-1),4)</f>
        <v>#DIV/0!</v>
      </c>
      <c r="O58" s="1614" t="s">
        <v>1010</v>
      </c>
      <c r="P58" s="1605" t="s">
        <v>1525</v>
      </c>
      <c r="Q58" s="1606">
        <f>IF(L55="比较法",L49,IF(L55="基准地价",L50,0))</f>
        <v>0</v>
      </c>
      <c r="R58" s="1606" t="s">
        <v>1492</v>
      </c>
    </row>
    <row r="59" spans="1:18" s="1570" customFormat="1" ht="24.75" thickBot="1">
      <c r="A59" s="1113" t="s">
        <v>1003</v>
      </c>
      <c r="B59" s="1081" t="s">
        <v>1392</v>
      </c>
      <c r="C59" s="2536">
        <f ca="1">ROUND(IF(AND(项目基本情况!B11="自然人",项目基本情况!B10="北京市"),C49*F59/(1+'数据-取费表'!C42),C60+C61+C62),0)</f>
        <v>459</v>
      </c>
      <c r="D59" s="1094" t="s">
        <v>1393</v>
      </c>
      <c r="E59" s="1095" t="s">
        <v>1394</v>
      </c>
      <c r="F59" s="2535" t="str">
        <f>IF(项目基本情况!B11="企业","——",IF('数据-取费表'!B10="住宅",IF(F49*F50*F51/12/(1+'数据-取费表'!F30)&gt;100000,4%,2.5%),IF(F49*F50*F51/12/(1+'数据-取费表'!F30)&gt;100000,12%,7%)))</f>
        <v>——</v>
      </c>
      <c r="I59" s="1641" t="s">
        <v>1526</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1527</v>
      </c>
      <c r="Q59" s="1617">
        <f>L52</f>
        <v>0</v>
      </c>
      <c r="R59" s="1606"/>
    </row>
    <row r="60" spans="1:18" s="1570" customFormat="1" ht="16.5" thickBot="1">
      <c r="A60" s="1113" t="s">
        <v>1002</v>
      </c>
      <c r="B60" s="1081" t="s">
        <v>1396</v>
      </c>
      <c r="C60" s="24">
        <f ca="1">IF(项目基本情况!B11="自然人","——",ROUND(C48*F60/(1+'数据-取费表'!C42),2))</f>
        <v>0</v>
      </c>
      <c r="D60" s="1095" t="s">
        <v>1397</v>
      </c>
      <c r="E60" s="1081" t="s">
        <v>1385</v>
      </c>
      <c r="F60" s="337">
        <f t="shared" ref="F60:F66" si="0">F32</f>
        <v>5.6000000000000001E-2</v>
      </c>
      <c r="I60" s="1644" t="s">
        <v>1528</v>
      </c>
      <c r="J60" s="1645" t="str">
        <f ca="1">IF(OR(M47="住宅",J51&lt;L48,J56="是"),"0",ROUND(J59/(1+J52)^J53,0))</f>
        <v>0</v>
      </c>
      <c r="K60" s="1646" t="s">
        <v>1529</v>
      </c>
      <c r="L60" s="1645">
        <f ca="1">IF(OR(M47="住宅",L48&lt;J51),0,ROUND(L57*(L58/L59-1),0))</f>
        <v>0</v>
      </c>
      <c r="O60" s="1614" t="s">
        <v>1012</v>
      </c>
      <c r="P60" s="1605" t="s">
        <v>1530</v>
      </c>
      <c r="Q60" s="1606" t="e">
        <f ca="1">L58</f>
        <v>#DIV/0!</v>
      </c>
      <c r="R60" s="1606" t="s">
        <v>1531</v>
      </c>
    </row>
    <row r="61" spans="1:18" s="1570" customFormat="1" ht="13.5" thickBot="1">
      <c r="A61" s="1113" t="s">
        <v>1455</v>
      </c>
      <c r="B61" s="1081" t="s">
        <v>1456</v>
      </c>
      <c r="C61" s="24">
        <f ca="1">IF(项目基本情况!B11="自然人","——",IF(D61="按租金收入计税",ROUND(C48*F61,2),IF(D61="按房产原值计税",ROUND(C57*F61*0.7,2),INDIRECT("'数据-取费表'!Aj"&amp;$G$1))))</f>
        <v>459.31</v>
      </c>
      <c r="D61" s="1556" t="s">
        <v>1401</v>
      </c>
      <c r="E61" s="1081" t="s">
        <v>1457</v>
      </c>
      <c r="F61" s="328">
        <f t="shared" si="0"/>
        <v>0.12</v>
      </c>
      <c r="I61" s="1647"/>
      <c r="J61" s="1647"/>
      <c r="K61" s="1647"/>
      <c r="L61" s="1647"/>
      <c r="O61" s="1614" t="s">
        <v>1013</v>
      </c>
      <c r="P61" s="1605" t="str">
        <f>K59</f>
        <v>建筑物剩余耐用年限下的土地年期修正系数Kn</v>
      </c>
      <c r="Q61" s="1606" t="e">
        <f ca="1">L59</f>
        <v>#DIV/0!</v>
      </c>
      <c r="R61" s="1606" t="s">
        <v>1532</v>
      </c>
    </row>
    <row r="62" spans="1:18" s="1570" customFormat="1" ht="13.5" thickBot="1">
      <c r="A62" s="1113" t="s">
        <v>1458</v>
      </c>
      <c r="B62" s="1080" t="s">
        <v>1459</v>
      </c>
      <c r="C62" s="25">
        <f ca="1">IF(项目基本情况!B11="自然人","——",ROUND(F62*F63/10000,2))</f>
        <v>0</v>
      </c>
      <c r="D62" s="1096" t="s">
        <v>1460</v>
      </c>
      <c r="E62" s="1081" t="s">
        <v>1461</v>
      </c>
      <c r="F62" s="331">
        <f t="shared" si="0"/>
        <v>0</v>
      </c>
      <c r="I62" s="1648" t="s">
        <v>1533</v>
      </c>
      <c r="J62" s="1649" t="s">
        <v>1534</v>
      </c>
      <c r="K62" s="1649" t="s">
        <v>1535</v>
      </c>
      <c r="L62" s="1649" t="s">
        <v>1536</v>
      </c>
      <c r="M62" s="1650" t="s">
        <v>1537</v>
      </c>
      <c r="O62" s="1604" t="s">
        <v>1014</v>
      </c>
      <c r="P62" s="1605" t="s">
        <v>1538</v>
      </c>
      <c r="Q62" s="1606">
        <f ca="1">Q56+Q57</f>
        <v>34300</v>
      </c>
      <c r="R62" s="1606" t="s">
        <v>1015</v>
      </c>
    </row>
    <row r="63" spans="1:18" s="1570" customFormat="1" ht="13.5" thickBot="1">
      <c r="A63" s="332"/>
      <c r="B63" s="1087"/>
      <c r="C63" s="29"/>
      <c r="D63" s="1097"/>
      <c r="E63" s="1081" t="s">
        <v>1462</v>
      </c>
      <c r="F63" s="309">
        <f t="shared" ca="1" si="0"/>
        <v>0</v>
      </c>
      <c r="I63" s="1648" t="s">
        <v>1539</v>
      </c>
      <c r="J63" s="1649">
        <v>70</v>
      </c>
      <c r="K63" s="1649">
        <v>50</v>
      </c>
      <c r="L63" s="1649">
        <v>80</v>
      </c>
      <c r="M63" s="1651">
        <v>0.02</v>
      </c>
      <c r="O63" s="1589" t="s">
        <v>1540</v>
      </c>
      <c r="P63" s="1567"/>
      <c r="Q63" s="1567"/>
      <c r="R63" s="1567"/>
    </row>
    <row r="64" spans="1:18" s="1570" customFormat="1" ht="13.5" thickBot="1">
      <c r="A64" s="1113" t="s">
        <v>1463</v>
      </c>
      <c r="B64" s="1081" t="s">
        <v>1464</v>
      </c>
      <c r="C64" s="24">
        <f ca="1">ROUND(C57*F64,1)</f>
        <v>82</v>
      </c>
      <c r="D64" s="1095" t="s">
        <v>1465</v>
      </c>
      <c r="E64" s="1081" t="s">
        <v>1457</v>
      </c>
      <c r="F64" s="334">
        <f t="shared" ca="1" si="0"/>
        <v>1.4999999999999999E-2</v>
      </c>
      <c r="I64" s="1648" t="s">
        <v>1541</v>
      </c>
      <c r="J64" s="1649">
        <v>50</v>
      </c>
      <c r="K64" s="1649">
        <v>35</v>
      </c>
      <c r="L64" s="1649">
        <v>60</v>
      </c>
      <c r="M64" s="1650">
        <v>0</v>
      </c>
      <c r="O64" s="1597" t="s">
        <v>1485</v>
      </c>
      <c r="P64" s="1598" t="s">
        <v>1486</v>
      </c>
      <c r="Q64" s="1599" t="s">
        <v>1487</v>
      </c>
      <c r="R64" s="1599" t="s">
        <v>1488</v>
      </c>
    </row>
    <row r="65" spans="1:18" s="1570" customFormat="1" ht="13.5" thickBot="1">
      <c r="A65" s="1113" t="s">
        <v>1466</v>
      </c>
      <c r="B65" s="1081" t="s">
        <v>1416</v>
      </c>
      <c r="C65" s="24">
        <f ca="1">ROUND(C56*F65,1)</f>
        <v>6.7</v>
      </c>
      <c r="D65" s="1095" t="s">
        <v>1417</v>
      </c>
      <c r="E65" s="1081" t="s">
        <v>1418</v>
      </c>
      <c r="F65" s="336">
        <f t="shared" ca="1" si="0"/>
        <v>1.5E-3</v>
      </c>
      <c r="I65" s="1648" t="s">
        <v>1542</v>
      </c>
      <c r="J65" s="1649">
        <v>40</v>
      </c>
      <c r="K65" s="1649">
        <v>30</v>
      </c>
      <c r="L65" s="1649">
        <v>50</v>
      </c>
      <c r="M65" s="1651">
        <v>0.02</v>
      </c>
      <c r="O65" s="1604" t="s">
        <v>1008</v>
      </c>
      <c r="P65" s="1605" t="s">
        <v>1543</v>
      </c>
      <c r="Q65" s="1606">
        <f ca="1">C40+J29</f>
        <v>34300</v>
      </c>
      <c r="R65" s="1606" t="s">
        <v>1492</v>
      </c>
    </row>
    <row r="66" spans="1:18" s="1570" customFormat="1" ht="16.5" thickBot="1">
      <c r="A66" s="1113" t="s">
        <v>1467</v>
      </c>
      <c r="B66" s="1081" t="s">
        <v>1402</v>
      </c>
      <c r="C66" s="24">
        <f ca="1">ROUND(C48*F66,1)</f>
        <v>0</v>
      </c>
      <c r="D66" s="1095" t="s">
        <v>1468</v>
      </c>
      <c r="E66" s="1081" t="s">
        <v>1385</v>
      </c>
      <c r="F66" s="318">
        <f t="shared" ca="1" si="0"/>
        <v>1.4999999999999999E-2</v>
      </c>
      <c r="O66" s="1604" t="s">
        <v>1009</v>
      </c>
      <c r="P66" s="1605" t="s">
        <v>1521</v>
      </c>
      <c r="Q66" s="1606">
        <f ca="1">L60</f>
        <v>0</v>
      </c>
      <c r="R66" s="1606" t="s">
        <v>1544</v>
      </c>
    </row>
    <row r="67" spans="1:18" s="1570" customFormat="1" ht="16.5" thickBot="1">
      <c r="A67" s="1088" t="s">
        <v>999</v>
      </c>
      <c r="B67" s="1098" t="s">
        <v>1426</v>
      </c>
      <c r="C67" s="322">
        <f ca="1">C48-C58</f>
        <v>-548</v>
      </c>
      <c r="D67" s="1094" t="s">
        <v>1427</v>
      </c>
      <c r="E67" s="1099"/>
      <c r="F67" s="1100"/>
      <c r="O67" s="1614" t="s">
        <v>1010</v>
      </c>
      <c r="P67" s="1605" t="s">
        <v>1525</v>
      </c>
      <c r="Q67" s="1652">
        <f ca="1">L51</f>
        <v>24714</v>
      </c>
      <c r="R67" s="1606" t="s">
        <v>1545</v>
      </c>
    </row>
    <row r="68" spans="1:18" s="1570" customFormat="1" ht="16.5" thickBot="1">
      <c r="A68" s="1078" t="s">
        <v>1000</v>
      </c>
      <c r="B68" s="1079" t="s">
        <v>1448</v>
      </c>
      <c r="C68" s="307">
        <f ca="1">ROUND(C67*(1-((1+F70)/(1+F68))^F69)/(F68-F70),0)</f>
        <v>-7616</v>
      </c>
      <c r="D68" s="1096" t="s">
        <v>1432</v>
      </c>
      <c r="E68" s="1081" t="s">
        <v>1433</v>
      </c>
      <c r="F68" s="318">
        <f ca="1">F40</f>
        <v>5.5E-2</v>
      </c>
      <c r="O68" s="1614" t="s">
        <v>1011</v>
      </c>
      <c r="P68" s="1653" t="s">
        <v>1546</v>
      </c>
      <c r="Q68" s="1606">
        <f ca="1">ROUND(Q69-Q70*Q71,0)</f>
        <v>1440</v>
      </c>
      <c r="R68" s="1606" t="s">
        <v>1019</v>
      </c>
    </row>
    <row r="69" spans="1:18" s="1570" customFormat="1" ht="13.5" thickBot="1">
      <c r="A69" s="1082"/>
      <c r="B69" s="1083"/>
      <c r="C69" s="312"/>
      <c r="D69" s="1101" t="s">
        <v>1436</v>
      </c>
      <c r="E69" s="1081" t="s">
        <v>1437</v>
      </c>
      <c r="F69" s="339">
        <f ca="1">F41</f>
        <v>27</v>
      </c>
      <c r="O69" s="1614" t="s">
        <v>1016</v>
      </c>
      <c r="P69" s="1653" t="s">
        <v>1547</v>
      </c>
      <c r="Q69" s="1606">
        <f ca="1">C39</f>
        <v>1799</v>
      </c>
      <c r="R69" s="1606" t="s">
        <v>1492</v>
      </c>
    </row>
    <row r="70" spans="1:18" s="1570" customFormat="1" ht="13.5" thickBot="1">
      <c r="A70" s="1085"/>
      <c r="B70" s="1086"/>
      <c r="C70" s="316"/>
      <c r="D70" s="1097"/>
      <c r="E70" s="1081" t="s">
        <v>1440</v>
      </c>
      <c r="F70" s="1185"/>
      <c r="O70" s="1614" t="s">
        <v>1017</v>
      </c>
      <c r="P70" s="1653" t="s">
        <v>1548</v>
      </c>
      <c r="Q70" s="1606">
        <f ca="1">C13</f>
        <v>4484</v>
      </c>
      <c r="R70" s="1606" t="s">
        <v>1492</v>
      </c>
    </row>
    <row r="71" spans="1:18" s="1570" customFormat="1" ht="13.5" thickBot="1">
      <c r="A71" s="1102" t="s">
        <v>1001</v>
      </c>
      <c r="B71" s="1103" t="s">
        <v>1450</v>
      </c>
      <c r="C71" s="342">
        <f ca="1">ROUND(C68*10000/F71,0)</f>
        <v>-6150</v>
      </c>
      <c r="D71" s="1104" t="s">
        <v>1451</v>
      </c>
      <c r="E71" s="1105" t="s">
        <v>1452</v>
      </c>
      <c r="F71" s="345">
        <f ca="1">F43</f>
        <v>12383.28</v>
      </c>
      <c r="O71" s="1614" t="s">
        <v>1018</v>
      </c>
      <c r="P71" s="1653" t="s">
        <v>1549</v>
      </c>
      <c r="Q71" s="1617">
        <f ca="1">C76</f>
        <v>0.08</v>
      </c>
      <c r="R71" s="1606"/>
    </row>
    <row r="72" spans="1:18" s="1570" customFormat="1" ht="13.5" thickBot="1">
      <c r="B72" s="735"/>
      <c r="C72" s="735"/>
      <c r="O72" s="1614" t="s">
        <v>1012</v>
      </c>
      <c r="P72" s="1605" t="s">
        <v>1527</v>
      </c>
      <c r="Q72" s="1617">
        <f>L52</f>
        <v>0</v>
      </c>
      <c r="R72" s="1606"/>
    </row>
    <row r="73" spans="1:18" ht="16.5" thickBot="1">
      <c r="A73" s="1570"/>
      <c r="B73" s="735"/>
      <c r="C73" s="735"/>
      <c r="D73" s="1570"/>
      <c r="E73" s="1570"/>
      <c r="F73" s="1570"/>
      <c r="O73" s="1614" t="s">
        <v>1013</v>
      </c>
      <c r="P73" s="1605" t="s">
        <v>1530</v>
      </c>
      <c r="Q73" s="1606" t="e">
        <f ca="1">L58</f>
        <v>#DIV/0!</v>
      </c>
      <c r="R73" s="1606" t="s">
        <v>1531</v>
      </c>
    </row>
    <row r="74" spans="1:18" ht="13.5" thickBot="1">
      <c r="A74" s="1570"/>
      <c r="B74" s="279" t="s">
        <v>1550</v>
      </c>
      <c r="C74" s="1655"/>
      <c r="D74" s="1570"/>
      <c r="E74" s="1570"/>
      <c r="F74" s="1570"/>
      <c r="O74" s="1614" t="s">
        <v>1020</v>
      </c>
      <c r="P74" s="1605" t="str">
        <f>K59</f>
        <v>建筑物剩余耐用年限下的土地年期修正系数Kn</v>
      </c>
      <c r="Q74" s="1606" t="e">
        <f ca="1">L59</f>
        <v>#DIV/0!</v>
      </c>
      <c r="R74" s="1606" t="s">
        <v>1532</v>
      </c>
    </row>
    <row r="75" spans="1:18" ht="13.5" thickBot="1">
      <c r="A75" s="1570"/>
      <c r="B75" s="346" t="s">
        <v>1469</v>
      </c>
      <c r="C75" s="347">
        <f ca="1">ROUND(C13*C76,0)</f>
        <v>359</v>
      </c>
      <c r="D75" s="1570"/>
      <c r="E75" s="1570"/>
      <c r="F75" s="1570"/>
      <c r="K75" s="1588"/>
      <c r="L75" s="1570"/>
      <c r="O75" s="1604" t="s">
        <v>1014</v>
      </c>
      <c r="P75" s="1605" t="s">
        <v>1512</v>
      </c>
      <c r="Q75" s="1606">
        <f ca="1">Q65+Q66</f>
        <v>34300</v>
      </c>
      <c r="R75" s="1606" t="s">
        <v>1015</v>
      </c>
    </row>
    <row r="76" spans="1:18">
      <c r="B76" s="348" t="s">
        <v>1470</v>
      </c>
      <c r="C76" s="349">
        <f ca="1">INDIRECT("'数据-取费表'!j"&amp;$G$1)</f>
        <v>0.08</v>
      </c>
      <c r="I76" s="1570"/>
      <c r="J76" s="1570"/>
      <c r="K76" s="1588"/>
      <c r="L76" s="1570"/>
    </row>
    <row r="77" spans="1:18">
      <c r="B77" s="350" t="s">
        <v>1471</v>
      </c>
      <c r="C77" s="351"/>
      <c r="I77" s="1570"/>
      <c r="J77" s="1570"/>
      <c r="K77" s="1588"/>
      <c r="L77" s="1570"/>
    </row>
    <row r="78" spans="1:18">
      <c r="B78" s="276" t="s">
        <v>1472</v>
      </c>
      <c r="C78" s="352"/>
    </row>
    <row r="79" spans="1:18">
      <c r="B79" s="346" t="s">
        <v>1473</v>
      </c>
      <c r="C79" s="280">
        <f ca="1">1-C80</f>
        <v>0.8</v>
      </c>
    </row>
    <row r="80" spans="1:18">
      <c r="B80" s="346" t="s">
        <v>1474</v>
      </c>
      <c r="C80" s="280">
        <f ca="1">ROUND(C75/C39,3)</f>
        <v>0.2</v>
      </c>
    </row>
    <row r="81" spans="2:3">
      <c r="B81" s="276" t="s">
        <v>1475</v>
      </c>
      <c r="C81" s="244"/>
    </row>
    <row r="82" spans="2:3">
      <c r="B82" s="279" t="s">
        <v>1476</v>
      </c>
      <c r="C82" s="281">
        <f ca="1">1-C83</f>
        <v>0.86899999999999999</v>
      </c>
    </row>
    <row r="83" spans="2:3">
      <c r="B83" s="279" t="s">
        <v>1477</v>
      </c>
      <c r="C83" s="280">
        <f ca="1">ROUND(C13/C40,3)</f>
        <v>0.13100000000000001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6"/>
      <c r="C1" s="204"/>
      <c r="D1" s="204"/>
      <c r="E1" s="204"/>
      <c r="F1" s="204"/>
      <c r="G1" s="1288">
        <f>MATCH(B1,'数据-取费表'!A6:A16,0)+5</f>
        <v>7</v>
      </c>
    </row>
    <row r="2" spans="1:9" s="206" customFormat="1" ht="18" customHeight="1">
      <c r="A2" s="207" t="s">
        <v>2147</v>
      </c>
      <c r="B2" s="208">
        <f ca="1">IF(D2="——",C52,C52-E2)</f>
        <v>4825</v>
      </c>
      <c r="C2" s="205" t="s">
        <v>2148</v>
      </c>
      <c r="D2" s="2041" t="s">
        <v>70</v>
      </c>
      <c r="E2" s="1331" t="e">
        <f ca="1">SUMIF(INDIRECT("'"&amp;G2&amp;"'"&amp;"!A:A"),"承租人权益价值",INDIRECT("'"&amp;G2&amp;"'"&amp;"!c:c"))</f>
        <v>#REF!</v>
      </c>
      <c r="F2" s="2042" t="s">
        <v>2148</v>
      </c>
      <c r="G2" s="2043"/>
    </row>
    <row r="3" spans="1:9" s="206" customFormat="1" ht="18" customHeight="1" thickBot="1">
      <c r="A3" s="209" t="s">
        <v>2149</v>
      </c>
      <c r="B3" s="210">
        <f ca="1">ROUND(B2*10000/(IF(B1="",'数据-汇总表'!E3,INDIRECT("'数据-取费表'!k"&amp;$G$1))),0)</f>
        <v>3896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4"/>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5"/>
      <c r="H9" s="1299"/>
      <c r="I9" s="2046" t="s">
        <v>2164</v>
      </c>
    </row>
    <row r="10" spans="1:9" s="220" customFormat="1" ht="13.5" customHeight="1">
      <c r="A10" s="887" t="s">
        <v>801</v>
      </c>
      <c r="B10" s="230" t="s">
        <v>2165</v>
      </c>
      <c r="C10" s="231">
        <f ca="1">ROUND(D10*E10/10000,0)</f>
        <v>248</v>
      </c>
      <c r="D10" s="954">
        <f ca="1">IF(B1="",'数据-汇总表'!E6,IF(INDIRECT("'数据-取费表'!c"&amp;$G$1)="住宅",INDIRECT("'数据-取费表'!s"&amp;$G$1),INDIRECT("'数据-取费表'!k"&amp;$G$1)+INDIRECT("'数据-取费表'!s"&amp;$G$1)))</f>
        <v>12383.28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248</v>
      </c>
      <c r="D19" s="958">
        <f ca="1">D9+D10</f>
        <v>12383.28</v>
      </c>
      <c r="E19" s="217">
        <f>'数据-取费表'!B31</f>
        <v>200</v>
      </c>
      <c r="F19" s="237"/>
      <c r="G19" s="2044"/>
    </row>
    <row r="20" spans="1:7" s="220" customFormat="1" ht="13.5" customHeight="1">
      <c r="A20" s="261" t="s">
        <v>2178</v>
      </c>
      <c r="B20" s="216" t="s">
        <v>2179</v>
      </c>
      <c r="C20" s="238">
        <f ca="1">ROUND((C5+C19)*F20,0)</f>
        <v>5</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24</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24</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38</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38</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341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4130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3715</v>
      </c>
      <c r="D34" s="223"/>
      <c r="E34" s="226"/>
      <c r="F34" s="263">
        <f ca="1">IF('数据-取费表'!B24=0,1,IF(B1="",'数据-取费表'!N16,INDIRECT("'数据-取费表'!n"&amp;$G$1)))</f>
        <v>1</v>
      </c>
      <c r="G34" s="225" t="s">
        <v>2211</v>
      </c>
    </row>
    <row r="35" spans="1:7" ht="13.5" customHeight="1">
      <c r="A35" s="888" t="s">
        <v>796</v>
      </c>
      <c r="B35" s="221" t="s">
        <v>2212</v>
      </c>
      <c r="C35" s="226">
        <f ca="1">ROUND(C34*F35,0)</f>
        <v>111</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248</v>
      </c>
      <c r="D37" s="223">
        <f ca="1">D19</f>
        <v>12383.28</v>
      </c>
      <c r="E37" s="255">
        <f>'数据-取费表'!B35</f>
        <v>200</v>
      </c>
      <c r="F37" s="265"/>
      <c r="G37" s="267" t="s">
        <v>2217</v>
      </c>
    </row>
    <row r="38" spans="1:7" ht="13.5" customHeight="1">
      <c r="A38" s="888" t="s">
        <v>799</v>
      </c>
      <c r="B38" s="221" t="s">
        <v>2218</v>
      </c>
      <c r="C38" s="226">
        <f ca="1">ROUND(C34*F38,0)</f>
        <v>56</v>
      </c>
      <c r="D38" s="226"/>
      <c r="E38" s="226"/>
      <c r="F38" s="265">
        <f>'数据-取费表'!B36</f>
        <v>1.4999999999999999E-2</v>
      </c>
      <c r="G38" s="225" t="s">
        <v>2213</v>
      </c>
    </row>
    <row r="39" spans="1:7" s="220" customFormat="1" ht="13.5" customHeight="1">
      <c r="A39" s="261" t="s">
        <v>2219</v>
      </c>
      <c r="B39" s="216" t="s">
        <v>2220</v>
      </c>
      <c r="C39" s="238">
        <f ca="1">ROUND(C33*F20,0)</f>
        <v>83</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200</v>
      </c>
      <c r="D41" s="241">
        <f ca="1">C44</f>
        <v>1E-3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196</v>
      </c>
      <c r="D42" s="244"/>
      <c r="E42" s="244"/>
      <c r="F42" s="245"/>
      <c r="G42" s="3303" t="s">
        <v>2229</v>
      </c>
    </row>
    <row r="43" spans="1:7" ht="13.5" customHeight="1">
      <c r="A43" s="888" t="s">
        <v>792</v>
      </c>
      <c r="B43" s="221" t="s">
        <v>2230</v>
      </c>
      <c r="C43" s="244">
        <f ca="1">ROUND(IF('数据-取费表'!B22&lt;=1,C39*F22*'数据-取费表'!B21/2,C39*(POWER((1+F22),'数据-取费表'!B21/2)-1)),0)</f>
        <v>4</v>
      </c>
      <c r="D43" s="244"/>
      <c r="E43" s="244"/>
      <c r="F43" s="245"/>
      <c r="G43" s="3304"/>
    </row>
    <row r="44" spans="1:7" ht="13.5" customHeight="1">
      <c r="A44" s="888" t="s">
        <v>793</v>
      </c>
      <c r="B44" s="221" t="s">
        <v>2231</v>
      </c>
      <c r="C44" s="244">
        <f ca="1">ROUND(IF('数据-取费表'!B22&lt;=1,C40*F22*'数据-取费表'!B21/2,C40*(POWER((1+F22),'数据-取费表'!B21/2)-1)),4)</f>
        <v>1E-3</v>
      </c>
      <c r="D44" s="244"/>
      <c r="E44" s="244"/>
      <c r="F44" s="245"/>
      <c r="G44" s="3305"/>
    </row>
    <row r="45" spans="1:7" s="220" customFormat="1" ht="13.5" customHeight="1">
      <c r="A45" s="261" t="s">
        <v>2232</v>
      </c>
      <c r="B45" s="250" t="s">
        <v>2198</v>
      </c>
      <c r="C45" s="251">
        <f ca="1">C46</f>
        <v>632</v>
      </c>
      <c r="D45" s="241">
        <f ca="1">C47</f>
        <v>3.0000000000000001E-3</v>
      </c>
      <c r="E45" s="242" t="s">
        <v>2224</v>
      </c>
      <c r="F45" s="2539">
        <f ca="1">F27</f>
        <v>0.15</v>
      </c>
      <c r="G45" s="253" t="s">
        <v>2233</v>
      </c>
    </row>
    <row r="46" spans="1:7" s="220" customFormat="1" ht="13.5" customHeight="1">
      <c r="A46" s="888" t="s">
        <v>791</v>
      </c>
      <c r="B46" s="254" t="s">
        <v>2234</v>
      </c>
      <c r="C46" s="255">
        <f ca="1">ROUND((C33+C39)*F27,0)</f>
        <v>632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7">
        <f>ROUND(F30/(1+'数据-取费表'!C42),4)</f>
        <v>5.33E-2</v>
      </c>
      <c r="D48" s="242" t="s">
        <v>2224</v>
      </c>
      <c r="E48" s="238"/>
      <c r="F48" s="2538">
        <f>F30</f>
        <v>5.6000000000000001E-2</v>
      </c>
      <c r="G48" s="240" t="s">
        <v>2237</v>
      </c>
    </row>
    <row r="49" spans="1:7" ht="16.5" customHeight="1">
      <c r="A49" s="261" t="s">
        <v>2203</v>
      </c>
      <c r="B49" s="216" t="s">
        <v>2238</v>
      </c>
      <c r="C49" s="238">
        <f ca="1">ROUND((C33+C39+C41+C45)/(1-C40-D41-D45-C48),0)</f>
        <v>5468</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4484</v>
      </c>
      <c r="D51" s="238"/>
      <c r="E51" s="238"/>
      <c r="F51" s="270"/>
      <c r="G51" s="240" t="s">
        <v>2245</v>
      </c>
    </row>
    <row r="52" spans="1:7" s="214" customFormat="1" ht="16.5" thickBot="1">
      <c r="A52" s="271" t="s">
        <v>2246</v>
      </c>
      <c r="B52" s="272"/>
      <c r="C52" s="273">
        <f ca="1">C31+C51</f>
        <v>4825</v>
      </c>
      <c r="D52" s="272"/>
      <c r="E52" s="272"/>
      <c r="F52" s="272"/>
      <c r="G52" s="274"/>
    </row>
    <row r="55" spans="1:7" ht="15">
      <c r="B55" s="276" t="s">
        <v>2247</v>
      </c>
      <c r="C55" s="277"/>
    </row>
    <row r="56" spans="1:7">
      <c r="B56" s="279" t="s">
        <v>1476</v>
      </c>
      <c r="C56" s="281">
        <f ca="1">1-C57</f>
        <v>7.0999999999999952E-2</v>
      </c>
    </row>
    <row r="57" spans="1:7">
      <c r="B57" s="279" t="s">
        <v>1477</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6"/>
      <c r="C1" s="2047"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5165</v>
      </c>
      <c r="C2" s="205" t="s">
        <v>2148</v>
      </c>
      <c r="D2" s="2041" t="s">
        <v>70</v>
      </c>
      <c r="E2" s="1331" t="e">
        <f ca="1">SUMIF(INDIRECT("'"&amp;G2&amp;"'"&amp;"!A:A"),"承租人权益价值",INDIRECT("'"&amp;G2&amp;"'"&amp;"!c:c"))</f>
        <v>#REF!</v>
      </c>
      <c r="F2" s="2042" t="s">
        <v>2148</v>
      </c>
      <c r="G2" s="2043"/>
    </row>
    <row r="3" spans="1:8" s="206" customFormat="1" ht="18" customHeight="1" thickBot="1">
      <c r="A3" s="209" t="s">
        <v>2149</v>
      </c>
      <c r="B3" s="210">
        <f ca="1">ROUND(B2*10000/(IF(B1="",'数据-汇总表'!E3,INDIRECT("'数据-取费表'!k"&amp;$G$1))),0)</f>
        <v>4171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2476656</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2476656</v>
      </c>
      <c r="D8" s="228"/>
      <c r="E8" s="226"/>
      <c r="F8" s="227"/>
      <c r="G8" s="2044"/>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2476656</v>
      </c>
      <c r="D10" s="954">
        <f ca="1">IF(B1="",'数据-汇总表'!E6,IF(INDIRECT("'数据-取费表'!c"&amp;$G$1)="住宅",INDIRECT("'数据-取费表'!s"&amp;$G$1),INDIRECT("'数据-取费表'!k"&amp;$G$1)+INDIRECT("'数据-取费表'!s"&amp;$G$1)))</f>
        <v>12383.28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2476656</v>
      </c>
      <c r="D19" s="958">
        <f ca="1">D9+D10</f>
        <v>12383.28</v>
      </c>
      <c r="E19" s="217">
        <f>'数据-取费表'!B31</f>
        <v>200</v>
      </c>
      <c r="F19" s="237"/>
      <c r="G19" s="2044"/>
    </row>
    <row r="20" spans="1:7" s="220" customFormat="1" ht="13.5" customHeight="1">
      <c r="A20" s="261" t="s">
        <v>2259</v>
      </c>
      <c r="B20" s="216" t="s">
        <v>2260</v>
      </c>
      <c r="C20" s="238">
        <f ca="1">ROUND((C5+C19)*F20,0)</f>
        <v>99066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486446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240870</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240870</v>
      </c>
      <c r="D24" s="244"/>
      <c r="E24" s="244"/>
      <c r="F24" s="245"/>
      <c r="G24" s="246" t="s">
        <v>2271</v>
      </c>
    </row>
    <row r="25" spans="1:7" s="220" customFormat="1" ht="24">
      <c r="A25" s="888" t="s">
        <v>2161</v>
      </c>
      <c r="B25" s="221" t="s">
        <v>2272</v>
      </c>
      <c r="C25" s="1290">
        <f ca="1">ROUND(IF('数据-取费表'!B22&lt;=1,C20*F22*'数据-取费表'!B22/2,C20*(POWER((1+F22),'数据-取费表'!B22/2)-1)),0)</f>
        <v>4706</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757857</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757857</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6824191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41298239</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37149840</v>
      </c>
      <c r="D34" s="223"/>
      <c r="E34" s="226"/>
      <c r="F34" s="263"/>
      <c r="G34" s="225"/>
    </row>
    <row r="35" spans="1:7" ht="13.5" customHeight="1">
      <c r="A35" s="888" t="s">
        <v>796</v>
      </c>
      <c r="B35" s="221" t="s">
        <v>2212</v>
      </c>
      <c r="C35" s="226">
        <f ca="1">ROUND(C34*F35,0)</f>
        <v>1114495</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2476656</v>
      </c>
      <c r="D37" s="223">
        <f ca="1">D19</f>
        <v>12383.28</v>
      </c>
      <c r="E37" s="255">
        <f>'数据-取费表'!B35</f>
        <v>200</v>
      </c>
      <c r="F37" s="265"/>
      <c r="G37" s="267"/>
    </row>
    <row r="38" spans="1:7" ht="13.5" customHeight="1">
      <c r="A38" s="888" t="s">
        <v>799</v>
      </c>
      <c r="B38" s="221" t="s">
        <v>2218</v>
      </c>
      <c r="C38" s="226">
        <f ca="1">ROUND(C34*F38,0)</f>
        <v>557248</v>
      </c>
      <c r="D38" s="226"/>
      <c r="E38" s="226"/>
      <c r="F38" s="265">
        <f>'数据-取费表'!B36</f>
        <v>1.4999999999999999E-2</v>
      </c>
      <c r="G38" s="225" t="s">
        <v>2213</v>
      </c>
    </row>
    <row r="39" spans="1:7" s="220" customFormat="1" ht="13.5" customHeight="1">
      <c r="A39" s="261" t="s">
        <v>2219</v>
      </c>
      <c r="B39" s="216" t="s">
        <v>2220</v>
      </c>
      <c r="C39" s="238">
        <f ca="1">ROUND(C33*F20,0)</f>
        <v>825965</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2000899</v>
      </c>
      <c r="D41" s="241">
        <f ca="1">C44</f>
        <v>1E-3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1961666</v>
      </c>
      <c r="D42" s="244"/>
      <c r="E42" s="244"/>
      <c r="F42" s="245"/>
      <c r="G42" s="3303" t="s">
        <v>2276</v>
      </c>
    </row>
    <row r="43" spans="1:7" ht="13.5" customHeight="1">
      <c r="A43" s="888" t="s">
        <v>792</v>
      </c>
      <c r="B43" s="221" t="s">
        <v>2230</v>
      </c>
      <c r="C43" s="244">
        <f ca="1">ROUND(IF('数据-取费表'!B22&lt;=1,C39*F22*'数据-取费表'!B20/2,C39*(POWER((1+F22),'数据-取费表'!B20/2)-1)),0)</f>
        <v>39233</v>
      </c>
      <c r="D43" s="244"/>
      <c r="E43" s="244"/>
      <c r="F43" s="245"/>
      <c r="G43" s="3304"/>
    </row>
    <row r="44" spans="1:7" ht="13.5" customHeight="1">
      <c r="A44" s="888" t="s">
        <v>793</v>
      </c>
      <c r="B44" s="221" t="s">
        <v>2231</v>
      </c>
      <c r="C44" s="244">
        <f ca="1">ROUND(IF('数据-取费表'!B22&lt;=1,C40*F22*'数据-取费表'!B20/2,C40*(POWER((1+F22),'数据-取费表'!B20/2)-1)),4)</f>
        <v>1E-3</v>
      </c>
      <c r="D44" s="244"/>
      <c r="E44" s="244"/>
      <c r="F44" s="245"/>
      <c r="G44" s="3305"/>
    </row>
    <row r="45" spans="1:7" s="220" customFormat="1" ht="13.5" customHeight="1">
      <c r="A45" s="261" t="s">
        <v>2232</v>
      </c>
      <c r="B45" s="250" t="s">
        <v>2198</v>
      </c>
      <c r="C45" s="251">
        <f ca="1">C46</f>
        <v>6318631</v>
      </c>
      <c r="D45" s="241">
        <f ca="1">C47</f>
        <v>3.0000000000000001E-3</v>
      </c>
      <c r="E45" s="242" t="s">
        <v>2224</v>
      </c>
      <c r="F45" s="2539">
        <f ca="1">F27</f>
        <v>0.15</v>
      </c>
      <c r="G45" s="253" t="s">
        <v>2233</v>
      </c>
    </row>
    <row r="46" spans="1:7" s="220" customFormat="1" ht="13.5" customHeight="1">
      <c r="A46" s="888" t="s">
        <v>791</v>
      </c>
      <c r="B46" s="254" t="s">
        <v>2234</v>
      </c>
      <c r="C46" s="255">
        <f ca="1">ROUND((C33+C39)*F27,0)</f>
        <v>6318631</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8">
        <f>F30</f>
        <v>5.6000000000000001E-2</v>
      </c>
      <c r="G48" s="240" t="s">
        <v>2237</v>
      </c>
    </row>
    <row r="49" spans="1:7" ht="16.5" customHeight="1">
      <c r="A49" s="261" t="s">
        <v>2203</v>
      </c>
      <c r="B49" s="216" t="s">
        <v>2277</v>
      </c>
      <c r="C49" s="238">
        <f ca="1">ROUND((C33+C39+C41+C45)/(1-C40-D41-D45-C48),0)</f>
        <v>54669702</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44829156</v>
      </c>
      <c r="D51" s="238"/>
      <c r="E51" s="238"/>
      <c r="F51" s="270"/>
      <c r="G51" s="240" t="s">
        <v>2245</v>
      </c>
    </row>
    <row r="52" spans="1:7" s="214" customFormat="1" ht="16.5" thickBot="1">
      <c r="A52" s="271" t="s">
        <v>2246</v>
      </c>
      <c r="B52" s="272"/>
      <c r="C52" s="273">
        <f ca="1">C31+C51</f>
        <v>51653347</v>
      </c>
      <c r="D52" s="272"/>
      <c r="E52" s="272"/>
      <c r="F52" s="272"/>
      <c r="G52" s="274"/>
    </row>
    <row r="55" spans="1:7" ht="15">
      <c r="B55" s="276" t="s">
        <v>2247</v>
      </c>
      <c r="C55" s="277"/>
    </row>
    <row r="56" spans="1:7">
      <c r="B56" s="279" t="s">
        <v>1476</v>
      </c>
      <c r="C56" s="281">
        <f ca="1">1-C57</f>
        <v>0.13200000000000001</v>
      </c>
    </row>
    <row r="57" spans="1:7">
      <c r="B57" s="279" t="s">
        <v>1477</v>
      </c>
      <c r="C57" s="280">
        <f ca="1">ROUND(C51/C52,3)</f>
        <v>0.86799999999999999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9"/>
      <c r="F1" s="3039"/>
      <c r="G1" s="2902"/>
      <c r="H1" s="3039"/>
      <c r="I1" s="3039"/>
      <c r="J1" s="3039"/>
      <c r="K1" s="3040">
        <f>MATCH(C1,'数据-取费表'!A6:A16,0)+5</f>
        <v>7</v>
      </c>
    </row>
    <row r="2" spans="1:33" ht="18" customHeight="1">
      <c r="A2" s="207" t="s">
        <v>2147</v>
      </c>
      <c r="B2" s="210">
        <f ca="1">C32</f>
        <v>-283</v>
      </c>
      <c r="C2" s="282" t="s">
        <v>2280</v>
      </c>
      <c r="D2" s="282"/>
      <c r="E2" s="3039"/>
      <c r="F2" s="3039"/>
      <c r="G2" s="3039"/>
      <c r="H2" s="3039"/>
      <c r="I2" s="3039"/>
      <c r="J2" s="3039"/>
      <c r="K2" s="3039"/>
    </row>
    <row r="3" spans="1:33" ht="18" customHeight="1" thickBot="1">
      <c r="A3" s="209" t="s">
        <v>2149</v>
      </c>
      <c r="B3" s="210">
        <f ca="1">ROUND(B2*10000/IF(C1="",'数据-汇总表'!E3,INDIRECT("'数据-取费表'!K"&amp;$K$1)),0)</f>
        <v>-229</v>
      </c>
      <c r="C3" s="282" t="s">
        <v>2281</v>
      </c>
      <c r="D3" s="282"/>
      <c r="E3" s="3039"/>
      <c r="F3" s="3039"/>
      <c r="G3" s="3039"/>
      <c r="H3" s="3039"/>
      <c r="I3" s="3039"/>
      <c r="J3" s="3039"/>
      <c r="K3" s="3039"/>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8" t="s">
        <v>2285</v>
      </c>
      <c r="D5" s="2048" t="s">
        <v>2286</v>
      </c>
      <c r="E5" s="2048" t="s">
        <v>2287</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12383.28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12383.28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248</v>
      </c>
      <c r="D18" s="955"/>
      <c r="E18" s="24"/>
      <c r="F18" s="913"/>
      <c r="G18" s="2050"/>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248</v>
      </c>
      <c r="D20" s="955">
        <f ca="1">IF(C1="",'数据-汇总表'!E6,IF(INDIRECT("'数据-取费表'!c"&amp;$K$1)="住宅",INDIRECT("'数据-取费表'!s"&amp;$K$1),INDIRECT("'数据-取费表'!k"&amp;$K$1)+INDIRECT("'数据-取费表'!s"&amp;$K$1)))</f>
        <v>12383.28</v>
      </c>
      <c r="E20" s="24">
        <f>'数据-取费表'!B28</f>
        <v>200</v>
      </c>
      <c r="F20" s="913"/>
      <c r="G20" s="15"/>
      <c r="H20" s="918"/>
      <c r="I20" s="918"/>
      <c r="J20" s="918"/>
      <c r="K20" s="919"/>
    </row>
    <row r="21" spans="1:33" s="912" customFormat="1" ht="13.5" customHeight="1">
      <c r="A21" s="898" t="s">
        <v>802</v>
      </c>
      <c r="B21" s="922" t="s">
        <v>2316</v>
      </c>
      <c r="C21" s="923">
        <f ca="1">C16+C17+C18</f>
        <v>248</v>
      </c>
      <c r="D21" s="924"/>
      <c r="E21" s="287"/>
      <c r="F21" s="287"/>
      <c r="G21" s="136" t="s">
        <v>2317</v>
      </c>
      <c r="H21" s="916"/>
      <c r="I21" s="916"/>
      <c r="J21" s="916"/>
      <c r="K21" s="917"/>
    </row>
    <row r="22" spans="1:33" s="912" customFormat="1" ht="13.5" customHeight="1">
      <c r="A22" s="898" t="s">
        <v>2289</v>
      </c>
      <c r="B22" s="922" t="s">
        <v>2318</v>
      </c>
      <c r="C22" s="923">
        <f ca="1">ROUND(C21*F22,0)</f>
        <v>5</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38</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38</v>
      </c>
      <c r="D30" s="290"/>
      <c r="E30" s="291"/>
      <c r="F30" s="296"/>
      <c r="G30" s="136"/>
      <c r="H30" s="916"/>
      <c r="I30" s="916"/>
      <c r="J30" s="916"/>
      <c r="K30" s="917"/>
    </row>
    <row r="31" spans="1:33" s="912" customFormat="1" ht="13.5" customHeight="1" thickBot="1">
      <c r="A31" s="2054"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-283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c r="D1" s="1548"/>
      <c r="E1" s="1549" t="s">
        <v>1350</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1553</v>
      </c>
      <c r="B2" s="1572" t="e">
        <f ca="1">ROUND(D2/10000,0)</f>
        <v>#DIV/0!</v>
      </c>
      <c r="C2" s="1573" t="s">
        <v>1554</v>
      </c>
      <c r="D2" s="1657" t="e">
        <f ca="1">C40+J29+L46</f>
        <v>#DIV/0!</v>
      </c>
      <c r="E2" s="1574" t="s">
        <v>1555</v>
      </c>
      <c r="F2" s="1575"/>
      <c r="G2" s="2937"/>
      <c r="H2" s="2926"/>
      <c r="I2" s="2926"/>
      <c r="J2" s="2926"/>
      <c r="K2" s="2927"/>
      <c r="L2" s="2926"/>
      <c r="M2" s="2926"/>
    </row>
    <row r="3" spans="1:37" ht="18" customHeight="1" thickBot="1">
      <c r="A3" s="1576" t="s">
        <v>1556</v>
      </c>
      <c r="B3" s="1577">
        <f ca="1">IF(ISERROR(D2/F43),0,ROUND(D2/F43,0))</f>
        <v>0</v>
      </c>
      <c r="C3" s="1573" t="s">
        <v>1557</v>
      </c>
      <c r="D3" s="1573"/>
      <c r="E3" s="1574"/>
      <c r="F3" s="1575"/>
      <c r="G3" s="2937"/>
      <c r="H3" s="692" t="s">
        <v>1551</v>
      </c>
      <c r="I3" s="1568"/>
      <c r="J3" s="1568"/>
      <c r="K3" s="1569"/>
      <c r="L3" s="1568"/>
      <c r="M3" s="1568"/>
    </row>
    <row r="4" spans="1:37" ht="18" customHeight="1">
      <c r="A4" s="301" t="s">
        <v>1558</v>
      </c>
      <c r="B4" s="302" t="s">
        <v>1559</v>
      </c>
      <c r="C4" s="302" t="s">
        <v>1560</v>
      </c>
      <c r="D4" s="302" t="s">
        <v>1561</v>
      </c>
      <c r="E4" s="303" t="s">
        <v>1562</v>
      </c>
      <c r="F4" s="304"/>
      <c r="G4" s="1570"/>
      <c r="H4" s="301" t="s">
        <v>1558</v>
      </c>
      <c r="I4" s="302" t="s">
        <v>1559</v>
      </c>
      <c r="J4" s="302" t="s">
        <v>1560</v>
      </c>
      <c r="K4" s="302" t="s">
        <v>1561</v>
      </c>
      <c r="L4" s="303" t="s">
        <v>1562</v>
      </c>
      <c r="M4" s="304"/>
    </row>
    <row r="5" spans="1:37" ht="18" customHeight="1">
      <c r="A5" s="305">
        <v>1</v>
      </c>
      <c r="B5" s="306" t="s">
        <v>1563</v>
      </c>
      <c r="C5" s="1202">
        <f ca="1">C6+C10+C12</f>
        <v>0</v>
      </c>
      <c r="D5" s="1550" t="s">
        <v>1564</v>
      </c>
      <c r="E5" s="1203"/>
      <c r="F5" s="1204"/>
      <c r="G5" s="1570"/>
      <c r="H5" s="305">
        <v>1</v>
      </c>
      <c r="I5" s="306" t="s">
        <v>1563</v>
      </c>
      <c r="J5" s="1202">
        <f ca="1">J6+J10+J12</f>
        <v>0</v>
      </c>
      <c r="K5" s="1550" t="s">
        <v>1564</v>
      </c>
      <c r="L5" s="1203"/>
      <c r="M5" s="1204"/>
    </row>
    <row r="6" spans="1:37" ht="18" customHeight="1">
      <c r="A6" s="1201" t="s">
        <v>1003</v>
      </c>
      <c r="B6" s="3300" t="s">
        <v>1366</v>
      </c>
      <c r="C6" s="1206">
        <f ca="1">ROUND(F6*F8*F7*(1-F9),0)</f>
        <v>0</v>
      </c>
      <c r="D6" s="160" t="s">
        <v>2847</v>
      </c>
      <c r="E6" s="308" t="s">
        <v>1368</v>
      </c>
      <c r="F6" s="309">
        <f ca="1">INDIRECT("'数据-取费表'!u"&amp;$G$1)</f>
        <v>0</v>
      </c>
      <c r="G6" s="1570"/>
      <c r="H6" s="1201" t="s">
        <v>1003</v>
      </c>
      <c r="I6" s="3300" t="s">
        <v>1366</v>
      </c>
      <c r="J6" s="307">
        <f ca="1">ROUND(M6*M8*M7*(1-M9),0)</f>
        <v>0</v>
      </c>
      <c r="K6" s="1562" t="s">
        <v>2848</v>
      </c>
      <c r="L6" s="308" t="s">
        <v>1368</v>
      </c>
      <c r="M6" s="309">
        <f ca="1">INDIRECT("'数据-取费表'!z"&amp;$G$1)</f>
        <v>0</v>
      </c>
    </row>
    <row r="7" spans="1:37" ht="18" customHeight="1">
      <c r="A7" s="1205"/>
      <c r="B7" s="3301"/>
      <c r="C7" s="1207"/>
      <c r="D7" s="313"/>
      <c r="E7" s="1208" t="s">
        <v>1369</v>
      </c>
      <c r="F7" s="309">
        <f ca="1">IF(INDIRECT("'数据-取费表'!ah"&amp;$G$1)="",INDIRECT("'数据-取费表'!k"&amp;$G$1),INDIRECT("'数据-取费表'!ah"&amp;$G$1))</f>
        <v>0</v>
      </c>
      <c r="G7" s="1570"/>
      <c r="H7" s="310"/>
      <c r="I7" s="3301"/>
      <c r="J7" s="312"/>
      <c r="K7" s="313"/>
      <c r="L7" s="308" t="s">
        <v>1369</v>
      </c>
      <c r="M7" s="309">
        <f ca="1">F7</f>
        <v>0</v>
      </c>
    </row>
    <row r="8" spans="1:37" ht="18" customHeight="1">
      <c r="A8" s="310"/>
      <c r="B8" s="3301"/>
      <c r="C8" s="312"/>
      <c r="D8" s="313"/>
      <c r="E8" s="308" t="s">
        <v>1370</v>
      </c>
      <c r="F8" s="309">
        <f ca="1">INDIRECT("'数据-取费表'!ai"&amp;$G$1)</f>
        <v>0</v>
      </c>
      <c r="G8" s="1570"/>
      <c r="H8" s="310"/>
      <c r="I8" s="3301"/>
      <c r="J8" s="312"/>
      <c r="K8" s="313"/>
      <c r="L8" s="308" t="s">
        <v>1370</v>
      </c>
      <c r="M8" s="309">
        <f ca="1">INDIRECT("'数据-取费表'!ai"&amp;$G$1)</f>
        <v>0</v>
      </c>
    </row>
    <row r="9" spans="1:37" ht="18" customHeight="1">
      <c r="A9" s="310"/>
      <c r="B9" s="3302"/>
      <c r="C9" s="312"/>
      <c r="D9" s="313"/>
      <c r="E9" s="308" t="s">
        <v>1371</v>
      </c>
      <c r="F9" s="318">
        <f ca="1">INDIRECT("'数据-取费表'!w"&amp;$G$1)</f>
        <v>0</v>
      </c>
      <c r="G9" s="1570"/>
      <c r="H9" s="310"/>
      <c r="I9" s="3302"/>
      <c r="J9" s="312"/>
      <c r="K9" s="313"/>
      <c r="L9" s="319" t="s">
        <v>1371</v>
      </c>
      <c r="M9" s="320">
        <f ca="1">INDIRECT("'数据-取费表'!ab"&amp;$G$1)</f>
        <v>0</v>
      </c>
    </row>
    <row r="10" spans="1:37" ht="18" customHeight="1">
      <c r="A10" s="1201" t="s">
        <v>1007</v>
      </c>
      <c r="B10" s="1551" t="s">
        <v>1372</v>
      </c>
      <c r="C10" s="322">
        <f ca="1">ROUND(IF(F10="押一",C6/12*F11,IF(F10="押二",C6/12*2*F11,IF(F10="押三",C6/12*3*F11,C11*F11))),0)</f>
        <v>0</v>
      </c>
      <c r="D10" s="1552" t="s">
        <v>2857</v>
      </c>
      <c r="E10" s="319" t="s">
        <v>1373</v>
      </c>
      <c r="F10" s="1276"/>
      <c r="G10" s="1570"/>
      <c r="H10" s="1201" t="s">
        <v>1007</v>
      </c>
      <c r="I10" s="1551" t="s">
        <v>1372</v>
      </c>
      <c r="J10" s="307">
        <f ca="1">ROUND(IF(M10="押一",J6/12*M11,IF(M10="押二",J6/12*2*M11,IF(M10="押三",J6/12*3*M11,J11*M11))),0)</f>
        <v>0</v>
      </c>
      <c r="K10" s="1563" t="s">
        <v>2859</v>
      </c>
      <c r="L10" s="319" t="s">
        <v>1373</v>
      </c>
      <c r="M10" s="1276"/>
    </row>
    <row r="11" spans="1:37" ht="18" customHeight="1">
      <c r="A11" s="314"/>
      <c r="B11" s="1553" t="s">
        <v>1565</v>
      </c>
      <c r="C11" s="1090"/>
      <c r="D11" s="313"/>
      <c r="E11" s="319" t="s">
        <v>1375</v>
      </c>
      <c r="F11" s="320">
        <f ca="1">'数据-取费表'!B39</f>
        <v>1.4999999999999999E-2</v>
      </c>
      <c r="G11" s="1570"/>
      <c r="H11" s="1209"/>
      <c r="I11" s="1553" t="s">
        <v>1566</v>
      </c>
      <c r="J11" s="1090"/>
      <c r="K11" s="693"/>
      <c r="L11" s="319" t="s">
        <v>1375</v>
      </c>
      <c r="M11" s="971">
        <f ca="1">'数据-取费表'!B39</f>
        <v>1.4999999999999999E-2</v>
      </c>
    </row>
    <row r="12" spans="1:37" ht="18" customHeight="1" thickBot="1">
      <c r="A12" s="1243" t="s">
        <v>1043</v>
      </c>
      <c r="B12" s="1555" t="s">
        <v>1376</v>
      </c>
      <c r="C12" s="1244"/>
      <c r="D12" s="1245"/>
      <c r="E12" s="1250"/>
      <c r="F12" s="1246"/>
      <c r="G12" s="1570"/>
      <c r="H12" s="1243" t="s">
        <v>1043</v>
      </c>
      <c r="I12" s="1555" t="s">
        <v>1376</v>
      </c>
      <c r="J12" s="1244"/>
      <c r="K12" s="1258"/>
      <c r="L12" s="1250"/>
      <c r="M12" s="1259"/>
    </row>
    <row r="13" spans="1:37" ht="18" customHeight="1" thickTop="1">
      <c r="A13" s="1239">
        <v>2</v>
      </c>
      <c r="B13" s="1240" t="s">
        <v>1377</v>
      </c>
      <c r="C13" s="316">
        <f ca="1">ROUND(C29*F13,0)</f>
        <v>0</v>
      </c>
      <c r="D13" s="1241" t="s">
        <v>1378</v>
      </c>
      <c r="E13" s="1241" t="s">
        <v>1379</v>
      </c>
      <c r="F13" s="1242">
        <f ca="1">INDIRECT("'数据-取费表'!y"&amp;$G$1)</f>
        <v>0</v>
      </c>
      <c r="G13" s="1570"/>
      <c r="H13" s="1239">
        <v>2</v>
      </c>
      <c r="I13" s="1240" t="s">
        <v>1377</v>
      </c>
      <c r="J13" s="1200">
        <f ca="1">ROUND(J14*J15,0)</f>
        <v>0</v>
      </c>
      <c r="K13" s="1247" t="s">
        <v>1378</v>
      </c>
      <c r="L13" s="1578"/>
      <c r="M13" s="1579"/>
    </row>
    <row r="14" spans="1:37" ht="18" customHeight="1">
      <c r="A14" s="1113" t="s">
        <v>1002</v>
      </c>
      <c r="B14" s="308" t="s">
        <v>1380</v>
      </c>
      <c r="C14" s="324">
        <f ca="1">ROUND(INDIRECT("'数据-取费表'!l"&amp;$G$1)*F43+'数据-取费表'!L14*INDIRECT("'数据-取费表'!S"&amp;$G$1),0)</f>
        <v>0</v>
      </c>
      <c r="D14" s="1531" t="s">
        <v>1381</v>
      </c>
      <c r="E14" s="1528"/>
      <c r="F14" s="325"/>
      <c r="G14" s="1570"/>
      <c r="H14" s="1113" t="s">
        <v>1003</v>
      </c>
      <c r="I14" s="308" t="s">
        <v>1382</v>
      </c>
      <c r="J14" s="24">
        <f ca="1">C29</f>
        <v>0</v>
      </c>
      <c r="K14" s="15"/>
      <c r="L14" s="916"/>
      <c r="M14" s="917"/>
    </row>
    <row r="15" spans="1:37" s="1583" customFormat="1" ht="18" customHeight="1" thickBot="1">
      <c r="A15" s="1113" t="s">
        <v>1004</v>
      </c>
      <c r="B15" s="308" t="s">
        <v>1383</v>
      </c>
      <c r="C15" s="24">
        <f ca="1">ROUND(C14*F15,0)</f>
        <v>0</v>
      </c>
      <c r="D15" s="326" t="s">
        <v>1384</v>
      </c>
      <c r="E15" s="326" t="s">
        <v>1385</v>
      </c>
      <c r="F15" s="327">
        <f>'数据-取费表'!B33</f>
        <v>0.03</v>
      </c>
      <c r="G15" s="1582"/>
      <c r="H15" s="1249" t="s">
        <v>1007</v>
      </c>
      <c r="I15" s="1250" t="s">
        <v>1379</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1352</v>
      </c>
      <c r="B16" s="308" t="s">
        <v>1386</v>
      </c>
      <c r="C16" s="24">
        <f ca="1">ROUND(INDIRECT("'数据-取费表'!l"&amp;$G$1)*F43*F16,0)</f>
        <v>0</v>
      </c>
      <c r="D16" s="308" t="s">
        <v>1384</v>
      </c>
      <c r="E16" s="308" t="s">
        <v>1385</v>
      </c>
      <c r="F16" s="328">
        <f ca="1">IF(INDIRECT("'数据-取费表'!c"&amp;$G$1)="住宅",'数据-取费表'!B34,0)</f>
        <v>0</v>
      </c>
      <c r="G16" s="1570"/>
      <c r="H16" s="1239" t="s">
        <v>998</v>
      </c>
      <c r="I16" s="1240" t="s">
        <v>1387</v>
      </c>
      <c r="J16" s="316">
        <f ca="1">ROUND(J17+J22+J23+J24,0)</f>
        <v>0</v>
      </c>
      <c r="K16" s="1247" t="s">
        <v>1388</v>
      </c>
      <c r="L16" s="1248"/>
      <c r="M16" s="1204"/>
    </row>
    <row r="17" spans="1:37" s="1583" customFormat="1" ht="18" customHeight="1">
      <c r="A17" s="1113" t="s">
        <v>1353</v>
      </c>
      <c r="B17" s="308" t="s">
        <v>1389</v>
      </c>
      <c r="C17" s="24">
        <f ca="1">ROUND(F17*(F43+INDIRECT("'数据-取费表'!S"&amp;$G$1)),0)</f>
        <v>0</v>
      </c>
      <c r="D17" s="308" t="s">
        <v>1390</v>
      </c>
      <c r="E17" s="308" t="s">
        <v>1391</v>
      </c>
      <c r="F17" s="26">
        <f>'数据-取费表'!B35</f>
        <v>200</v>
      </c>
      <c r="G17" s="1582"/>
      <c r="H17" s="1113" t="s">
        <v>1003</v>
      </c>
      <c r="I17" s="308" t="s">
        <v>1392</v>
      </c>
      <c r="J17" s="2536">
        <f ca="1">ROUND(IF(AND(项目基本情况!B11="自然人",项目基本情况!B10="北京市"),J6*M17/(1+'数据-取费表'!C42),J18+J19+J20),0)</f>
        <v>0</v>
      </c>
      <c r="K17" s="1531" t="s">
        <v>1393</v>
      </c>
      <c r="L17" s="1530" t="s">
        <v>1394</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1354</v>
      </c>
      <c r="B18" s="308" t="s">
        <v>1395</v>
      </c>
      <c r="C18" s="24">
        <f ca="1">ROUND(C14*F18,0)</f>
        <v>0</v>
      </c>
      <c r="D18" s="308" t="s">
        <v>1384</v>
      </c>
      <c r="E18" s="308" t="s">
        <v>1385</v>
      </c>
      <c r="F18" s="328">
        <f>'数据-取费表'!B36</f>
        <v>1.4999999999999999E-2</v>
      </c>
      <c r="G18" s="1582"/>
      <c r="H18" s="1113" t="s">
        <v>1002</v>
      </c>
      <c r="I18" s="308" t="s">
        <v>1396</v>
      </c>
      <c r="J18" s="24">
        <f ca="1">ROUND(J6*M18/(1+'数据-取费表'!C42),0)</f>
        <v>0</v>
      </c>
      <c r="K18" s="1530" t="s">
        <v>1397</v>
      </c>
      <c r="L18" s="308" t="s">
        <v>1385</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1398</v>
      </c>
      <c r="C19" s="24">
        <f ca="1">SUM(C14:C18)</f>
        <v>0</v>
      </c>
      <c r="D19" s="136" t="s">
        <v>1399</v>
      </c>
      <c r="E19" s="1546"/>
      <c r="F19" s="26"/>
      <c r="G19" s="1570"/>
      <c r="H19" s="1113" t="s">
        <v>1004</v>
      </c>
      <c r="I19" s="308" t="s">
        <v>1400</v>
      </c>
      <c r="J19" s="24">
        <f ca="1">IF(K19="按租金收入计税",ROUND(J6*M19/(1+'数据-取费表'!C42),0),ROUND(C29*M19*0.7,0))</f>
        <v>0</v>
      </c>
      <c r="K19" s="1556" t="s">
        <v>1401</v>
      </c>
      <c r="L19" s="308" t="s">
        <v>1385</v>
      </c>
      <c r="M19" s="328">
        <f>IF(K19="按租金收入计税",'数据-取费表'!B51,'数据-取费表'!B50)</f>
        <v>1.2E-2</v>
      </c>
    </row>
    <row r="20" spans="1:37" s="1583" customFormat="1" ht="18" customHeight="1">
      <c r="A20" s="1113" t="s">
        <v>1007</v>
      </c>
      <c r="B20" s="308" t="s">
        <v>1402</v>
      </c>
      <c r="C20" s="24">
        <f ca="1">ROUND(C19*F20,0)</f>
        <v>0</v>
      </c>
      <c r="D20" s="329" t="s">
        <v>1403</v>
      </c>
      <c r="E20" s="308" t="s">
        <v>1385</v>
      </c>
      <c r="F20" s="328">
        <f>'数据-取费表'!B37</f>
        <v>0.02</v>
      </c>
      <c r="G20" s="1582"/>
      <c r="H20" s="1113" t="s">
        <v>1352</v>
      </c>
      <c r="I20" s="160" t="s">
        <v>1404</v>
      </c>
      <c r="J20" s="25">
        <f ca="1">ROUND(M20*M21,0)</f>
        <v>0</v>
      </c>
      <c r="K20" s="330" t="s">
        <v>1405</v>
      </c>
      <c r="L20" s="308" t="s">
        <v>1406</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1407</v>
      </c>
      <c r="C21" s="24" t="s">
        <v>1</v>
      </c>
      <c r="D21" s="329" t="s">
        <v>1408</v>
      </c>
      <c r="E21" s="308" t="s">
        <v>1409</v>
      </c>
      <c r="F21" s="328">
        <f>'数据-取费表'!B38</f>
        <v>0.02</v>
      </c>
      <c r="G21" s="1582"/>
      <c r="H21" s="332"/>
      <c r="I21" s="317"/>
      <c r="J21" s="29"/>
      <c r="K21" s="333"/>
      <c r="L21" s="308" t="s">
        <v>1410</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1355</v>
      </c>
      <c r="B22" s="308" t="s">
        <v>1411</v>
      </c>
      <c r="C22" s="24"/>
      <c r="D22" s="136" t="str">
        <f>IF(F23&lt;=1,"单利计息。","复利计息。")&amp;"建造成本、管理费用、销售费用产生的利息。"</f>
        <v>复利计息。建造成本、管理费用、销售费用产生的利息。</v>
      </c>
      <c r="E22" s="1546"/>
      <c r="F22" s="26"/>
      <c r="G22" s="1570"/>
      <c r="H22" s="1113" t="s">
        <v>1007</v>
      </c>
      <c r="I22" s="308" t="s">
        <v>1412</v>
      </c>
      <c r="J22" s="24">
        <f ca="1">ROUND(J14*M22,0)</f>
        <v>0</v>
      </c>
      <c r="K22" s="1530" t="s">
        <v>1413</v>
      </c>
      <c r="L22" s="308" t="s">
        <v>1385</v>
      </c>
      <c r="M22" s="334">
        <f ca="1">INDIRECT("'数据-取费表'!Ak"&amp;$G$1)</f>
        <v>0</v>
      </c>
    </row>
    <row r="23" spans="1:37" s="1583" customFormat="1" ht="18" customHeight="1">
      <c r="A23" s="1113" t="s">
        <v>1002</v>
      </c>
      <c r="B23" s="308" t="s">
        <v>1414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1415</v>
      </c>
      <c r="F23" s="331">
        <f>'数据-取费表'!B20</f>
        <v>2</v>
      </c>
      <c r="G23" s="1582"/>
      <c r="H23" s="1113" t="s">
        <v>1043</v>
      </c>
      <c r="I23" s="308" t="s">
        <v>1416</v>
      </c>
      <c r="J23" s="24">
        <f ca="1">ROUND(J13*M23,0)</f>
        <v>0</v>
      </c>
      <c r="K23" s="1530" t="s">
        <v>1417</v>
      </c>
      <c r="L23" s="308" t="s">
        <v>1418</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1419</v>
      </c>
      <c r="B24" s="308" t="s">
        <v>1420</v>
      </c>
      <c r="C24" s="24">
        <f ca="1">ROUND(IF('数据-取费表'!B22&lt;=1,F21*F24*F23/2,F21*(POWER((1+F24),F23/2)-1)),4)</f>
        <v>1E-3</v>
      </c>
      <c r="D24" s="335" t="str">
        <f>IF(F23&lt;=1,"销售费用×利率×(建设周期÷2)","销售费用×((1+利率)^(建设周期÷2)-1)")</f>
        <v>销售费用×((1+利率)^(建设周期÷2)-1)</v>
      </c>
      <c r="E24" s="308" t="s">
        <v>1421</v>
      </c>
      <c r="F24" s="337">
        <f ca="1">'数据-取费表'!B40</f>
        <v>4.7500000000000001E-2</v>
      </c>
      <c r="G24" s="1582"/>
      <c r="H24" s="1249" t="s">
        <v>1356</v>
      </c>
      <c r="I24" s="1250" t="s">
        <v>1402</v>
      </c>
      <c r="J24" s="1251">
        <f ca="1">ROUND(J5*M24,0)</f>
        <v>0</v>
      </c>
      <c r="K24" s="1252" t="s">
        <v>1422</v>
      </c>
      <c r="L24" s="1250" t="s">
        <v>1418</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1423</v>
      </c>
      <c r="B25" s="308" t="s">
        <v>1424</v>
      </c>
      <c r="C25" s="24"/>
      <c r="D25" s="136" t="s">
        <v>1425</v>
      </c>
      <c r="E25" s="1546"/>
      <c r="F25" s="26"/>
      <c r="G25" s="1570"/>
      <c r="H25" s="1239" t="s">
        <v>999</v>
      </c>
      <c r="I25" s="1254" t="s">
        <v>1426</v>
      </c>
      <c r="J25" s="316">
        <f ca="1">J5-J16</f>
        <v>0</v>
      </c>
      <c r="K25" s="1255" t="s">
        <v>1427</v>
      </c>
      <c r="L25" s="1256"/>
      <c r="M25" s="1257"/>
    </row>
    <row r="26" spans="1:37" ht="18" customHeight="1">
      <c r="A26" s="1113" t="s">
        <v>1002</v>
      </c>
      <c r="B26" s="308" t="s">
        <v>1428</v>
      </c>
      <c r="C26" s="24">
        <f ca="1">ROUND((C19+C20)*F26,0)</f>
        <v>0</v>
      </c>
      <c r="D26" s="329" t="s">
        <v>1429</v>
      </c>
      <c r="E26" s="319" t="s">
        <v>1430</v>
      </c>
      <c r="F26" s="318">
        <f ca="1">INDIRECT("'数据-取费表'!q"&amp;$G$1)</f>
        <v>0</v>
      </c>
      <c r="G26" s="1570"/>
      <c r="H26" s="305" t="s">
        <v>1000</v>
      </c>
      <c r="I26" s="306" t="s">
        <v>1431</v>
      </c>
      <c r="J26" s="307">
        <f ca="1">IF(J5&lt;&gt;0,ROUND(J25*(1-((1+M28)/(1+M26))^M27)/(M26-M28),0),0)</f>
        <v>0</v>
      </c>
      <c r="K26" s="330" t="s">
        <v>1432</v>
      </c>
      <c r="L26" s="308" t="s">
        <v>1433</v>
      </c>
      <c r="M26" s="318">
        <f ca="1">INDIRECT("'数据-取费表'!I"&amp;$G$1)</f>
        <v>0</v>
      </c>
    </row>
    <row r="27" spans="1:37" ht="18" customHeight="1">
      <c r="A27" s="1113" t="s">
        <v>1004</v>
      </c>
      <c r="B27" s="308" t="s">
        <v>1434</v>
      </c>
      <c r="C27" s="24">
        <f ca="1">ROUND(F21*F26,4)</f>
        <v>0</v>
      </c>
      <c r="D27" s="329" t="s">
        <v>1435</v>
      </c>
      <c r="E27" s="326"/>
      <c r="F27" s="327"/>
      <c r="G27" s="1570"/>
      <c r="H27" s="310"/>
      <c r="I27" s="311"/>
      <c r="J27" s="312"/>
      <c r="K27" s="338" t="s">
        <v>1436</v>
      </c>
      <c r="L27" s="308" t="s">
        <v>1437</v>
      </c>
      <c r="M27" s="339">
        <f ca="1">INDIRECT("'数据-取费表'!ag"&amp;$G$1)</f>
        <v>0</v>
      </c>
    </row>
    <row r="28" spans="1:37" s="1583" customFormat="1" ht="18" customHeight="1">
      <c r="A28" s="1113" t="s">
        <v>1005</v>
      </c>
      <c r="B28" s="308" t="s">
        <v>1438</v>
      </c>
      <c r="C28" s="24">
        <f>ROUND(F28/(1+'数据-取费表'!C42),4)</f>
        <v>5.33E-2</v>
      </c>
      <c r="D28" s="329" t="s">
        <v>1439</v>
      </c>
      <c r="E28" s="308" t="s">
        <v>1385</v>
      </c>
      <c r="F28" s="328">
        <f>'数据-取费表'!B41</f>
        <v>5.6000000000000001E-2</v>
      </c>
      <c r="G28" s="1582"/>
      <c r="H28" s="314"/>
      <c r="I28" s="315"/>
      <c r="J28" s="316"/>
      <c r="K28" s="333"/>
      <c r="L28" s="308" t="s">
        <v>1440</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1441</v>
      </c>
      <c r="C29" s="1251">
        <f ca="1">ROUND((C19+C20+C23+C26)/(1-F21-C24-C27-C28),0)</f>
        <v>0</v>
      </c>
      <c r="D29" s="1252"/>
      <c r="E29" s="1250"/>
      <c r="F29" s="1253"/>
      <c r="G29" s="1582"/>
      <c r="H29" s="340" t="s">
        <v>1001</v>
      </c>
      <c r="I29" s="341" t="s">
        <v>1442</v>
      </c>
      <c r="J29" s="342">
        <f ca="1">ROUND(J26/(1+F40)^F41,0)</f>
        <v>0</v>
      </c>
      <c r="K29" s="343" t="s">
        <v>1443</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1387</v>
      </c>
      <c r="C30" s="316">
        <f ca="1">ROUND(C31+C36+C37+C38,0)</f>
        <v>0</v>
      </c>
      <c r="D30" s="1247" t="s">
        <v>1388</v>
      </c>
      <c r="E30" s="1248"/>
      <c r="F30" s="1204"/>
      <c r="G30" s="1570"/>
      <c r="H30" s="2928"/>
      <c r="I30" s="1584"/>
      <c r="J30" s="1585"/>
      <c r="K30" s="2703"/>
      <c r="L30" s="2929"/>
      <c r="M30" s="2930"/>
    </row>
    <row r="31" spans="1:37" ht="18" customHeight="1">
      <c r="A31" s="1113" t="s">
        <v>1003</v>
      </c>
      <c r="B31" s="308" t="s">
        <v>1392</v>
      </c>
      <c r="C31" s="2536">
        <f ca="1">ROUND(IF(AND(项目基本情况!B11="自然人",项目基本情况!B10="北京市"),C6*F31/(1+'数据-取费表'!C42),C32+C33+C34),0)</f>
        <v>0</v>
      </c>
      <c r="D31" s="1531" t="s">
        <v>1393</v>
      </c>
      <c r="E31" s="1530" t="s">
        <v>1444</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1396</v>
      </c>
      <c r="C32" s="24">
        <f ca="1">IF(项目基本情况!B11="自然人","——",ROUND(C6*F32/(1+'数据-取费表'!C42),0))</f>
        <v>0</v>
      </c>
      <c r="D32" s="1530" t="s">
        <v>1397</v>
      </c>
      <c r="E32" s="308" t="s">
        <v>1385</v>
      </c>
      <c r="F32" s="337">
        <f>'数据-取费表'!B41</f>
        <v>5.6000000000000001E-2</v>
      </c>
      <c r="G32" s="1570"/>
      <c r="H32" s="2928"/>
      <c r="I32" s="1584"/>
      <c r="J32" s="1585"/>
      <c r="K32" s="2703"/>
      <c r="L32" s="2929"/>
      <c r="M32" s="2930"/>
    </row>
    <row r="33" spans="1:18" ht="18" customHeight="1">
      <c r="A33" s="1113" t="s">
        <v>1004</v>
      </c>
      <c r="B33" s="308" t="s">
        <v>1400</v>
      </c>
      <c r="C33" s="24">
        <f ca="1">IF(项目基本情况!B11="自然人","——",IF(D33="按租金收入计税",ROUND(C6*F33/(1+'数据-取费表'!C42),0),IF(D33="按房产原值计税",ROUND(C29*F33*0.7,0),INDIRECT("'数据-取费表'!Aj"&amp;$G$1))))</f>
        <v>0</v>
      </c>
      <c r="D33" s="1556" t="s">
        <v>1401</v>
      </c>
      <c r="E33" s="308" t="s">
        <v>1385</v>
      </c>
      <c r="F33" s="328">
        <f>IF(D33="按票据","——",IF(D33="按租金收入计税",'数据-取费表'!B51,'数据-取费表'!B50))</f>
        <v>1.2E-2</v>
      </c>
      <c r="G33" s="1570"/>
      <c r="H33" s="2931"/>
      <c r="I33" s="1584"/>
      <c r="J33" s="1585"/>
      <c r="K33" s="2932"/>
      <c r="L33" s="2931"/>
      <c r="M33" s="2931"/>
    </row>
    <row r="34" spans="1:18" ht="18" customHeight="1">
      <c r="A34" s="1201" t="s">
        <v>1352</v>
      </c>
      <c r="B34" s="160" t="s">
        <v>1404</v>
      </c>
      <c r="C34" s="25">
        <f ca="1">IF(项目基本情况!B11="自然人","——",ROUND(F34*F35,))</f>
        <v>0</v>
      </c>
      <c r="D34" s="330" t="s">
        <v>1405</v>
      </c>
      <c r="E34" s="308" t="s">
        <v>1406</v>
      </c>
      <c r="F34" s="331">
        <f>'数据-取费表'!B52</f>
        <v>0</v>
      </c>
      <c r="G34" s="1570"/>
      <c r="H34" s="2928"/>
      <c r="I34" s="1584"/>
      <c r="J34" s="1585"/>
      <c r="K34" s="2933"/>
      <c r="L34" s="2934"/>
      <c r="M34" s="2934"/>
    </row>
    <row r="35" spans="1:18" ht="18" customHeight="1">
      <c r="A35" s="1263"/>
      <c r="B35" s="1261"/>
      <c r="C35" s="29"/>
      <c r="D35" s="333"/>
      <c r="E35" s="308" t="s">
        <v>1410</v>
      </c>
      <c r="F35" s="309">
        <f ca="1">INDIRECT("'数据-取费表'!r"&amp;$G$1)</f>
        <v>0</v>
      </c>
      <c r="G35" s="1570"/>
      <c r="H35" s="2928"/>
      <c r="I35" s="1584"/>
      <c r="J35" s="1585"/>
      <c r="K35" s="2932"/>
      <c r="L35" s="2931"/>
      <c r="M35" s="2931"/>
    </row>
    <row r="36" spans="1:18" ht="18" customHeight="1">
      <c r="A36" s="1262" t="s">
        <v>1007</v>
      </c>
      <c r="B36" s="308" t="s">
        <v>1412</v>
      </c>
      <c r="C36" s="24">
        <f ca="1">ROUND(C29*F36,0)</f>
        <v>0</v>
      </c>
      <c r="D36" s="1530" t="s">
        <v>1445</v>
      </c>
      <c r="E36" s="308" t="s">
        <v>1385</v>
      </c>
      <c r="F36" s="334">
        <f ca="1">INDIRECT("'数据-取费表'!Ak"&amp;$G$1)</f>
        <v>0</v>
      </c>
      <c r="G36" s="1570"/>
      <c r="H36" s="2931"/>
      <c r="I36" s="1584"/>
      <c r="J36" s="1585"/>
      <c r="K36" s="2772"/>
      <c r="L36" s="2931"/>
      <c r="M36" s="2931"/>
    </row>
    <row r="37" spans="1:18" ht="18" customHeight="1">
      <c r="A37" s="1113" t="s">
        <v>1043</v>
      </c>
      <c r="B37" s="308" t="s">
        <v>1416</v>
      </c>
      <c r="C37" s="24">
        <f ca="1">ROUND(C13*F37,0)</f>
        <v>0</v>
      </c>
      <c r="D37" s="1530" t="s">
        <v>1417</v>
      </c>
      <c r="E37" s="308" t="s">
        <v>1418</v>
      </c>
      <c r="F37" s="336">
        <f ca="1">INDIRECT("'数据-取费表'!Al"&amp;$G$1)</f>
        <v>0</v>
      </c>
      <c r="G37" s="1570"/>
      <c r="H37" s="2931"/>
      <c r="I37" s="1584"/>
      <c r="J37" s="1585"/>
      <c r="K37" s="2772"/>
      <c r="L37" s="2931"/>
      <c r="M37" s="2931"/>
    </row>
    <row r="38" spans="1:18" ht="18" customHeight="1" thickBot="1">
      <c r="A38" s="1249" t="s">
        <v>1356</v>
      </c>
      <c r="B38" s="1250" t="s">
        <v>1402</v>
      </c>
      <c r="C38" s="1251">
        <f ca="1">ROUND(C5*F38,1)</f>
        <v>0</v>
      </c>
      <c r="D38" s="1252" t="s">
        <v>1422</v>
      </c>
      <c r="E38" s="1250" t="s">
        <v>1418</v>
      </c>
      <c r="F38" s="1246">
        <f ca="1">INDIRECT("'数据-取费表'!Am"&amp;$G$1)</f>
        <v>0</v>
      </c>
      <c r="G38" s="1570"/>
      <c r="H38" s="2931"/>
      <c r="I38" s="1584"/>
      <c r="J38" s="1585"/>
      <c r="K38" s="2935"/>
      <c r="L38" s="2931"/>
      <c r="M38" s="2931"/>
    </row>
    <row r="39" spans="1:18" ht="24.6" customHeight="1" thickTop="1">
      <c r="A39" s="1239" t="s">
        <v>999</v>
      </c>
      <c r="B39" s="1254" t="s">
        <v>1446</v>
      </c>
      <c r="C39" s="316">
        <f ca="1">C5-C30</f>
        <v>0</v>
      </c>
      <c r="D39" s="1255" t="s">
        <v>1447</v>
      </c>
      <c r="E39" s="1256"/>
      <c r="F39" s="1257"/>
      <c r="G39" s="1570"/>
      <c r="H39" s="2931"/>
      <c r="I39" s="1584"/>
      <c r="J39" s="1585"/>
      <c r="K39" s="2935"/>
      <c r="L39" s="2931"/>
      <c r="M39" s="2931"/>
    </row>
    <row r="40" spans="1:18" ht="18" customHeight="1">
      <c r="A40" s="305" t="s">
        <v>1000</v>
      </c>
      <c r="B40" s="306" t="s">
        <v>1448</v>
      </c>
      <c r="C40" s="307" t="e">
        <f ca="1">ROUND(C39*(1-((1+F42)/(1+F40))^F41)/(F40-F42),0)</f>
        <v>#DIV/0!</v>
      </c>
      <c r="D40" s="330" t="s">
        <v>1432</v>
      </c>
      <c r="E40" s="308" t="s">
        <v>1433</v>
      </c>
      <c r="F40" s="318">
        <f ca="1">INDIRECT("'数据-取费表'!I"&amp;$G$1)</f>
        <v>0</v>
      </c>
      <c r="G40" s="1570"/>
      <c r="H40" s="1647"/>
      <c r="I40" s="1584"/>
      <c r="J40" s="1585"/>
      <c r="K40" s="2935"/>
      <c r="L40" s="1647"/>
      <c r="M40" s="1647"/>
    </row>
    <row r="41" spans="1:18" ht="18" customHeight="1">
      <c r="A41" s="310"/>
      <c r="B41" s="311"/>
      <c r="C41" s="312"/>
      <c r="D41" s="338" t="s">
        <v>1449</v>
      </c>
      <c r="E41" s="308" t="s">
        <v>1437</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1440</v>
      </c>
      <c r="F42" s="318">
        <f ca="1">INDIRECT("'数据-取费表'!v"&amp;$G$1)</f>
        <v>0</v>
      </c>
      <c r="G42" s="1570"/>
      <c r="H42" s="1353"/>
      <c r="I42" s="1584"/>
      <c r="J42" s="1585"/>
      <c r="K42" s="2772"/>
      <c r="L42" s="1353"/>
      <c r="M42" s="1353"/>
    </row>
    <row r="43" spans="1:18" ht="18" customHeight="1" thickBot="1">
      <c r="A43" s="340" t="s">
        <v>1001</v>
      </c>
      <c r="B43" s="341" t="s">
        <v>1450</v>
      </c>
      <c r="C43" s="342" t="e">
        <f ca="1">ROUND(C40/F43,0)</f>
        <v>#DIV/0!</v>
      </c>
      <c r="D43" s="343" t="s">
        <v>1451</v>
      </c>
      <c r="E43" s="344" t="s">
        <v>1452</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1567</v>
      </c>
      <c r="E45" s="1586"/>
      <c r="F45" s="1586"/>
      <c r="O45" s="1589" t="s">
        <v>1482</v>
      </c>
      <c r="P45" s="1647"/>
      <c r="Q45" s="1647"/>
      <c r="R45" s="1647"/>
    </row>
    <row r="46" spans="1:18" s="1570" customFormat="1" ht="13.5" thickBot="1">
      <c r="A46" s="1590" t="s">
        <v>1483</v>
      </c>
      <c r="C46" s="1591" t="e">
        <f ca="1">ROUND(C45/10000,0)</f>
        <v>#DIV/0!</v>
      </c>
      <c r="D46" s="1592" t="str">
        <f>C2</f>
        <v>万元</v>
      </c>
      <c r="I46" s="1593" t="s">
        <v>1484</v>
      </c>
      <c r="J46" s="1594"/>
      <c r="K46" s="1595"/>
      <c r="L46" s="1596" t="e">
        <f ca="1">IF(M47="住宅",0,IF(L48&gt;J51,L60,J60))</f>
        <v>#DIV/0!</v>
      </c>
      <c r="O46" s="1597" t="s">
        <v>1485</v>
      </c>
      <c r="P46" s="1598" t="s">
        <v>1486</v>
      </c>
      <c r="Q46" s="1599" t="s">
        <v>1487</v>
      </c>
      <c r="R46" s="1599" t="s">
        <v>1488</v>
      </c>
    </row>
    <row r="47" spans="1:18" s="1570" customFormat="1" ht="13.5" thickBot="1">
      <c r="A47" s="1077" t="s">
        <v>1359</v>
      </c>
      <c r="B47" s="1109" t="s">
        <v>1360</v>
      </c>
      <c r="C47" s="1109" t="s">
        <v>1361</v>
      </c>
      <c r="D47" s="1109" t="s">
        <v>1362</v>
      </c>
      <c r="E47" s="1189" t="s">
        <v>1363</v>
      </c>
      <c r="F47" s="1190"/>
      <c r="G47" s="731"/>
      <c r="I47" s="1600" t="s">
        <v>1489</v>
      </c>
      <c r="J47" s="1601"/>
      <c r="K47" s="1602" t="s">
        <v>1490</v>
      </c>
      <c r="L47" s="1603">
        <f ca="1">INDIRECT("'数据-取费表'!d"&amp;$G$1)</f>
        <v>0</v>
      </c>
      <c r="M47" s="1566" t="str">
        <f>IF(ISNUMBER(FIND("住宅",C1)),"住宅","非住宅")</f>
        <v>非住宅</v>
      </c>
      <c r="O47" s="1604" t="s">
        <v>1008</v>
      </c>
      <c r="P47" s="1605" t="s">
        <v>1491</v>
      </c>
      <c r="Q47" s="1606" t="e">
        <f ca="1">C40+J29</f>
        <v>#DIV/0!</v>
      </c>
      <c r="R47" s="1606" t="s">
        <v>1492</v>
      </c>
    </row>
    <row r="48" spans="1:18" s="1570" customFormat="1" ht="28.5" thickBot="1">
      <c r="A48" s="1270" t="s">
        <v>1103</v>
      </c>
      <c r="B48" s="306" t="s">
        <v>1364</v>
      </c>
      <c r="C48" s="1545">
        <f ca="1">C49+C53+C55</f>
        <v>0</v>
      </c>
      <c r="D48" s="1272"/>
      <c r="E48" s="1273"/>
      <c r="F48" s="1093"/>
      <c r="G48" s="731"/>
      <c r="H48" s="732"/>
      <c r="I48" s="1607" t="s">
        <v>1493</v>
      </c>
      <c r="J48" s="1608"/>
      <c r="K48" s="1609" t="s">
        <v>1494</v>
      </c>
      <c r="L48" s="1610">
        <f ca="1">INDIRECT("'数据-取费表'!f"&amp;$G$1)</f>
        <v>0</v>
      </c>
      <c r="O48" s="1604" t="s">
        <v>1009</v>
      </c>
      <c r="P48" s="1605" t="s">
        <v>1495</v>
      </c>
      <c r="Q48" s="1606" t="e">
        <f ca="1">J60</f>
        <v>#DIV/0!</v>
      </c>
      <c r="R48" s="1606" t="s">
        <v>1496</v>
      </c>
    </row>
    <row r="49" spans="1:18" s="1570" customFormat="1" ht="13.5" thickBot="1">
      <c r="A49" s="1106" t="s">
        <v>1104</v>
      </c>
      <c r="B49" s="1557" t="s">
        <v>1453</v>
      </c>
      <c r="C49" s="1274">
        <f ca="1">ROUND(F49*F51*F50*(1-F52),0)</f>
        <v>0</v>
      </c>
      <c r="D49" s="1186" t="s">
        <v>1367</v>
      </c>
      <c r="E49" s="1558" t="s">
        <v>1454</v>
      </c>
      <c r="F49" s="1191"/>
      <c r="G49" s="1611"/>
      <c r="H49" s="732"/>
      <c r="I49" s="1607" t="s">
        <v>1497</v>
      </c>
      <c r="J49" s="1612"/>
      <c r="K49" s="1609" t="s">
        <v>1498</v>
      </c>
      <c r="L49" s="1613"/>
      <c r="O49" s="1614" t="s">
        <v>1010</v>
      </c>
      <c r="P49" s="1605" t="s">
        <v>1499</v>
      </c>
      <c r="Q49" s="1606">
        <f ca="1">C29</f>
        <v>0</v>
      </c>
      <c r="R49" s="1606" t="s">
        <v>1492</v>
      </c>
    </row>
    <row r="50" spans="1:18" s="1570" customFormat="1" ht="13.5" thickBot="1">
      <c r="A50" s="1107"/>
      <c r="B50" s="1110"/>
      <c r="C50" s="1111"/>
      <c r="D50" s="1084"/>
      <c r="E50" s="1187" t="s">
        <v>1369</v>
      </c>
      <c r="F50" s="1188">
        <f ca="1">F7</f>
        <v>0</v>
      </c>
      <c r="H50" s="732"/>
      <c r="I50" s="1607" t="s">
        <v>1500</v>
      </c>
      <c r="J50" s="1615">
        <f>SUMPRODUCT((I63:I65=J47)*(J62:L62=J48)*(J63:L65))</f>
        <v>0</v>
      </c>
      <c r="K50" s="1609" t="s">
        <v>1501</v>
      </c>
      <c r="L50" s="1613"/>
      <c r="M50" s="1616"/>
      <c r="O50" s="1614" t="s">
        <v>1011</v>
      </c>
      <c r="P50" s="1605" t="s">
        <v>1502</v>
      </c>
      <c r="Q50" s="1617" t="e">
        <f ca="1">J58</f>
        <v>#DIV/0!</v>
      </c>
      <c r="R50" s="1606"/>
    </row>
    <row r="51" spans="1:18" s="1570" customFormat="1" ht="13.5" thickBot="1">
      <c r="A51" s="1108"/>
      <c r="B51" s="1110"/>
      <c r="C51" s="1111"/>
      <c r="D51" s="1084"/>
      <c r="E51" s="1112" t="s">
        <v>1370</v>
      </c>
      <c r="F51" s="309">
        <f ca="1">F8</f>
        <v>0</v>
      </c>
      <c r="I51" s="1618" t="s">
        <v>1503</v>
      </c>
      <c r="J51" s="1619">
        <f>IF(J49="",J50,J49+J50-YEAR('数据-取费表'!B2))</f>
        <v>0</v>
      </c>
      <c r="K51" s="1620" t="s">
        <v>1504</v>
      </c>
      <c r="L51" s="1621">
        <f ca="1">ROUND(-PV(INDIRECT("'数据-取费表'!h"&amp;$G$1),J51,(C39-C13*C76),0),0)</f>
        <v>0</v>
      </c>
      <c r="M51" s="1622"/>
      <c r="O51" s="1614" t="s">
        <v>1012</v>
      </c>
      <c r="P51" s="1605" t="s">
        <v>1505</v>
      </c>
      <c r="Q51" s="1617">
        <f>J52</f>
        <v>0</v>
      </c>
      <c r="R51" s="1606"/>
    </row>
    <row r="52" spans="1:18" s="1570" customFormat="1" ht="13.5" thickBot="1">
      <c r="A52" s="1108"/>
      <c r="B52" s="1110"/>
      <c r="C52" s="1111"/>
      <c r="D52" s="1084"/>
      <c r="E52" s="1112" t="s">
        <v>1371</v>
      </c>
      <c r="F52" s="1185"/>
      <c r="I52" s="1623" t="s">
        <v>1506</v>
      </c>
      <c r="J52" s="1624"/>
      <c r="K52" s="1623" t="s">
        <v>1507</v>
      </c>
      <c r="L52" s="1624"/>
      <c r="O52" s="1614" t="s">
        <v>1013</v>
      </c>
      <c r="P52" s="1605" t="s">
        <v>1508</v>
      </c>
      <c r="Q52" s="1606">
        <f ca="1">J53</f>
        <v>0</v>
      </c>
      <c r="R52" s="1606" t="s">
        <v>1509</v>
      </c>
    </row>
    <row r="53" spans="1:18" s="1570" customFormat="1" ht="30.75" customHeight="1" thickBot="1">
      <c r="A53" s="1271" t="s">
        <v>1105</v>
      </c>
      <c r="B53" s="329" t="s">
        <v>1372</v>
      </c>
      <c r="C53" s="322">
        <f ca="1">ROUND(IF(F53="押一",C49/12*F11,IF(F53="押二",C49/12*2*F11,IF(F53="押三",C49/12*3*F11,C54*F11))),0)</f>
        <v>0</v>
      </c>
      <c r="D53" s="1552" t="s">
        <v>2860</v>
      </c>
      <c r="E53" s="319" t="s">
        <v>1373</v>
      </c>
      <c r="F53" s="1276"/>
      <c r="I53" s="1625" t="s">
        <v>1510</v>
      </c>
      <c r="J53" s="2388">
        <f ca="1">IF(M47="住宅",IF(D1="——",MAX(J51,L48),MAX(J51,L48-'数据-取费表'!B24)),IF(D1="——",MIN(J51,L48),MIN(J51,L48-'数据-取费表'!B24)))</f>
        <v>0</v>
      </c>
      <c r="K53" s="3298" t="s">
        <v>1511</v>
      </c>
      <c r="L53" s="3299"/>
      <c r="O53" s="1604" t="s">
        <v>1014</v>
      </c>
      <c r="P53" s="1605" t="s">
        <v>1512</v>
      </c>
      <c r="Q53" s="1606" t="e">
        <f ca="1">Q47+Q48</f>
        <v>#DIV/0!</v>
      </c>
      <c r="R53" s="1606" t="s">
        <v>1015</v>
      </c>
    </row>
    <row r="54" spans="1:18" s="1570" customFormat="1" ht="13.5" thickBot="1">
      <c r="A54" s="1106"/>
      <c r="B54" s="1660" t="s">
        <v>1566</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1513</v>
      </c>
      <c r="P54" s="1567"/>
      <c r="Q54" s="1567"/>
      <c r="R54" s="1567"/>
    </row>
    <row r="55" spans="1:18" s="1570" customFormat="1" ht="13.5" thickBot="1">
      <c r="A55" s="1243" t="s">
        <v>1043</v>
      </c>
      <c r="B55" s="1555" t="s">
        <v>1376</v>
      </c>
      <c r="C55" s="1244"/>
      <c r="D55" s="1552"/>
      <c r="E55" s="1560"/>
      <c r="F55" s="1626"/>
      <c r="I55" s="1629" t="s">
        <v>1514</v>
      </c>
      <c r="J55" s="1630" t="e">
        <f ca="1">ROUND(IF(J47="钢混",J57/J50,1-(1-2%)*(J50-J57)/J50),3)</f>
        <v>#DIV/0!</v>
      </c>
      <c r="K55" s="1631" t="s">
        <v>1515</v>
      </c>
      <c r="L55" s="1632"/>
      <c r="O55" s="1597" t="s">
        <v>1485</v>
      </c>
      <c r="P55" s="1598" t="s">
        <v>1486</v>
      </c>
      <c r="Q55" s="1599" t="s">
        <v>1487</v>
      </c>
      <c r="R55" s="1599" t="s">
        <v>1488</v>
      </c>
    </row>
    <row r="56" spans="1:18" s="1570" customFormat="1" ht="36" customHeight="1" thickTop="1" thickBot="1">
      <c r="A56" s="1088">
        <v>2</v>
      </c>
      <c r="B56" s="1089" t="s">
        <v>1377</v>
      </c>
      <c r="C56" s="238">
        <f ca="1">C13</f>
        <v>0</v>
      </c>
      <c r="D56" s="1633"/>
      <c r="E56" s="1634"/>
      <c r="F56" s="1626"/>
      <c r="I56" s="1635" t="s">
        <v>1517</v>
      </c>
      <c r="J56" s="1636"/>
      <c r="K56" s="1607" t="s">
        <v>1518</v>
      </c>
      <c r="L56" s="1610">
        <f ca="1">IF(L48&lt;J51,"——",L48-J51)</f>
        <v>0</v>
      </c>
      <c r="O56" s="1604" t="s">
        <v>1008</v>
      </c>
      <c r="P56" s="1605" t="s">
        <v>1491</v>
      </c>
      <c r="Q56" s="1606" t="e">
        <f ca="1">C40+J29</f>
        <v>#DIV/0!</v>
      </c>
      <c r="R56" s="1606" t="s">
        <v>1492</v>
      </c>
    </row>
    <row r="57" spans="1:18" s="1570" customFormat="1" ht="24.75" thickBot="1">
      <c r="A57" s="1637"/>
      <c r="B57" s="1081" t="s">
        <v>1441</v>
      </c>
      <c r="C57" s="244">
        <f ca="1">C29</f>
        <v>0</v>
      </c>
      <c r="D57" s="1638"/>
      <c r="E57" s="1639"/>
      <c r="F57" s="1640"/>
      <c r="I57" s="1641" t="s">
        <v>1519</v>
      </c>
      <c r="J57" s="1642">
        <f ca="1">IF(OR(M47="住宅",J51&lt;L48,J56="是"),"——",J51-L48)</f>
        <v>0</v>
      </c>
      <c r="K57" s="1607" t="s">
        <v>1568</v>
      </c>
      <c r="L57" s="1610">
        <f ca="1">IF(L48&lt;J51,"——",IF(L55="比较法",L49,IF(L55="基准地价",L50,L51)))</f>
        <v>0</v>
      </c>
      <c r="O57" s="1604" t="s">
        <v>1009</v>
      </c>
      <c r="P57" s="1605" t="s">
        <v>1569</v>
      </c>
      <c r="Q57" s="1606" t="e">
        <f ca="1">L60</f>
        <v>#DIV/0!</v>
      </c>
      <c r="R57" s="1606" t="s">
        <v>1570</v>
      </c>
    </row>
    <row r="58" spans="1:18" s="1570" customFormat="1" ht="24.75" thickBot="1">
      <c r="A58" s="321" t="s">
        <v>998</v>
      </c>
      <c r="B58" s="1089" t="s">
        <v>1387</v>
      </c>
      <c r="C58" s="322">
        <f ca="1">ROUND(C59+C64+C65+C66,0)</f>
        <v>0</v>
      </c>
      <c r="D58" s="1091" t="s">
        <v>1388</v>
      </c>
      <c r="E58" s="1092"/>
      <c r="F58" s="1093"/>
      <c r="I58" s="1641" t="s">
        <v>1523</v>
      </c>
      <c r="J58" s="1643" t="e">
        <f ca="1">IF(J55&lt;0.4,0.4,J55)</f>
        <v>#DIV/0!</v>
      </c>
      <c r="K58" s="1620" t="s">
        <v>1571</v>
      </c>
      <c r="L58" s="1610" t="e">
        <f ca="1">ROUND(POWER(1+L52,L47-L48)*(POWER(1+L52,L48)-1)/(POWER(1+L52,L47)-1),4)</f>
        <v>#DIV/0!</v>
      </c>
      <c r="O58" s="1614" t="s">
        <v>1010</v>
      </c>
      <c r="P58" s="1605" t="s">
        <v>1525</v>
      </c>
      <c r="Q58" s="1606">
        <f>IF(L55="比较法",L49,IF(L55="基准地价",L50,0))</f>
        <v>0</v>
      </c>
      <c r="R58" s="1606" t="s">
        <v>1492</v>
      </c>
    </row>
    <row r="59" spans="1:18" s="1570" customFormat="1" ht="24.75" thickBot="1">
      <c r="A59" s="1113" t="s">
        <v>1003</v>
      </c>
      <c r="B59" s="1081" t="s">
        <v>1392</v>
      </c>
      <c r="C59" s="2536">
        <f ca="1">ROUND(IF(AND(项目基本情况!B11="自然人",项目基本情况!B10="北京市"),C49*F59/(1+'数据-取费表'!C42),C60+C61+C62),0)</f>
        <v>0</v>
      </c>
      <c r="D59" s="1094" t="s">
        <v>1393</v>
      </c>
      <c r="E59" s="1095" t="s">
        <v>1394</v>
      </c>
      <c r="F59" s="2535" t="str">
        <f>IF(项目基本情况!B11="企业","——",IF('数据-取费表'!B10="住宅",IF(F49*F50*F51/12/(1+'数据-取费表'!F30)&gt;100000,4%,2.5%),IF(F49*F50*F51/12/(1+'数据-取费表'!F30)&gt;100000,12%,7%)))</f>
        <v>——</v>
      </c>
      <c r="I59" s="1641" t="s">
        <v>1526</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1527</v>
      </c>
      <c r="Q59" s="1617">
        <f>L52</f>
        <v>0</v>
      </c>
      <c r="R59" s="1606"/>
    </row>
    <row r="60" spans="1:18" s="1570" customFormat="1" ht="16.5" thickBot="1">
      <c r="A60" s="1113" t="s">
        <v>1002</v>
      </c>
      <c r="B60" s="1081" t="s">
        <v>1396</v>
      </c>
      <c r="C60" s="24">
        <f ca="1">IF(项目基本情况!B11="自然人","——",ROUND(C48*F60/(1+'数据-取费表'!C42),0))</f>
        <v>0</v>
      </c>
      <c r="D60" s="1095" t="s">
        <v>1397</v>
      </c>
      <c r="E60" s="1081" t="s">
        <v>1385</v>
      </c>
      <c r="F60" s="337">
        <f t="shared" ref="F60:F66" si="0">F32</f>
        <v>5.6000000000000001E-2</v>
      </c>
      <c r="I60" s="1644" t="s">
        <v>1528</v>
      </c>
      <c r="J60" s="1645" t="e">
        <f ca="1">IF(OR(M47="住宅",J51&lt;L48,J56="是"),"0",ROUND(J59/(1+J52)^J53,0))</f>
        <v>#DIV/0!</v>
      </c>
      <c r="K60" s="1646" t="s">
        <v>1529</v>
      </c>
      <c r="L60" s="1645" t="e">
        <f ca="1">IF(OR(M47="住宅",L48&lt;J51),0,ROUND(L57*(L58/L59-1),0))</f>
        <v>#DIV/0!</v>
      </c>
      <c r="O60" s="1614" t="s">
        <v>1012</v>
      </c>
      <c r="P60" s="1605" t="s">
        <v>1530</v>
      </c>
      <c r="Q60" s="1606" t="e">
        <f ca="1">L58</f>
        <v>#DIV/0!</v>
      </c>
      <c r="R60" s="1606" t="s">
        <v>1531</v>
      </c>
    </row>
    <row r="61" spans="1:18" s="1570" customFormat="1" ht="13.5" thickBot="1">
      <c r="A61" s="1113" t="s">
        <v>1455</v>
      </c>
      <c r="B61" s="1081" t="s">
        <v>1456</v>
      </c>
      <c r="C61" s="24">
        <f ca="1">IF(项目基本情况!B11="自然人","——",IF(D61="按租金收入计税",ROUND(C48*F61,0),IF(D61="按房产原值计税",ROUND(C57*F61*0.7,0),INDIRECT("'数据-取费表'!Aj"&amp;$G$1))))</f>
        <v>0</v>
      </c>
      <c r="D61" s="1556" t="s">
        <v>1401</v>
      </c>
      <c r="E61" s="1081" t="s">
        <v>1457</v>
      </c>
      <c r="F61" s="328">
        <f t="shared" si="0"/>
        <v>1.2E-2</v>
      </c>
      <c r="I61" s="1647"/>
      <c r="J61" s="1647"/>
      <c r="K61" s="1647"/>
      <c r="L61" s="1647"/>
      <c r="O61" s="1614" t="s">
        <v>1013</v>
      </c>
      <c r="P61" s="1605" t="str">
        <f>K59</f>
        <v>建设期及建筑物耐用年限下的土地年期修正系数Kn</v>
      </c>
      <c r="Q61" s="1606" t="e">
        <f ca="1">L59</f>
        <v>#DIV/0!</v>
      </c>
      <c r="R61" s="1606" t="s">
        <v>1532</v>
      </c>
    </row>
    <row r="62" spans="1:18" s="1570" customFormat="1" ht="13.5" thickBot="1">
      <c r="A62" s="1113" t="s">
        <v>1458</v>
      </c>
      <c r="B62" s="1080" t="s">
        <v>1459</v>
      </c>
      <c r="C62" s="25">
        <f ca="1">IF(项目基本情况!B11="自然人","——",ROUND(F62*F63,0))</f>
        <v>0</v>
      </c>
      <c r="D62" s="1096" t="s">
        <v>1460</v>
      </c>
      <c r="E62" s="1081" t="s">
        <v>1461</v>
      </c>
      <c r="F62" s="331">
        <f t="shared" si="0"/>
        <v>0</v>
      </c>
      <c r="I62" s="1648" t="s">
        <v>1533</v>
      </c>
      <c r="J62" s="1649" t="s">
        <v>1534</v>
      </c>
      <c r="K62" s="1649" t="s">
        <v>1535</v>
      </c>
      <c r="L62" s="1649" t="s">
        <v>1536</v>
      </c>
      <c r="M62" s="1650" t="s">
        <v>1537</v>
      </c>
      <c r="O62" s="1604" t="s">
        <v>1014</v>
      </c>
      <c r="P62" s="1605" t="s">
        <v>1538</v>
      </c>
      <c r="Q62" s="1606" t="e">
        <f ca="1">Q56+Q57</f>
        <v>#DIV/0!</v>
      </c>
      <c r="R62" s="1606" t="s">
        <v>1015</v>
      </c>
    </row>
    <row r="63" spans="1:18" s="1570" customFormat="1" ht="13.5" thickBot="1">
      <c r="A63" s="332"/>
      <c r="B63" s="1087"/>
      <c r="C63" s="29"/>
      <c r="D63" s="1097"/>
      <c r="E63" s="1081" t="s">
        <v>1462</v>
      </c>
      <c r="F63" s="309">
        <f t="shared" ca="1" si="0"/>
        <v>0</v>
      </c>
      <c r="I63" s="1648" t="s">
        <v>1539</v>
      </c>
      <c r="J63" s="1649">
        <v>70</v>
      </c>
      <c r="K63" s="1649">
        <v>50</v>
      </c>
      <c r="L63" s="1649">
        <v>80</v>
      </c>
      <c r="M63" s="1651">
        <v>0.02</v>
      </c>
      <c r="O63" s="1589" t="s">
        <v>1540</v>
      </c>
      <c r="P63" s="1567"/>
      <c r="Q63" s="1567"/>
      <c r="R63" s="1567"/>
    </row>
    <row r="64" spans="1:18" s="1570" customFormat="1" ht="13.5" thickBot="1">
      <c r="A64" s="1113" t="s">
        <v>1463</v>
      </c>
      <c r="B64" s="1081" t="s">
        <v>1464</v>
      </c>
      <c r="C64" s="24">
        <f ca="1">ROUND(C57*F64,0)</f>
        <v>0</v>
      </c>
      <c r="D64" s="1095" t="s">
        <v>1465</v>
      </c>
      <c r="E64" s="1081" t="s">
        <v>1457</v>
      </c>
      <c r="F64" s="334">
        <f t="shared" ca="1" si="0"/>
        <v>0</v>
      </c>
      <c r="I64" s="1648" t="s">
        <v>1541</v>
      </c>
      <c r="J64" s="1649">
        <v>50</v>
      </c>
      <c r="K64" s="1649">
        <v>35</v>
      </c>
      <c r="L64" s="1649">
        <v>60</v>
      </c>
      <c r="M64" s="1650">
        <v>0</v>
      </c>
      <c r="O64" s="1597" t="s">
        <v>1485</v>
      </c>
      <c r="P64" s="1598" t="s">
        <v>1486</v>
      </c>
      <c r="Q64" s="1599" t="s">
        <v>1487</v>
      </c>
      <c r="R64" s="1599" t="s">
        <v>1488</v>
      </c>
    </row>
    <row r="65" spans="1:18" s="1570" customFormat="1" ht="13.5" thickBot="1">
      <c r="A65" s="1113" t="s">
        <v>1466</v>
      </c>
      <c r="B65" s="1081" t="s">
        <v>1416</v>
      </c>
      <c r="C65" s="24">
        <f ca="1">ROUND(C56*F65,0)</f>
        <v>0</v>
      </c>
      <c r="D65" s="1095" t="s">
        <v>1417</v>
      </c>
      <c r="E65" s="1081" t="s">
        <v>1418</v>
      </c>
      <c r="F65" s="336">
        <f t="shared" ca="1" si="0"/>
        <v>0</v>
      </c>
      <c r="I65" s="1648" t="s">
        <v>1542</v>
      </c>
      <c r="J65" s="1649">
        <v>40</v>
      </c>
      <c r="K65" s="1649">
        <v>30</v>
      </c>
      <c r="L65" s="1649">
        <v>50</v>
      </c>
      <c r="M65" s="1651">
        <v>0.02</v>
      </c>
      <c r="O65" s="1604" t="s">
        <v>1008</v>
      </c>
      <c r="P65" s="1605" t="s">
        <v>1543</v>
      </c>
      <c r="Q65" s="1606" t="e">
        <f ca="1">C40+J29</f>
        <v>#DIV/0!</v>
      </c>
      <c r="R65" s="1606" t="s">
        <v>1492</v>
      </c>
    </row>
    <row r="66" spans="1:18" s="1570" customFormat="1" ht="16.5" thickBot="1">
      <c r="A66" s="1113" t="s">
        <v>1467</v>
      </c>
      <c r="B66" s="1081" t="s">
        <v>1402</v>
      </c>
      <c r="C66" s="24">
        <f ca="1">ROUND(C48*F66,0)</f>
        <v>0</v>
      </c>
      <c r="D66" s="1095" t="s">
        <v>1468</v>
      </c>
      <c r="E66" s="1081" t="s">
        <v>1385</v>
      </c>
      <c r="F66" s="318">
        <f t="shared" ca="1" si="0"/>
        <v>0</v>
      </c>
      <c r="O66" s="1604" t="s">
        <v>1009</v>
      </c>
      <c r="P66" s="1605" t="s">
        <v>1521</v>
      </c>
      <c r="Q66" s="1606" t="e">
        <f ca="1">L60</f>
        <v>#DIV/0!</v>
      </c>
      <c r="R66" s="1606" t="s">
        <v>1544</v>
      </c>
    </row>
    <row r="67" spans="1:18" s="1570" customFormat="1" ht="16.5" thickBot="1">
      <c r="A67" s="1088" t="s">
        <v>999</v>
      </c>
      <c r="B67" s="1098" t="s">
        <v>1426</v>
      </c>
      <c r="C67" s="322">
        <f ca="1">C48-C58</f>
        <v>0</v>
      </c>
      <c r="D67" s="1094" t="s">
        <v>1427</v>
      </c>
      <c r="E67" s="1099"/>
      <c r="F67" s="1100"/>
      <c r="O67" s="1614" t="s">
        <v>1010</v>
      </c>
      <c r="P67" s="1605" t="s">
        <v>1525</v>
      </c>
      <c r="Q67" s="1652">
        <f ca="1">L51</f>
        <v>0</v>
      </c>
      <c r="R67" s="1606" t="s">
        <v>1545</v>
      </c>
    </row>
    <row r="68" spans="1:18" s="1570" customFormat="1" ht="16.5" thickBot="1">
      <c r="A68" s="1078" t="s">
        <v>1000</v>
      </c>
      <c r="B68" s="1079" t="s">
        <v>1448</v>
      </c>
      <c r="C68" s="307" t="e">
        <f ca="1">ROUND(C67*(1-((1+F70)/(1+F68))^F69)/(F68-F70),0)</f>
        <v>#DIV/0!</v>
      </c>
      <c r="D68" s="1096" t="s">
        <v>1432</v>
      </c>
      <c r="E68" s="1081" t="s">
        <v>1433</v>
      </c>
      <c r="F68" s="318">
        <f ca="1">F40</f>
        <v>0</v>
      </c>
      <c r="O68" s="1614" t="s">
        <v>1011</v>
      </c>
      <c r="P68" s="1653" t="s">
        <v>1546</v>
      </c>
      <c r="Q68" s="1606">
        <f ca="1">ROUND(Q69-Q70*Q71,0)</f>
        <v>0</v>
      </c>
      <c r="R68" s="1606" t="s">
        <v>1019</v>
      </c>
    </row>
    <row r="69" spans="1:18" s="1570" customFormat="1" ht="13.5" thickBot="1">
      <c r="A69" s="1082"/>
      <c r="B69" s="1083"/>
      <c r="C69" s="312"/>
      <c r="D69" s="1101" t="s">
        <v>1436</v>
      </c>
      <c r="E69" s="1081" t="s">
        <v>1437</v>
      </c>
      <c r="F69" s="339">
        <f ca="1">F41</f>
        <v>0</v>
      </c>
      <c r="O69" s="1614" t="s">
        <v>1016</v>
      </c>
      <c r="P69" s="1653" t="s">
        <v>1547</v>
      </c>
      <c r="Q69" s="1606">
        <f ca="1">C39</f>
        <v>0</v>
      </c>
      <c r="R69" s="1606" t="s">
        <v>1492</v>
      </c>
    </row>
    <row r="70" spans="1:18" s="1570" customFormat="1" ht="13.5" thickBot="1">
      <c r="A70" s="1085"/>
      <c r="B70" s="1086"/>
      <c r="C70" s="316"/>
      <c r="D70" s="1097"/>
      <c r="E70" s="1081" t="s">
        <v>1440</v>
      </c>
      <c r="F70" s="1185">
        <f ca="1">F42</f>
        <v>0</v>
      </c>
      <c r="O70" s="1614" t="s">
        <v>1017</v>
      </c>
      <c r="P70" s="1653" t="s">
        <v>1548</v>
      </c>
      <c r="Q70" s="1606">
        <f ca="1">C13</f>
        <v>0</v>
      </c>
      <c r="R70" s="1606" t="s">
        <v>1492</v>
      </c>
    </row>
    <row r="71" spans="1:18" s="1570" customFormat="1" ht="13.5" thickBot="1">
      <c r="A71" s="1102" t="s">
        <v>1001</v>
      </c>
      <c r="B71" s="1103" t="s">
        <v>1450</v>
      </c>
      <c r="C71" s="342" t="e">
        <f ca="1">ROUND(C68/F71,0)</f>
        <v>#DIV/0!</v>
      </c>
      <c r="D71" s="1104" t="s">
        <v>1451</v>
      </c>
      <c r="E71" s="1105" t="s">
        <v>1452</v>
      </c>
      <c r="F71" s="345">
        <f ca="1">F43</f>
        <v>0</v>
      </c>
      <c r="O71" s="1614" t="s">
        <v>1018</v>
      </c>
      <c r="P71" s="1653" t="s">
        <v>1549</v>
      </c>
      <c r="Q71" s="1617">
        <f ca="1">C76</f>
        <v>0</v>
      </c>
      <c r="R71" s="1606"/>
    </row>
    <row r="72" spans="1:18" s="1570" customFormat="1" ht="13.5" thickBot="1">
      <c r="B72" s="735"/>
      <c r="C72" s="735"/>
      <c r="O72" s="1614" t="s">
        <v>1012</v>
      </c>
      <c r="P72" s="1605" t="s">
        <v>1527</v>
      </c>
      <c r="Q72" s="1617">
        <f>L52</f>
        <v>0</v>
      </c>
      <c r="R72" s="1606"/>
    </row>
    <row r="73" spans="1:18" ht="16.5" thickBot="1">
      <c r="A73" s="1570"/>
      <c r="B73" s="735"/>
      <c r="C73" s="735"/>
      <c r="D73" s="1570"/>
      <c r="E73" s="1570"/>
      <c r="F73" s="1570"/>
      <c r="O73" s="1614" t="s">
        <v>1013</v>
      </c>
      <c r="P73" s="1605" t="s">
        <v>1530</v>
      </c>
      <c r="Q73" s="1606" t="e">
        <f ca="1">L58</f>
        <v>#DIV/0!</v>
      </c>
      <c r="R73" s="1606" t="s">
        <v>1531</v>
      </c>
    </row>
    <row r="74" spans="1:18" ht="13.5" thickBot="1">
      <c r="A74" s="1570"/>
      <c r="B74" s="279" t="s">
        <v>1550</v>
      </c>
      <c r="C74" s="1655"/>
      <c r="D74" s="1570"/>
      <c r="E74" s="1570"/>
      <c r="F74" s="1570"/>
      <c r="O74" s="1614" t="s">
        <v>1020</v>
      </c>
      <c r="P74" s="1605" t="str">
        <f>K59</f>
        <v>建设期及建筑物耐用年限下的土地年期修正系数Kn</v>
      </c>
      <c r="Q74" s="1606" t="e">
        <f ca="1">L59</f>
        <v>#DIV/0!</v>
      </c>
      <c r="R74" s="1606" t="s">
        <v>1532</v>
      </c>
    </row>
    <row r="75" spans="1:18" ht="13.5" thickBot="1">
      <c r="A75" s="1570"/>
      <c r="B75" s="346" t="s">
        <v>1469</v>
      </c>
      <c r="C75" s="347">
        <f ca="1">ROUND(C13*C76,0)</f>
        <v>0</v>
      </c>
      <c r="D75" s="1570"/>
      <c r="E75" s="1570"/>
      <c r="F75" s="1570"/>
      <c r="K75" s="1588"/>
      <c r="L75" s="1570"/>
      <c r="O75" s="1604" t="s">
        <v>1014</v>
      </c>
      <c r="P75" s="1605" t="s">
        <v>1512</v>
      </c>
      <c r="Q75" s="1606" t="e">
        <f ca="1">Q65+Q66</f>
        <v>#DIV/0!</v>
      </c>
      <c r="R75" s="1606" t="s">
        <v>1015</v>
      </c>
    </row>
    <row r="76" spans="1:18">
      <c r="B76" s="348" t="s">
        <v>1470</v>
      </c>
      <c r="C76" s="349">
        <f ca="1">INDIRECT("'数据-取费表'!j"&amp;$G$1)</f>
        <v>0</v>
      </c>
      <c r="I76" s="1570"/>
      <c r="J76" s="1570"/>
      <c r="K76" s="1588"/>
      <c r="L76" s="1570"/>
    </row>
    <row r="77" spans="1:18">
      <c r="B77" s="350" t="s">
        <v>1471</v>
      </c>
      <c r="C77" s="351"/>
      <c r="I77" s="1570"/>
      <c r="J77" s="1570"/>
      <c r="K77" s="1588"/>
      <c r="L77" s="1570"/>
    </row>
    <row r="78" spans="1:18">
      <c r="B78" s="276" t="s">
        <v>1472</v>
      </c>
      <c r="C78" s="352"/>
    </row>
    <row r="79" spans="1:18">
      <c r="B79" s="346" t="s">
        <v>1473</v>
      </c>
      <c r="C79" s="280" t="e">
        <f ca="1">1-C80</f>
        <v>#DIV/0!</v>
      </c>
    </row>
    <row r="80" spans="1:18">
      <c r="B80" s="346" t="s">
        <v>1474</v>
      </c>
      <c r="C80" s="280" t="e">
        <f ca="1">ROUND(C75/C39,3)</f>
        <v>#DIV/0!</v>
      </c>
    </row>
    <row r="81" spans="2:3">
      <c r="B81" s="276" t="s">
        <v>1475</v>
      </c>
      <c r="C81" s="244"/>
    </row>
    <row r="82" spans="2:3">
      <c r="B82" s="279" t="s">
        <v>1476</v>
      </c>
      <c r="C82" s="281" t="e">
        <f ca="1">1-C83</f>
        <v>#DIV/0!</v>
      </c>
    </row>
    <row r="83" spans="2:3">
      <c r="B83" s="279" t="s">
        <v>1477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2147</v>
      </c>
      <c r="B2" s="2059">
        <f ca="1">SUMIF(B6:B13,"&lt;&gt;#ref!",B6:B13)</f>
        <v>34300</v>
      </c>
      <c r="C2" s="2060" t="s">
        <v>2339</v>
      </c>
      <c r="D2" s="2061" t="s">
        <v>2340</v>
      </c>
      <c r="E2" s="2835">
        <f>SUM(E6:E13)</f>
        <v>12383.28</v>
      </c>
      <c r="F2" s="2938"/>
      <c r="G2" s="1676"/>
      <c r="H2" s="1676"/>
      <c r="I2" s="1676"/>
      <c r="J2" s="1676"/>
      <c r="K2" s="1676"/>
      <c r="L2" s="1676"/>
      <c r="M2" s="1676"/>
      <c r="N2" s="1676"/>
      <c r="O2" s="1676"/>
      <c r="P2" s="1676"/>
      <c r="Q2" s="1676"/>
      <c r="R2" s="1676"/>
      <c r="S2" s="1676"/>
    </row>
    <row r="3" spans="1:22" ht="15.75">
      <c r="A3" s="2058" t="s">
        <v>1358</v>
      </c>
      <c r="B3" s="2829">
        <f ca="1">ROUND(B2*10000/E2,0)</f>
        <v>27699</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306" t="s">
        <v>2342</v>
      </c>
      <c r="C5" s="3307"/>
      <c r="D5" s="2939"/>
      <c r="E5" s="2062" t="s">
        <v>2343</v>
      </c>
      <c r="F5" s="2063" t="s">
        <v>2344</v>
      </c>
      <c r="G5" s="1676"/>
      <c r="H5" s="1676"/>
      <c r="I5" s="1676"/>
      <c r="J5" s="1676"/>
      <c r="K5" s="1676"/>
      <c r="L5" s="1676"/>
      <c r="M5" s="1676"/>
      <c r="N5" s="1676"/>
      <c r="O5" s="1676"/>
      <c r="P5" s="1676"/>
      <c r="Q5" s="1676"/>
      <c r="R5" s="1676"/>
      <c r="S5" s="1676"/>
    </row>
    <row r="6" spans="1:22">
      <c r="A6" s="2832" t="str">
        <f>'数据-取费表'!AN6</f>
        <v>收益法</v>
      </c>
      <c r="B6" s="2830">
        <f ca="1">IF(F6="是",'数据-取费表'!AO6,0)</f>
        <v>34300</v>
      </c>
      <c r="C6" s="2060" t="s">
        <v>2339</v>
      </c>
      <c r="D6" s="2940"/>
      <c r="E6" s="2834">
        <f>IF(OR(A6=0,F6="否"),0,'数据-取费表'!K6+'数据-取费表'!S6)</f>
        <v>12383.28</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313" t="s">
        <v>1045</v>
      </c>
      <c r="B2" s="3314" t="s">
        <v>1046</v>
      </c>
      <c r="C2" s="3314"/>
      <c r="D2" s="1211" t="s">
        <v>1047</v>
      </c>
      <c r="E2" s="1211" t="s">
        <v>1048</v>
      </c>
      <c r="F2" s="1211" t="s">
        <v>1049</v>
      </c>
      <c r="G2" s="1211" t="s">
        <v>1050</v>
      </c>
      <c r="H2" s="1211" t="s">
        <v>1051</v>
      </c>
      <c r="I2" s="1212" t="s">
        <v>1052</v>
      </c>
    </row>
    <row r="3" spans="1:9">
      <c r="A3" s="3313"/>
      <c r="B3" s="3314" t="s">
        <v>1053</v>
      </c>
      <c r="C3" s="3314"/>
      <c r="D3" s="1213"/>
      <c r="E3" s="1211"/>
      <c r="F3" s="1214"/>
      <c r="G3" s="1214"/>
      <c r="H3" s="1215"/>
      <c r="I3" s="1216">
        <f>ROUND(D3*E3*F3*G3*H3/10000,0)</f>
        <v>0</v>
      </c>
    </row>
    <row r="4" spans="1:9">
      <c r="A4" s="3313"/>
      <c r="B4" s="3314" t="s">
        <v>1054</v>
      </c>
      <c r="C4" s="3314"/>
      <c r="D4" s="1213"/>
      <c r="E4" s="1211"/>
      <c r="F4" s="1214"/>
      <c r="G4" s="1214"/>
      <c r="H4" s="1215"/>
      <c r="I4" s="1216">
        <f t="shared" ref="I4:I9" si="0">ROUND(D4*E4*F4*G4*H4/10000,0)</f>
        <v>0</v>
      </c>
    </row>
    <row r="5" spans="1:9">
      <c r="A5" s="3313"/>
      <c r="B5" s="3314" t="s">
        <v>1055</v>
      </c>
      <c r="C5" s="3314"/>
      <c r="D5" s="1213"/>
      <c r="E5" s="1211"/>
      <c r="F5" s="1214"/>
      <c r="G5" s="1214"/>
      <c r="H5" s="1215"/>
      <c r="I5" s="1216">
        <f t="shared" si="0"/>
        <v>0</v>
      </c>
    </row>
    <row r="6" spans="1:9">
      <c r="A6" s="3313"/>
      <c r="B6" s="3314" t="s">
        <v>1056</v>
      </c>
      <c r="C6" s="3314"/>
      <c r="D6" s="1213"/>
      <c r="E6" s="1211"/>
      <c r="F6" s="1214"/>
      <c r="G6" s="1214"/>
      <c r="H6" s="1215"/>
      <c r="I6" s="1216">
        <f t="shared" si="0"/>
        <v>0</v>
      </c>
    </row>
    <row r="7" spans="1:9">
      <c r="A7" s="3313"/>
      <c r="B7" s="3314" t="s">
        <v>1057</v>
      </c>
      <c r="C7" s="3314"/>
      <c r="D7" s="1213"/>
      <c r="E7" s="1211"/>
      <c r="F7" s="1214"/>
      <c r="G7" s="1214"/>
      <c r="H7" s="1215"/>
      <c r="I7" s="1216">
        <f t="shared" si="0"/>
        <v>0</v>
      </c>
    </row>
    <row r="8" spans="1:9">
      <c r="A8" s="3313"/>
      <c r="B8" s="3314" t="s">
        <v>1058</v>
      </c>
      <c r="C8" s="3314"/>
      <c r="D8" s="1213"/>
      <c r="E8" s="1211"/>
      <c r="F8" s="1214"/>
      <c r="G8" s="1214"/>
      <c r="H8" s="1215"/>
      <c r="I8" s="1216">
        <f t="shared" si="0"/>
        <v>0</v>
      </c>
    </row>
    <row r="9" spans="1:9">
      <c r="A9" s="3313"/>
      <c r="B9" s="3314" t="s">
        <v>1059</v>
      </c>
      <c r="C9" s="3314"/>
      <c r="D9" s="1213"/>
      <c r="E9" s="1211"/>
      <c r="F9" s="1214"/>
      <c r="G9" s="1214"/>
      <c r="H9" s="1215"/>
      <c r="I9" s="1216">
        <f t="shared" si="0"/>
        <v>0</v>
      </c>
    </row>
    <row r="10" spans="1:9">
      <c r="A10" s="3313"/>
      <c r="B10" s="3315" t="s">
        <v>1060</v>
      </c>
      <c r="C10" s="3315"/>
      <c r="D10" s="1217"/>
      <c r="E10" s="1217" t="e">
        <f>ROUND(D1*10000/D10/H9,0)</f>
        <v>#DIV/0!</v>
      </c>
      <c r="F10" s="1218"/>
      <c r="G10" s="1218"/>
      <c r="H10" s="1219"/>
      <c r="I10" s="1220">
        <f>SUM(I3:I9)</f>
        <v>0</v>
      </c>
    </row>
    <row r="11" spans="1:9" ht="14.25">
      <c r="A11" s="3313" t="s">
        <v>1061</v>
      </c>
      <c r="B11" s="3314" t="s">
        <v>1062</v>
      </c>
      <c r="C11" s="3314"/>
      <c r="D11" s="1213" t="s">
        <v>1063</v>
      </c>
      <c r="E11" s="1213" t="s">
        <v>1064</v>
      </c>
      <c r="F11" s="1214" t="s">
        <v>1065</v>
      </c>
      <c r="G11" s="1214" t="s">
        <v>1051</v>
      </c>
      <c r="H11" s="1221" t="s">
        <v>1066</v>
      </c>
      <c r="I11" s="1212" t="s">
        <v>1052</v>
      </c>
    </row>
    <row r="12" spans="1:9">
      <c r="A12" s="3313"/>
      <c r="B12" s="3314" t="s">
        <v>1067</v>
      </c>
      <c r="C12" s="3314"/>
      <c r="D12" s="1213"/>
      <c r="E12" s="1213"/>
      <c r="F12" s="1214"/>
      <c r="G12" s="1215"/>
      <c r="H12" s="1222"/>
      <c r="I12" s="1212">
        <f>ROUND(D12*E12*F12*G12/10000,0)</f>
        <v>0</v>
      </c>
    </row>
    <row r="13" spans="1:9">
      <c r="A13" s="3313"/>
      <c r="B13" s="3314" t="s">
        <v>1068</v>
      </c>
      <c r="C13" s="3314"/>
      <c r="D13" s="1213"/>
      <c r="E13" s="1213"/>
      <c r="F13" s="1214"/>
      <c r="G13" s="1215"/>
      <c r="H13" s="1222"/>
      <c r="I13" s="1212">
        <f>ROUND(D13*E13*F13*G13/10000,0)</f>
        <v>0</v>
      </c>
    </row>
    <row r="14" spans="1:9">
      <c r="A14" s="3313"/>
      <c r="B14" s="3314" t="s">
        <v>1069</v>
      </c>
      <c r="C14" s="3314"/>
      <c r="D14" s="1213"/>
      <c r="E14" s="1213"/>
      <c r="F14" s="1214"/>
      <c r="G14" s="1215"/>
      <c r="H14" s="1222"/>
      <c r="I14" s="1212">
        <f>ROUND(D14*E14*F14*G14/10000,0)</f>
        <v>0</v>
      </c>
    </row>
    <row r="15" spans="1:9">
      <c r="A15" s="3313"/>
      <c r="B15" s="3315" t="s">
        <v>1060</v>
      </c>
      <c r="C15" s="3315"/>
      <c r="D15" s="1217"/>
      <c r="E15" s="1217">
        <f>SUM(E12:E14)</f>
        <v>0</v>
      </c>
      <c r="F15" s="1218"/>
      <c r="G15" s="1215"/>
      <c r="H15" s="1222"/>
      <c r="I15" s="1223">
        <f>SUM(I12:I14)</f>
        <v>0</v>
      </c>
    </row>
    <row r="16" spans="1:9" ht="24">
      <c r="A16" s="3313" t="s">
        <v>1070</v>
      </c>
      <c r="B16" s="3314" t="s">
        <v>1071</v>
      </c>
      <c r="C16" s="3314"/>
      <c r="D16" s="1213" t="s">
        <v>1047</v>
      </c>
      <c r="E16" s="1224" t="s">
        <v>1072</v>
      </c>
      <c r="F16" s="1214" t="s">
        <v>1073</v>
      </c>
      <c r="G16" s="1215" t="s">
        <v>1051</v>
      </c>
      <c r="H16" s="1221" t="s">
        <v>1066</v>
      </c>
      <c r="I16" s="1212" t="s">
        <v>1052</v>
      </c>
    </row>
    <row r="17" spans="1:9" ht="14.25">
      <c r="A17" s="3313"/>
      <c r="B17" s="3314" t="s">
        <v>1074</v>
      </c>
      <c r="C17" s="3314"/>
      <c r="D17" s="1213"/>
      <c r="E17" s="1213"/>
      <c r="F17" s="1214"/>
      <c r="G17" s="1215"/>
      <c r="H17" s="1225"/>
      <c r="I17" s="1226">
        <f>ROUND(D17*E17*F17*G17/10000,0)</f>
        <v>0</v>
      </c>
    </row>
    <row r="18" spans="1:9" ht="14.25">
      <c r="A18" s="3313"/>
      <c r="B18" s="3314" t="s">
        <v>1075</v>
      </c>
      <c r="C18" s="3314"/>
      <c r="D18" s="1213"/>
      <c r="E18" s="1213"/>
      <c r="F18" s="1214"/>
      <c r="G18" s="1215"/>
      <c r="H18" s="1225"/>
      <c r="I18" s="1226">
        <f>ROUND(D18*E18*F18*G18/10000,0)</f>
        <v>0</v>
      </c>
    </row>
    <row r="19" spans="1:9" ht="14.25">
      <c r="A19" s="3313"/>
      <c r="B19" s="3314" t="s">
        <v>1076</v>
      </c>
      <c r="C19" s="3314"/>
      <c r="D19" s="1213"/>
      <c r="E19" s="1213"/>
      <c r="F19" s="1214"/>
      <c r="G19" s="1215"/>
      <c r="H19" s="1225"/>
      <c r="I19" s="1226">
        <f>ROUND(D19*E19*F19*G19/10000,0)</f>
        <v>0</v>
      </c>
    </row>
    <row r="20" spans="1:9">
      <c r="A20" s="3313"/>
      <c r="B20" s="3315" t="s">
        <v>1060</v>
      </c>
      <c r="C20" s="3315"/>
      <c r="D20" s="1217">
        <f>SUM(D17:D19)</f>
        <v>0</v>
      </c>
      <c r="E20" s="1217"/>
      <c r="F20" s="1218"/>
      <c r="G20" s="1215"/>
      <c r="H20" s="1222"/>
      <c r="I20" s="1223">
        <f>SUM(I17:I19)</f>
        <v>0</v>
      </c>
    </row>
    <row r="21" spans="1:9">
      <c r="A21" s="3313" t="s">
        <v>1077</v>
      </c>
      <c r="B21" s="3317"/>
      <c r="C21" s="3317"/>
      <c r="D21" s="3317"/>
      <c r="E21" s="3317"/>
      <c r="F21" s="3317"/>
      <c r="G21" s="3317"/>
      <c r="H21" s="1504">
        <v>0.1</v>
      </c>
      <c r="I21" s="1220">
        <f>ROUND(I10*H21,0)</f>
        <v>0</v>
      </c>
    </row>
    <row r="22" spans="1:9" ht="14.25">
      <c r="A22" s="3318" t="s">
        <v>1078</v>
      </c>
      <c r="B22" s="3319"/>
      <c r="C22" s="3320"/>
      <c r="D22" s="1227" t="s">
        <v>1079</v>
      </c>
      <c r="E22" s="1227" t="s">
        <v>1080</v>
      </c>
      <c r="F22" s="1228" t="s">
        <v>1081</v>
      </c>
      <c r="G22" s="1228" t="s">
        <v>1082</v>
      </c>
      <c r="H22" s="1221" t="s">
        <v>1083</v>
      </c>
      <c r="I22" s="1212" t="s">
        <v>1084</v>
      </c>
    </row>
    <row r="23" spans="1:9" ht="14.25" thickBot="1">
      <c r="A23" s="3321"/>
      <c r="B23" s="3322"/>
      <c r="C23" s="3323"/>
      <c r="D23" s="1229"/>
      <c r="E23" s="1229"/>
      <c r="F23" s="1229"/>
      <c r="G23" s="1230"/>
      <c r="H23" s="1231"/>
      <c r="I23" s="1232">
        <f>ROUND(E23*D23*F23*(1-G23)/10000,0)</f>
        <v>0</v>
      </c>
    </row>
    <row r="26" spans="1:9">
      <c r="A26" s="1233" t="s">
        <v>1085</v>
      </c>
      <c r="B26" s="1233"/>
      <c r="C26" s="1233"/>
      <c r="D26" s="1233"/>
      <c r="E26" s="3324">
        <f>C27-C30-C31-C32</f>
        <v>0</v>
      </c>
      <c r="F26" s="3324"/>
      <c r="G26" s="3324"/>
      <c r="H26" s="1501" t="s">
        <v>1306</v>
      </c>
    </row>
    <row r="27" spans="1:9">
      <c r="A27" s="1234">
        <v>1</v>
      </c>
      <c r="B27" s="1235" t="s">
        <v>1086</v>
      </c>
      <c r="C27" s="1235">
        <f>C28+C29</f>
        <v>0</v>
      </c>
      <c r="D27" s="1235"/>
      <c r="E27" s="3325"/>
      <c r="F27" s="3325"/>
      <c r="G27" s="3325"/>
    </row>
    <row r="28" spans="1:9">
      <c r="A28" s="1236" t="s">
        <v>1087</v>
      </c>
      <c r="B28" s="1235" t="s">
        <v>1088</v>
      </c>
      <c r="C28" s="1235"/>
      <c r="D28" s="1235"/>
      <c r="E28" s="3325"/>
      <c r="F28" s="3325"/>
      <c r="G28" s="332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6"/>
      <c r="F32" s="3316"/>
      <c r="G32" s="3316"/>
    </row>
    <row r="33" spans="1:7" hidden="1">
      <c r="A33" s="3326" t="s">
        <v>1097</v>
      </c>
      <c r="B33" s="3327"/>
      <c r="C33" s="3327"/>
      <c r="D33" s="3328"/>
      <c r="E33" s="3324"/>
      <c r="F33" s="3324"/>
      <c r="G33" s="3324"/>
    </row>
    <row r="34" spans="1:7" hidden="1">
      <c r="A34" s="1238">
        <v>1</v>
      </c>
      <c r="B34" s="1235" t="s">
        <v>1098</v>
      </c>
      <c r="C34" s="1235"/>
      <c r="D34" s="1235"/>
      <c r="E34" s="3325"/>
      <c r="F34" s="3325"/>
      <c r="G34" s="3325"/>
    </row>
    <row r="35" spans="1:7" hidden="1">
      <c r="A35" s="1238">
        <v>2</v>
      </c>
      <c r="B35" s="1235" t="s">
        <v>1099</v>
      </c>
      <c r="C35" s="1235"/>
      <c r="D35" s="1235"/>
      <c r="E35" s="3325"/>
      <c r="F35" s="3325"/>
      <c r="G35" s="3325"/>
    </row>
    <row r="36" spans="1:7" hidden="1">
      <c r="A36" s="1238">
        <v>3</v>
      </c>
      <c r="B36" s="1235" t="s">
        <v>1100</v>
      </c>
      <c r="C36" s="1235"/>
      <c r="D36" s="1235"/>
      <c r="E36" s="3325"/>
      <c r="F36" s="3325"/>
      <c r="G36" s="3325"/>
    </row>
    <row r="37" spans="1:7" hidden="1">
      <c r="A37" s="1238">
        <v>4</v>
      </c>
      <c r="B37" s="1235" t="s">
        <v>1101</v>
      </c>
      <c r="C37" s="1235"/>
      <c r="D37" s="1235"/>
      <c r="E37" s="3325"/>
      <c r="F37" s="3325"/>
      <c r="G37" s="3325"/>
    </row>
    <row r="38" spans="1:7" hidden="1">
      <c r="A38" s="3326" t="s">
        <v>1102</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41" sqref="I4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1357</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1358</v>
      </c>
      <c r="B3" s="359" t="e">
        <f ca="1">IF(C2="——",C49,ROUND(B2*10000/D3,0))</f>
        <v>#DIV/0!</v>
      </c>
      <c r="C3" s="360" t="s">
        <v>2354</v>
      </c>
      <c r="D3" s="359">
        <f>IF(D1="",'数据-汇总表'!E3,SUMIF('数据-汇总表'!$C19:$C33,D1,'数据-汇总表'!$E19:$E33))</f>
        <v>12383.28</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265" t="s">
        <v>2356</v>
      </c>
      <c r="D4" s="3266"/>
      <c r="E4" s="3267" t="s">
        <v>2357</v>
      </c>
      <c r="F4" s="3268"/>
      <c r="G4" s="3265" t="s">
        <v>2358</v>
      </c>
      <c r="H4" s="3266"/>
      <c r="I4" s="3265" t="s">
        <v>2359</v>
      </c>
      <c r="J4" s="3266"/>
      <c r="K4" s="2077" t="s">
        <v>2360</v>
      </c>
      <c r="L4" s="2946"/>
      <c r="M4" s="2947"/>
      <c r="N4" s="2947"/>
      <c r="O4" s="2947"/>
      <c r="P4" s="3269" t="s">
        <v>2361</v>
      </c>
      <c r="Q4" s="3270"/>
      <c r="R4" s="3252" t="s">
        <v>2357</v>
      </c>
      <c r="S4" s="3253"/>
      <c r="T4" s="3252" t="s">
        <v>2358</v>
      </c>
      <c r="U4" s="3253"/>
      <c r="V4" s="3249" t="s">
        <v>2359</v>
      </c>
      <c r="W4" s="3249"/>
      <c r="X4" s="1541"/>
      <c r="Y4" s="3252" t="s">
        <v>2361</v>
      </c>
      <c r="Z4" s="3253"/>
      <c r="AA4" s="3246" t="s">
        <v>2357</v>
      </c>
      <c r="AB4" s="3246" t="s">
        <v>2358</v>
      </c>
      <c r="AC4" s="3246" t="s">
        <v>2359</v>
      </c>
    </row>
    <row r="5" spans="1:29" ht="15">
      <c r="A5" s="364"/>
      <c r="B5" s="365"/>
      <c r="C5" s="3258" t="s">
        <v>2362</v>
      </c>
      <c r="D5" s="3259"/>
      <c r="E5" s="3256" t="s">
        <v>2363</v>
      </c>
      <c r="F5" s="3257"/>
      <c r="G5" s="3258" t="s">
        <v>2364</v>
      </c>
      <c r="H5" s="3259"/>
      <c r="I5" s="3258" t="s">
        <v>2365</v>
      </c>
      <c r="J5" s="3259"/>
      <c r="K5" s="2078"/>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2078"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50" t="s">
        <v>2369</v>
      </c>
      <c r="Q7" s="3277"/>
      <c r="R7" s="710" t="s">
        <v>23</v>
      </c>
      <c r="S7" s="711">
        <f t="shared" ref="S7:S15" si="0">F7</f>
        <v>0</v>
      </c>
      <c r="T7" s="710" t="s">
        <v>23</v>
      </c>
      <c r="U7" s="711">
        <f t="shared" ref="U7:U15" si="1">H7</f>
        <v>0</v>
      </c>
      <c r="V7" s="710" t="s">
        <v>23</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50" t="s">
        <v>2372</v>
      </c>
      <c r="Q8" s="3251"/>
      <c r="R8" s="710" t="s">
        <v>23</v>
      </c>
      <c r="S8" s="711">
        <f t="shared" si="0"/>
        <v>0</v>
      </c>
      <c r="T8" s="710" t="s">
        <v>23</v>
      </c>
      <c r="U8" s="711">
        <f t="shared" si="1"/>
        <v>0</v>
      </c>
      <c r="V8" s="710" t="s">
        <v>23</v>
      </c>
      <c r="W8" s="711">
        <f t="shared" si="2"/>
        <v>0</v>
      </c>
      <c r="X8" s="712"/>
      <c r="Y8" s="3250" t="s">
        <v>2372</v>
      </c>
      <c r="Z8" s="325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64"/>
      <c r="Q11" s="1529"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64"/>
      <c r="Q12" s="1529">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64"/>
      <c r="Q13" s="1529">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64"/>
      <c r="Q14" s="1529">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2379</v>
      </c>
      <c r="B15" s="65" t="s">
        <v>1942</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8" t="s">
        <v>2380</v>
      </c>
      <c r="Q15" s="1538" t="str">
        <f t="shared" si="6"/>
        <v>居住社区成熟度</v>
      </c>
      <c r="R15" s="714" t="s">
        <v>21</v>
      </c>
      <c r="S15" s="715">
        <f t="shared" si="0"/>
        <v>100</v>
      </c>
      <c r="T15" s="714" t="s">
        <v>21</v>
      </c>
      <c r="U15" s="715">
        <f t="shared" si="1"/>
        <v>100</v>
      </c>
      <c r="V15" s="714" t="s">
        <v>21</v>
      </c>
      <c r="W15" s="715">
        <f t="shared" si="2"/>
        <v>100</v>
      </c>
      <c r="X15" s="1541"/>
      <c r="Y15" s="3280"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9"/>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9"/>
      <c r="Q17" s="1538" t="str">
        <f>B17</f>
        <v>交通便捷度</v>
      </c>
      <c r="R17" s="714" t="s">
        <v>21</v>
      </c>
      <c r="S17" s="715">
        <f>F17</f>
        <v>100</v>
      </c>
      <c r="T17" s="714" t="s">
        <v>21</v>
      </c>
      <c r="U17" s="715">
        <f>H17</f>
        <v>100</v>
      </c>
      <c r="V17" s="714" t="s">
        <v>21</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9"/>
      <c r="Q18" s="1538"/>
      <c r="R18" s="714"/>
      <c r="S18" s="715"/>
      <c r="T18" s="714"/>
      <c r="U18" s="715"/>
      <c r="V18" s="714"/>
      <c r="W18" s="715"/>
      <c r="X18" s="1541"/>
      <c r="Y18" s="3281"/>
      <c r="Z18" s="1542"/>
      <c r="AA18" s="1539">
        <v>1</v>
      </c>
      <c r="AB18" s="1539">
        <v>1</v>
      </c>
      <c r="AC18" s="1539">
        <v>1</v>
      </c>
    </row>
    <row r="19" spans="1:29" ht="42.75">
      <c r="A19" s="387"/>
      <c r="B19" s="410" t="s">
        <v>1943</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9"/>
      <c r="Q19" s="1538" t="str">
        <f>B19</f>
        <v>公共配套设施</v>
      </c>
      <c r="R19" s="714" t="s">
        <v>21</v>
      </c>
      <c r="S19" s="715">
        <f>F19</f>
        <v>100</v>
      </c>
      <c r="T19" s="714" t="s">
        <v>21</v>
      </c>
      <c r="U19" s="715">
        <f>H19</f>
        <v>100</v>
      </c>
      <c r="V19" s="714" t="s">
        <v>21</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9"/>
      <c r="Q20" s="1538"/>
      <c r="R20" s="714"/>
      <c r="S20" s="715"/>
      <c r="T20" s="714"/>
      <c r="U20" s="715"/>
      <c r="V20" s="714"/>
      <c r="W20" s="715"/>
      <c r="X20" s="1541"/>
      <c r="Y20" s="3281"/>
      <c r="Z20" s="1542"/>
      <c r="AA20" s="1539">
        <v>1</v>
      </c>
      <c r="AB20" s="1539">
        <v>1</v>
      </c>
      <c r="AC20" s="1539">
        <v>1</v>
      </c>
    </row>
    <row r="21" spans="1:29" ht="28.5">
      <c r="A21" s="387"/>
      <c r="B21" s="1293" t="s">
        <v>1945</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9"/>
      <c r="Q22" s="1538"/>
      <c r="R22" s="714"/>
      <c r="S22" s="715"/>
      <c r="T22" s="714"/>
      <c r="U22" s="715"/>
      <c r="V22" s="714"/>
      <c r="W22" s="715"/>
      <c r="X22" s="1541"/>
      <c r="Y22" s="3281"/>
      <c r="Z22" s="1542"/>
      <c r="AA22" s="1539">
        <v>1</v>
      </c>
      <c r="AB22" s="1539">
        <v>1</v>
      </c>
      <c r="AC22" s="1539">
        <v>1</v>
      </c>
    </row>
    <row r="23" spans="1:29" ht="57">
      <c r="A23" s="387"/>
      <c r="B23" s="410" t="s">
        <v>1946</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9"/>
      <c r="Q23" s="1538" t="str">
        <f>B23</f>
        <v>自然及人文环境</v>
      </c>
      <c r="R23" s="714" t="s">
        <v>21</v>
      </c>
      <c r="S23" s="715">
        <f>F23</f>
        <v>100</v>
      </c>
      <c r="T23" s="714" t="s">
        <v>21</v>
      </c>
      <c r="U23" s="715">
        <f>H23</f>
        <v>100</v>
      </c>
      <c r="V23" s="714" t="s">
        <v>21</v>
      </c>
      <c r="W23" s="715">
        <f>J23</f>
        <v>100</v>
      </c>
      <c r="X23" s="1541"/>
      <c r="Y23" s="328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9"/>
      <c r="Q24" s="1538"/>
      <c r="R24" s="714"/>
      <c r="S24" s="715"/>
      <c r="T24" s="714"/>
      <c r="U24" s="715"/>
      <c r="V24" s="714"/>
      <c r="W24" s="715"/>
      <c r="X24" s="1541"/>
      <c r="Y24" s="3281"/>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1"/>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9"/>
      <c r="Q26" s="1538" t="str">
        <f t="shared" si="11"/>
        <v>朝向</v>
      </c>
      <c r="R26" s="714" t="s">
        <v>21</v>
      </c>
      <c r="S26" s="715">
        <f t="shared" si="12"/>
        <v>100</v>
      </c>
      <c r="T26" s="714" t="s">
        <v>21</v>
      </c>
      <c r="U26" s="715">
        <f t="shared" si="13"/>
        <v>100</v>
      </c>
      <c r="V26" s="714" t="s">
        <v>21</v>
      </c>
      <c r="W26" s="715">
        <f t="shared" si="14"/>
        <v>100</v>
      </c>
      <c r="X26" s="1541"/>
      <c r="Y26" s="328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9"/>
      <c r="Q27" s="1529">
        <f t="shared" si="11"/>
        <v>111</v>
      </c>
      <c r="R27" s="710" t="s">
        <v>21</v>
      </c>
      <c r="S27" s="711">
        <f t="shared" si="12"/>
        <v>100</v>
      </c>
      <c r="T27" s="710" t="s">
        <v>21</v>
      </c>
      <c r="U27" s="711">
        <f t="shared" si="13"/>
        <v>100</v>
      </c>
      <c r="V27" s="710" t="s">
        <v>21</v>
      </c>
      <c r="W27" s="711">
        <f t="shared" si="14"/>
        <v>100</v>
      </c>
      <c r="X27" s="712"/>
      <c r="Y27" s="328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9"/>
      <c r="Q28" s="1538">
        <f t="shared" si="11"/>
        <v>111</v>
      </c>
      <c r="R28" s="714" t="s">
        <v>21</v>
      </c>
      <c r="S28" s="715">
        <f t="shared" si="12"/>
        <v>100</v>
      </c>
      <c r="T28" s="714" t="s">
        <v>21</v>
      </c>
      <c r="U28" s="715">
        <f t="shared" si="13"/>
        <v>100</v>
      </c>
      <c r="V28" s="714" t="s">
        <v>21</v>
      </c>
      <c r="W28" s="715">
        <f t="shared" si="14"/>
        <v>100</v>
      </c>
      <c r="X28" s="1541"/>
      <c r="Y28" s="328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9"/>
      <c r="Q29" s="1538">
        <f t="shared" si="11"/>
        <v>111</v>
      </c>
      <c r="R29" s="714" t="s">
        <v>21</v>
      </c>
      <c r="S29" s="715">
        <f t="shared" si="12"/>
        <v>100</v>
      </c>
      <c r="T29" s="714" t="s">
        <v>21</v>
      </c>
      <c r="U29" s="715">
        <f t="shared" si="13"/>
        <v>100</v>
      </c>
      <c r="V29" s="714" t="s">
        <v>21</v>
      </c>
      <c r="W29" s="715">
        <f t="shared" si="14"/>
        <v>100</v>
      </c>
      <c r="X29" s="1541"/>
      <c r="Y29" s="328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9"/>
      <c r="Q30" s="1538">
        <f t="shared" si="11"/>
        <v>111</v>
      </c>
      <c r="R30" s="714" t="s">
        <v>21</v>
      </c>
      <c r="S30" s="715">
        <f t="shared" si="12"/>
        <v>100</v>
      </c>
      <c r="T30" s="714" t="s">
        <v>21</v>
      </c>
      <c r="U30" s="715">
        <f t="shared" si="13"/>
        <v>100</v>
      </c>
      <c r="V30" s="714" t="s">
        <v>21</v>
      </c>
      <c r="W30" s="715">
        <f t="shared" si="14"/>
        <v>100</v>
      </c>
      <c r="X30" s="1541"/>
      <c r="Y30" s="328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9"/>
      <c r="Q31" s="1538">
        <f t="shared" si="11"/>
        <v>111</v>
      </c>
      <c r="R31" s="714" t="s">
        <v>21</v>
      </c>
      <c r="S31" s="715">
        <f t="shared" si="12"/>
        <v>100</v>
      </c>
      <c r="T31" s="714" t="s">
        <v>21</v>
      </c>
      <c r="U31" s="715">
        <f t="shared" si="13"/>
        <v>100</v>
      </c>
      <c r="V31" s="714" t="s">
        <v>21</v>
      </c>
      <c r="W31" s="715">
        <f t="shared" si="14"/>
        <v>100</v>
      </c>
      <c r="X31" s="1541"/>
      <c r="Y31" s="3281"/>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82" t="s">
        <v>2385</v>
      </c>
      <c r="Q32" s="1538" t="str">
        <f t="shared" si="11"/>
        <v>建筑类型</v>
      </c>
      <c r="R32" s="714" t="s">
        <v>21</v>
      </c>
      <c r="S32" s="715">
        <f t="shared" si="12"/>
        <v>100</v>
      </c>
      <c r="T32" s="714" t="s">
        <v>21</v>
      </c>
      <c r="U32" s="715">
        <f t="shared" si="13"/>
        <v>100</v>
      </c>
      <c r="V32" s="714" t="s">
        <v>21</v>
      </c>
      <c r="W32" s="715">
        <f t="shared" si="14"/>
        <v>100</v>
      </c>
      <c r="X32" s="1541"/>
      <c r="Y32" s="3285"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83"/>
      <c r="Q33" s="716" t="str">
        <f t="shared" si="11"/>
        <v>项目建筑规模</v>
      </c>
      <c r="R33" s="717" t="s">
        <v>21</v>
      </c>
      <c r="S33" s="718" t="e">
        <f t="shared" si="12"/>
        <v>#N/A</v>
      </c>
      <c r="T33" s="717" t="s">
        <v>21</v>
      </c>
      <c r="U33" s="718" t="e">
        <f t="shared" si="13"/>
        <v>#N/A</v>
      </c>
      <c r="V33" s="717" t="s">
        <v>21</v>
      </c>
      <c r="W33" s="718" t="e">
        <f t="shared" si="14"/>
        <v>#N/A</v>
      </c>
      <c r="X33" s="719"/>
      <c r="Y33" s="3285"/>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83"/>
      <c r="Q34" s="1538" t="str">
        <f t="shared" si="11"/>
        <v>建筑结构</v>
      </c>
      <c r="R34" s="714" t="s">
        <v>21</v>
      </c>
      <c r="S34" s="715">
        <f t="shared" si="12"/>
        <v>100</v>
      </c>
      <c r="T34" s="714" t="s">
        <v>21</v>
      </c>
      <c r="U34" s="715">
        <f t="shared" si="13"/>
        <v>100</v>
      </c>
      <c r="V34" s="714" t="s">
        <v>21</v>
      </c>
      <c r="W34" s="715">
        <f t="shared" si="14"/>
        <v>100</v>
      </c>
      <c r="X34" s="1541"/>
      <c r="Y34" s="3285"/>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83"/>
      <c r="Q35" s="1538" t="str">
        <f t="shared" si="11"/>
        <v>建筑品质</v>
      </c>
      <c r="R35" s="714" t="s">
        <v>21</v>
      </c>
      <c r="S35" s="715">
        <f t="shared" si="12"/>
        <v>100</v>
      </c>
      <c r="T35" s="714" t="s">
        <v>21</v>
      </c>
      <c r="U35" s="715">
        <f t="shared" si="13"/>
        <v>100</v>
      </c>
      <c r="V35" s="714" t="s">
        <v>21</v>
      </c>
      <c r="W35" s="715">
        <f t="shared" si="14"/>
        <v>100</v>
      </c>
      <c r="X35" s="1541"/>
      <c r="Y35" s="3285"/>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83"/>
      <c r="Q36" s="1538" t="str">
        <f t="shared" si="11"/>
        <v>公共部分装修</v>
      </c>
      <c r="R36" s="714" t="s">
        <v>21</v>
      </c>
      <c r="S36" s="715">
        <f t="shared" si="12"/>
        <v>100</v>
      </c>
      <c r="T36" s="714" t="s">
        <v>21</v>
      </c>
      <c r="U36" s="715">
        <f t="shared" si="13"/>
        <v>100</v>
      </c>
      <c r="V36" s="714" t="s">
        <v>21</v>
      </c>
      <c r="W36" s="715">
        <f t="shared" si="14"/>
        <v>100</v>
      </c>
      <c r="X36" s="1541"/>
      <c r="Y36" s="3285"/>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83"/>
      <c r="Q37" s="1529" t="str">
        <f t="shared" si="11"/>
        <v>成新度</v>
      </c>
      <c r="R37" s="710" t="s">
        <v>21</v>
      </c>
      <c r="S37" s="711" t="e">
        <f t="shared" si="12"/>
        <v>#N/A</v>
      </c>
      <c r="T37" s="710" t="s">
        <v>21</v>
      </c>
      <c r="U37" s="711" t="e">
        <f t="shared" si="13"/>
        <v>#N/A</v>
      </c>
      <c r="V37" s="710" t="s">
        <v>21</v>
      </c>
      <c r="W37" s="711" t="e">
        <f t="shared" si="14"/>
        <v>#N/A</v>
      </c>
      <c r="X37" s="712"/>
      <c r="Y37" s="3285"/>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83" t="s">
        <v>2385</v>
      </c>
      <c r="Q38" s="1538" t="str">
        <f t="shared" si="11"/>
        <v>物业管理</v>
      </c>
      <c r="R38" s="714" t="s">
        <v>21</v>
      </c>
      <c r="S38" s="715">
        <f t="shared" si="12"/>
        <v>100</v>
      </c>
      <c r="T38" s="714" t="s">
        <v>21</v>
      </c>
      <c r="U38" s="715">
        <f t="shared" si="13"/>
        <v>100</v>
      </c>
      <c r="V38" s="714" t="s">
        <v>21</v>
      </c>
      <c r="W38" s="715">
        <f t="shared" si="14"/>
        <v>100</v>
      </c>
      <c r="X38" s="1541"/>
      <c r="Y38" s="3285"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83"/>
      <c r="Q39" s="1538" t="str">
        <f t="shared" si="11"/>
        <v>市政基础设施</v>
      </c>
      <c r="R39" s="714" t="s">
        <v>21</v>
      </c>
      <c r="S39" s="715">
        <f t="shared" si="12"/>
        <v>100</v>
      </c>
      <c r="T39" s="714" t="s">
        <v>21</v>
      </c>
      <c r="U39" s="715">
        <f t="shared" si="13"/>
        <v>100</v>
      </c>
      <c r="V39" s="714" t="s">
        <v>21</v>
      </c>
      <c r="W39" s="715">
        <f t="shared" si="14"/>
        <v>100</v>
      </c>
      <c r="X39" s="1541"/>
      <c r="Y39" s="3285"/>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83"/>
      <c r="Q40" s="1538" t="str">
        <f t="shared" si="11"/>
        <v>房型</v>
      </c>
      <c r="R40" s="714" t="s">
        <v>21</v>
      </c>
      <c r="S40" s="715">
        <f t="shared" si="12"/>
        <v>100</v>
      </c>
      <c r="T40" s="714" t="s">
        <v>21</v>
      </c>
      <c r="U40" s="715">
        <f t="shared" si="13"/>
        <v>100</v>
      </c>
      <c r="V40" s="714" t="s">
        <v>21</v>
      </c>
      <c r="W40" s="715">
        <f t="shared" si="14"/>
        <v>100</v>
      </c>
      <c r="X40" s="1541"/>
      <c r="Y40" s="3285"/>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83"/>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83"/>
      <c r="Q42" s="1538" t="str">
        <f t="shared" si="11"/>
        <v>内部装修</v>
      </c>
      <c r="R42" s="714" t="s">
        <v>21</v>
      </c>
      <c r="S42" s="715">
        <f t="shared" si="12"/>
        <v>100</v>
      </c>
      <c r="T42" s="714" t="s">
        <v>21</v>
      </c>
      <c r="U42" s="715">
        <f t="shared" si="13"/>
        <v>100</v>
      </c>
      <c r="V42" s="714" t="s">
        <v>21</v>
      </c>
      <c r="W42" s="715">
        <f t="shared" si="14"/>
        <v>100</v>
      </c>
      <c r="X42" s="1541"/>
      <c r="Y42" s="3285"/>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83"/>
      <c r="Q43" s="1538" t="str">
        <f t="shared" si="11"/>
        <v>内部装修维护情况</v>
      </c>
      <c r="R43" s="714" t="s">
        <v>21</v>
      </c>
      <c r="S43" s="715">
        <f t="shared" si="12"/>
        <v>100</v>
      </c>
      <c r="T43" s="714" t="s">
        <v>21</v>
      </c>
      <c r="U43" s="715">
        <f t="shared" si="13"/>
        <v>100</v>
      </c>
      <c r="V43" s="714" t="s">
        <v>21</v>
      </c>
      <c r="W43" s="715">
        <f t="shared" si="14"/>
        <v>100</v>
      </c>
      <c r="X43" s="1541"/>
      <c r="Y43" s="328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83"/>
      <c r="Q44" s="1529">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83"/>
      <c r="Q45" s="1538">
        <f t="shared" si="11"/>
        <v>111</v>
      </c>
      <c r="R45" s="714" t="s">
        <v>21</v>
      </c>
      <c r="S45" s="715">
        <f t="shared" si="12"/>
        <v>100</v>
      </c>
      <c r="T45" s="714" t="s">
        <v>21</v>
      </c>
      <c r="U45" s="715">
        <f t="shared" si="13"/>
        <v>100</v>
      </c>
      <c r="V45" s="714" t="s">
        <v>21</v>
      </c>
      <c r="W45" s="715">
        <f t="shared" si="14"/>
        <v>100</v>
      </c>
      <c r="X45" s="1541"/>
      <c r="Y45" s="328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84"/>
      <c r="Q46" s="1538">
        <f t="shared" si="11"/>
        <v>111</v>
      </c>
      <c r="R46" s="714" t="s">
        <v>20</v>
      </c>
      <c r="S46" s="715">
        <f t="shared" si="12"/>
        <v>100</v>
      </c>
      <c r="T46" s="714" t="s">
        <v>20</v>
      </c>
      <c r="U46" s="715">
        <f t="shared" si="13"/>
        <v>100</v>
      </c>
      <c r="V46" s="714" t="s">
        <v>20</v>
      </c>
      <c r="W46" s="715">
        <f t="shared" si="14"/>
        <v>100</v>
      </c>
      <c r="X46" s="1541"/>
      <c r="Y46" s="3286"/>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287" t="str">
        <f>A47</f>
        <v>成交单价（元/平方米）</v>
      </c>
      <c r="Q47" s="3287"/>
      <c r="R47" s="3288">
        <f>E47</f>
        <v>0</v>
      </c>
      <c r="S47" s="3288"/>
      <c r="T47" s="3288">
        <f>G47</f>
        <v>0</v>
      </c>
      <c r="U47" s="3288"/>
      <c r="V47" s="3288">
        <f>I47</f>
        <v>0</v>
      </c>
      <c r="W47" s="3288"/>
      <c r="X47" s="699"/>
      <c r="Y47" s="721"/>
      <c r="Z47" s="699"/>
      <c r="AA47" s="699"/>
      <c r="AB47" s="699"/>
      <c r="AC47" s="699"/>
    </row>
    <row r="48" spans="1:29" ht="15.75" thickBot="1">
      <c r="A48" s="445" t="s">
        <v>2398</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289" t="str">
        <f>A49</f>
        <v>估价对象XX用房的比较价值（楼面单价，元/平方米）</v>
      </c>
      <c r="Q49" s="3290"/>
      <c r="R49" s="3291" t="e">
        <f>IF(F1="售价",ROUND(IF(D48="简单平均",AVERAGE(R48:V48),R48*F48+T48*H48+V48*J48),0),ROUND(IF(D48="简单平均",AVERAGE(R48:V48),R48*F48+T48*H48+V48*J48),1))</f>
        <v>#DIV/0!</v>
      </c>
      <c r="S49" s="3291"/>
      <c r="T49" s="3291"/>
      <c r="U49" s="3291"/>
      <c r="V49" s="3291"/>
      <c r="W49" s="329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1574</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1575</v>
      </c>
    </row>
    <row r="6" spans="1:1" ht="18.75">
      <c r="A6" s="1669" t="s">
        <v>1576</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估价对象为北京市房地产，为所有。根据《国有土地使用证》[]，估价对象（分摊）出让国有建设用地使用权面积为0平方米，建筑面积为12383.28平方米。</v>
      </c>
    </row>
    <row r="8" spans="1:1" ht="57.75">
      <c r="A8" s="1670" t="s">
        <v>1577</v>
      </c>
    </row>
    <row r="9" spans="1:1" ht="18.75">
      <c r="A9" s="1669" t="s">
        <v>1578</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估价对象为北京市房地产,属开发建设的，该项目尚在开发建设中。根据《国有土地使用证》[]，估价对象（分摊）出让国有建设用地使用权面积为0平方米，规划建筑面积为12383.28平方米。</v>
      </c>
    </row>
    <row r="11" spans="1:1" ht="76.5">
      <c r="A11" s="1670" t="s">
        <v>1579</v>
      </c>
    </row>
    <row r="12" spans="1:1" ht="18.75">
      <c r="A12" s="1668" t="s">
        <v>1580</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1581</v>
      </c>
    </row>
    <row r="15" spans="1:1" ht="18">
      <c r="A15" s="1673" t="str">
        <f>TEXT(项目基本情况!D3,"yyyy年m月d日;;")&amp;IF(项目基本情况!D3=项目基本情况!B3,"（评估专业人员实地查勘之日）","")</f>
        <v>2020年9月8日</v>
      </c>
    </row>
    <row r="16" spans="1:1" ht="18.75">
      <c r="A16" s="1672" t="s">
        <v>1582</v>
      </c>
    </row>
    <row r="17" spans="1:1" ht="75">
      <c r="A17" s="1667" t="s">
        <v>1583</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1572</v>
      </c>
    </row>
    <row r="24" spans="1:1" ht="18">
      <c r="A24" s="1674" t="str">
        <f>"本次评估采用的主估价方法为"&amp;结果表!K4&amp;"和"&amp;结果表!L4&amp;"。"</f>
        <v>本次评估采用的主估价方法为收益法和基准地价系数修正法。</v>
      </c>
    </row>
    <row r="25" spans="1:1" ht="18">
      <c r="A25" s="1674"/>
    </row>
    <row r="26" spans="1:1" ht="18.75">
      <c r="A26" s="1675" t="s">
        <v>1573</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106" sqref="C10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#N/A</v>
      </c>
      <c r="C2" s="2069"/>
      <c r="D2" s="1275" t="e">
        <f ca="1">SUMIF(INDIRECT("'"&amp;F2&amp;"'"&amp;"!A:A"),"承租人权益价值",INDIRECT("'"&amp;F2&amp;"'"&amp;"!c:c"))</f>
        <v>#REF!</v>
      </c>
      <c r="E2" s="2070" t="s">
        <v>2148</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#N/A</v>
      </c>
      <c r="C3" s="360" t="s">
        <v>2464</v>
      </c>
      <c r="D3" s="359">
        <f>IF(D1="",'数据-汇总表'!E3,SUMIF('数据-汇总表'!$C19:$C33,D1,'数据-汇总表'!$E19:$E33))</f>
        <v>12383.28</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335" t="s">
        <v>2471</v>
      </c>
      <c r="Q4" s="3336"/>
      <c r="R4" s="3330" t="s">
        <v>2467</v>
      </c>
      <c r="S4" s="3331"/>
      <c r="T4" s="3330" t="s">
        <v>2468</v>
      </c>
      <c r="U4" s="3331"/>
      <c r="V4" s="3339" t="s">
        <v>2469</v>
      </c>
      <c r="W4" s="3339"/>
      <c r="X4" s="2146"/>
      <c r="Y4" s="3330" t="s">
        <v>2471</v>
      </c>
      <c r="Z4" s="3331"/>
      <c r="AA4" s="3329" t="s">
        <v>2467</v>
      </c>
      <c r="AB4" s="3329" t="s">
        <v>2468</v>
      </c>
      <c r="AC4" s="3332" t="s">
        <v>2469</v>
      </c>
    </row>
    <row r="5" spans="1:29" ht="15">
      <c r="A5" s="364"/>
      <c r="B5" s="365"/>
      <c r="C5" s="3258" t="s">
        <v>2362</v>
      </c>
      <c r="D5" s="3259"/>
      <c r="E5" s="3256" t="s">
        <v>2363</v>
      </c>
      <c r="F5" s="3257"/>
      <c r="G5" s="3258" t="s">
        <v>2364</v>
      </c>
      <c r="H5" s="3259"/>
      <c r="I5" s="3258" t="s">
        <v>2365</v>
      </c>
      <c r="J5" s="3259"/>
      <c r="K5" s="567"/>
      <c r="L5" s="2946"/>
      <c r="M5" s="2947"/>
      <c r="N5" s="2947"/>
      <c r="O5" s="2947"/>
      <c r="P5" s="3337"/>
      <c r="Q5" s="3272"/>
      <c r="R5" s="3254"/>
      <c r="S5" s="3255"/>
      <c r="T5" s="3254"/>
      <c r="U5" s="3255"/>
      <c r="V5" s="3249"/>
      <c r="W5" s="3249"/>
      <c r="X5" s="1541"/>
      <c r="Y5" s="3254"/>
      <c r="Z5" s="3255"/>
      <c r="AA5" s="3247"/>
      <c r="AB5" s="3247"/>
      <c r="AC5" s="3333"/>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338"/>
      <c r="Q6" s="3274"/>
      <c r="R6" s="3254"/>
      <c r="S6" s="3255"/>
      <c r="T6" s="3275"/>
      <c r="U6" s="3276"/>
      <c r="V6" s="3249"/>
      <c r="W6" s="3249"/>
      <c r="X6" s="1541"/>
      <c r="Y6" s="3275"/>
      <c r="Z6" s="3276"/>
      <c r="AA6" s="3248"/>
      <c r="AB6" s="3248"/>
      <c r="AC6" s="3334"/>
    </row>
    <row r="7" spans="1:29" s="113" customFormat="1" ht="15.75" thickBot="1">
      <c r="A7" s="368" t="s">
        <v>2368</v>
      </c>
      <c r="B7" s="369"/>
      <c r="C7" s="370">
        <f>'数据-取费表'!B2</f>
        <v>44082</v>
      </c>
      <c r="D7" s="371">
        <v>100</v>
      </c>
      <c r="E7" s="372">
        <f>C7</f>
        <v>44082</v>
      </c>
      <c r="F7" s="373">
        <f>SUMIF(59:59,YEAR(E7)&amp;"-"&amp;MONTH(E7),60:60)</f>
        <v>100</v>
      </c>
      <c r="G7" s="372">
        <f>C7</f>
        <v>44082</v>
      </c>
      <c r="H7" s="371">
        <f>SUMIF(59:59,YEAR(G7)&amp;"-"&amp;MONTH(G7),60:60)</f>
        <v>100</v>
      </c>
      <c r="I7" s="372">
        <f>C7</f>
        <v>44082</v>
      </c>
      <c r="J7" s="371">
        <f>SUMIF(59:59,YEAR(I7)&amp;"-"&amp;MONTH(I7),60:60)</f>
        <v>100</v>
      </c>
      <c r="K7" s="568"/>
      <c r="L7" s="2948"/>
      <c r="M7" s="2949"/>
      <c r="N7" s="2949"/>
      <c r="O7" s="2949"/>
      <c r="P7" s="3340" t="s">
        <v>2369</v>
      </c>
      <c r="Q7" s="3277"/>
      <c r="R7" s="710" t="s">
        <v>17</v>
      </c>
      <c r="S7" s="711">
        <f t="shared" ref="S7:S15" si="0">F7</f>
        <v>100</v>
      </c>
      <c r="T7" s="710" t="s">
        <v>17</v>
      </c>
      <c r="U7" s="711">
        <f t="shared" ref="U7:U15" si="1">H7</f>
        <v>100</v>
      </c>
      <c r="V7" s="710" t="s">
        <v>17</v>
      </c>
      <c r="W7" s="711">
        <f t="shared" ref="W7:W15" si="2">J7</f>
        <v>100</v>
      </c>
      <c r="X7" s="712"/>
      <c r="Y7" s="3250" t="s">
        <v>2369</v>
      </c>
      <c r="Z7" s="3251"/>
      <c r="AA7" s="713">
        <f>D7/F7</f>
        <v>1</v>
      </c>
      <c r="AB7" s="713">
        <f>D7/H7</f>
        <v>1</v>
      </c>
      <c r="AC7" s="2147">
        <f>D7/J7</f>
        <v>1</v>
      </c>
    </row>
    <row r="8" spans="1:29" s="113" customFormat="1" ht="15.75" thickBot="1">
      <c r="A8" s="368" t="s">
        <v>2370</v>
      </c>
      <c r="B8" s="369"/>
      <c r="C8" s="374" t="s">
        <v>2472</v>
      </c>
      <c r="D8" s="371">
        <v>100</v>
      </c>
      <c r="E8" s="374" t="s">
        <v>3134</v>
      </c>
      <c r="F8" s="373">
        <f>SUMIF(62:62,E8,63:63)-SUMIF(62:62,C8,63:63)+100</f>
        <v>100</v>
      </c>
      <c r="G8" s="374" t="s">
        <v>3134</v>
      </c>
      <c r="H8" s="371">
        <f>SUMIF(62:62,G8,63:63)-SUMIF(62:62,C8,63:63)+100</f>
        <v>100</v>
      </c>
      <c r="I8" s="374" t="s">
        <v>3134</v>
      </c>
      <c r="J8" s="371">
        <f>SUMIF(62:62,I8,63:63)-SUMIF(62:62,C8,63:63)+100</f>
        <v>100</v>
      </c>
      <c r="K8" s="568"/>
      <c r="L8" s="2948"/>
      <c r="M8" s="2949"/>
      <c r="N8" s="2949"/>
      <c r="O8" s="2949"/>
      <c r="P8" s="3340" t="s">
        <v>2372</v>
      </c>
      <c r="Q8" s="3251"/>
      <c r="R8" s="710" t="s">
        <v>17</v>
      </c>
      <c r="S8" s="711">
        <f t="shared" si="0"/>
        <v>100</v>
      </c>
      <c r="T8" s="710" t="s">
        <v>17</v>
      </c>
      <c r="U8" s="711">
        <f t="shared" si="1"/>
        <v>100</v>
      </c>
      <c r="V8" s="710" t="s">
        <v>17</v>
      </c>
      <c r="W8" s="711">
        <f t="shared" si="2"/>
        <v>100</v>
      </c>
      <c r="X8" s="712"/>
      <c r="Y8" s="3250" t="s">
        <v>2372</v>
      </c>
      <c r="Z8" s="3251"/>
      <c r="AA8" s="713">
        <f t="shared" ref="AA8:AA47" si="3">D8/F8</f>
        <v>1</v>
      </c>
      <c r="AB8" s="713">
        <f t="shared" ref="AB8:AB47" si="4">D8/H8</f>
        <v>1</v>
      </c>
      <c r="AC8" s="2147">
        <f t="shared" ref="AC8:AC47" si="5">D8/J8</f>
        <v>1</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7">
        <f t="shared" si="5"/>
        <v>1</v>
      </c>
    </row>
    <row r="11" spans="1:29" ht="15">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64"/>
      <c r="Q11" s="1529" t="str">
        <f t="shared" si="6"/>
        <v>容积率</v>
      </c>
      <c r="R11" s="710" t="s">
        <v>17</v>
      </c>
      <c r="S11" s="711">
        <f t="shared" si="0"/>
        <v>100</v>
      </c>
      <c r="T11" s="710" t="s">
        <v>17</v>
      </c>
      <c r="U11" s="711">
        <f t="shared" si="1"/>
        <v>100</v>
      </c>
      <c r="V11" s="710" t="s">
        <v>17</v>
      </c>
      <c r="W11" s="711">
        <f t="shared" si="2"/>
        <v>100</v>
      </c>
      <c r="X11" s="712"/>
      <c r="Y11" s="3222"/>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6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6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6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78" t="s">
        <v>2380</v>
      </c>
      <c r="Q15" s="1538" t="str">
        <f t="shared" si="6"/>
        <v>办公集聚程度</v>
      </c>
      <c r="R15" s="714" t="s">
        <v>17</v>
      </c>
      <c r="S15" s="715">
        <f t="shared" si="0"/>
        <v>100</v>
      </c>
      <c r="T15" s="714" t="s">
        <v>17</v>
      </c>
      <c r="U15" s="715">
        <f t="shared" si="1"/>
        <v>100</v>
      </c>
      <c r="V15" s="714" t="s">
        <v>17</v>
      </c>
      <c r="W15" s="715">
        <f t="shared" si="2"/>
        <v>100</v>
      </c>
      <c r="X15" s="1541"/>
      <c r="Y15" s="3280"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79"/>
      <c r="Q16" s="1538"/>
      <c r="R16" s="714"/>
      <c r="S16" s="715"/>
      <c r="T16" s="714"/>
      <c r="U16" s="715"/>
      <c r="V16" s="714"/>
      <c r="W16" s="715"/>
      <c r="X16" s="1541"/>
      <c r="Y16" s="3281"/>
      <c r="Z16" s="1542"/>
      <c r="AA16" s="1539">
        <v>1</v>
      </c>
      <c r="AB16" s="1539">
        <v>1</v>
      </c>
      <c r="AC16" s="2150">
        <v>1</v>
      </c>
    </row>
    <row r="17" spans="1:29" ht="71.25">
      <c r="A17" s="387"/>
      <c r="B17" s="587" t="s">
        <v>1944</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79"/>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79"/>
      <c r="Q18" s="1538"/>
      <c r="R18" s="714"/>
      <c r="S18" s="715"/>
      <c r="T18" s="714"/>
      <c r="U18" s="715"/>
      <c r="V18" s="714"/>
      <c r="W18" s="715"/>
      <c r="X18" s="1541"/>
      <c r="Y18" s="3281"/>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79"/>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79"/>
      <c r="Q20" s="1538"/>
      <c r="R20" s="714"/>
      <c r="S20" s="715"/>
      <c r="T20" s="714"/>
      <c r="U20" s="715"/>
      <c r="V20" s="714"/>
      <c r="W20" s="715"/>
      <c r="X20" s="1541"/>
      <c r="Y20" s="3281"/>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79"/>
      <c r="Q22" s="1538"/>
      <c r="R22" s="714"/>
      <c r="S22" s="715"/>
      <c r="T22" s="714"/>
      <c r="U22" s="715"/>
      <c r="V22" s="714"/>
      <c r="W22" s="715"/>
      <c r="X22" s="1541"/>
      <c r="Y22" s="3281"/>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79"/>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79"/>
      <c r="Q24" s="1538"/>
      <c r="R24" s="714"/>
      <c r="S24" s="715"/>
      <c r="T24" s="714"/>
      <c r="U24" s="715"/>
      <c r="V24" s="714"/>
      <c r="W24" s="715"/>
      <c r="X24" s="1541"/>
      <c r="Y24" s="3281"/>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79"/>
      <c r="Q25" s="1538" t="str">
        <f>B25</f>
        <v>毗邻道路的类型与等级</v>
      </c>
      <c r="R25" s="714" t="s">
        <v>17</v>
      </c>
      <c r="S25" s="715">
        <f>F25</f>
        <v>100</v>
      </c>
      <c r="T25" s="714" t="s">
        <v>17</v>
      </c>
      <c r="U25" s="715">
        <f>H25</f>
        <v>100</v>
      </c>
      <c r="V25" s="714" t="s">
        <v>17</v>
      </c>
      <c r="W25" s="715">
        <f>J25</f>
        <v>100</v>
      </c>
      <c r="X25" s="1541"/>
      <c r="Y25" s="328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79"/>
      <c r="Q26" s="1538"/>
      <c r="R26" s="714"/>
      <c r="S26" s="715"/>
      <c r="T26" s="714"/>
      <c r="U26" s="715"/>
      <c r="V26" s="714"/>
      <c r="W26" s="715"/>
      <c r="X26" s="1541"/>
      <c r="Y26" s="3281"/>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79"/>
      <c r="Q27" s="1538" t="str">
        <f t="shared" ref="Q27:Q47" si="11">B27</f>
        <v>楼层</v>
      </c>
      <c r="R27" s="714" t="s">
        <v>17</v>
      </c>
      <c r="S27" s="715">
        <f>F27</f>
        <v>100</v>
      </c>
      <c r="T27" s="714" t="s">
        <v>17</v>
      </c>
      <c r="U27" s="715">
        <f>H27</f>
        <v>100</v>
      </c>
      <c r="V27" s="714" t="s">
        <v>17</v>
      </c>
      <c r="W27" s="715">
        <f>J27</f>
        <v>100</v>
      </c>
      <c r="X27" s="1541"/>
      <c r="Y27" s="3281"/>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9"/>
      <c r="Q28" s="1529" t="str">
        <f t="shared" si="11"/>
        <v>朝向</v>
      </c>
      <c r="R28" s="710" t="s">
        <v>17</v>
      </c>
      <c r="S28" s="711">
        <f>F28</f>
        <v>100</v>
      </c>
      <c r="T28" s="710" t="s">
        <v>17</v>
      </c>
      <c r="U28" s="711">
        <f>H28</f>
        <v>100</v>
      </c>
      <c r="V28" s="710" t="s">
        <v>17</v>
      </c>
      <c r="W28" s="711">
        <f>J28</f>
        <v>100</v>
      </c>
      <c r="X28" s="712"/>
      <c r="Y28" s="328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9"/>
      <c r="Q29" s="1538">
        <f t="shared" si="11"/>
        <v>111</v>
      </c>
      <c r="R29" s="714" t="s">
        <v>17</v>
      </c>
      <c r="S29" s="715">
        <f t="shared" ref="S29:S47" si="12">F29</f>
        <v>100</v>
      </c>
      <c r="T29" s="714" t="s">
        <v>17</v>
      </c>
      <c r="U29" s="715">
        <f t="shared" ref="U29:U47" si="13">H29</f>
        <v>100</v>
      </c>
      <c r="V29" s="714" t="s">
        <v>17</v>
      </c>
      <c r="W29" s="715">
        <f t="shared" ref="W29:W47" si="14">J29</f>
        <v>100</v>
      </c>
      <c r="X29" s="1541"/>
      <c r="Y29" s="328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9"/>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9"/>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9"/>
      <c r="Q32" s="1538">
        <f t="shared" si="11"/>
        <v>111</v>
      </c>
      <c r="R32" s="714" t="s">
        <v>17</v>
      </c>
      <c r="S32" s="715">
        <f t="shared" si="12"/>
        <v>100</v>
      </c>
      <c r="T32" s="714" t="s">
        <v>17</v>
      </c>
      <c r="U32" s="715">
        <f t="shared" si="13"/>
        <v>100</v>
      </c>
      <c r="V32" s="714" t="s">
        <v>17</v>
      </c>
      <c r="W32" s="715">
        <f t="shared" si="14"/>
        <v>100</v>
      </c>
      <c r="X32" s="1541"/>
      <c r="Y32" s="3281"/>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82" t="s">
        <v>2385</v>
      </c>
      <c r="Q33" s="1538" t="str">
        <f t="shared" si="11"/>
        <v>建筑类型</v>
      </c>
      <c r="R33" s="714" t="s">
        <v>17</v>
      </c>
      <c r="S33" s="715">
        <f t="shared" si="12"/>
        <v>100</v>
      </c>
      <c r="T33" s="714" t="s">
        <v>17</v>
      </c>
      <c r="U33" s="715">
        <f t="shared" si="13"/>
        <v>100</v>
      </c>
      <c r="V33" s="714" t="s">
        <v>17</v>
      </c>
      <c r="W33" s="715">
        <f t="shared" si="14"/>
        <v>100</v>
      </c>
      <c r="X33" s="1541"/>
      <c r="Y33" s="3285"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2"/>
      <c r="M34" s="2954"/>
      <c r="N34" s="2954"/>
      <c r="O34" s="2954"/>
      <c r="P34" s="3283"/>
      <c r="Q34" s="716" t="str">
        <f t="shared" si="11"/>
        <v>项目建筑规模</v>
      </c>
      <c r="R34" s="717" t="s">
        <v>17</v>
      </c>
      <c r="S34" s="718">
        <f t="shared" si="12"/>
        <v>100</v>
      </c>
      <c r="T34" s="717" t="s">
        <v>17</v>
      </c>
      <c r="U34" s="718">
        <f t="shared" si="13"/>
        <v>100</v>
      </c>
      <c r="V34" s="717" t="s">
        <v>17</v>
      </c>
      <c r="W34" s="718">
        <f t="shared" si="14"/>
        <v>100</v>
      </c>
      <c r="X34" s="719"/>
      <c r="Y34" s="3285"/>
      <c r="Z34" s="720" t="str">
        <f t="shared" si="15"/>
        <v>项目建筑规模</v>
      </c>
      <c r="AA34" s="1539">
        <f t="shared" si="3"/>
        <v>1</v>
      </c>
      <c r="AB34" s="1539">
        <f t="shared" si="4"/>
        <v>1</v>
      </c>
      <c r="AC34" s="2150">
        <f t="shared" si="5"/>
        <v>1</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83"/>
      <c r="Q35" s="1538" t="str">
        <f t="shared" si="11"/>
        <v>建筑结构</v>
      </c>
      <c r="R35" s="714" t="s">
        <v>17</v>
      </c>
      <c r="S35" s="715">
        <f t="shared" si="12"/>
        <v>100</v>
      </c>
      <c r="T35" s="714" t="s">
        <v>17</v>
      </c>
      <c r="U35" s="715">
        <f t="shared" si="13"/>
        <v>100</v>
      </c>
      <c r="V35" s="714" t="s">
        <v>17</v>
      </c>
      <c r="W35" s="715">
        <f t="shared" si="14"/>
        <v>100</v>
      </c>
      <c r="X35" s="1541"/>
      <c r="Y35" s="3285"/>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83"/>
      <c r="Q36" s="1538" t="str">
        <f t="shared" si="11"/>
        <v>公共部分装修</v>
      </c>
      <c r="R36" s="714" t="s">
        <v>17</v>
      </c>
      <c r="S36" s="715">
        <f t="shared" si="12"/>
        <v>100</v>
      </c>
      <c r="T36" s="714" t="s">
        <v>17</v>
      </c>
      <c r="U36" s="715">
        <f t="shared" si="13"/>
        <v>100</v>
      </c>
      <c r="V36" s="714" t="s">
        <v>17</v>
      </c>
      <c r="W36" s="715">
        <f t="shared" si="14"/>
        <v>100</v>
      </c>
      <c r="X36" s="1541"/>
      <c r="Y36" s="3285"/>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83"/>
      <c r="Q37" s="1538" t="str">
        <f t="shared" si="11"/>
        <v>成新度</v>
      </c>
      <c r="R37" s="714" t="s">
        <v>17</v>
      </c>
      <c r="S37" s="715" t="e">
        <f t="shared" si="12"/>
        <v>#N/A</v>
      </c>
      <c r="T37" s="714" t="s">
        <v>17</v>
      </c>
      <c r="U37" s="715" t="e">
        <f t="shared" si="13"/>
        <v>#N/A</v>
      </c>
      <c r="V37" s="714" t="s">
        <v>17</v>
      </c>
      <c r="W37" s="715" t="e">
        <f t="shared" si="14"/>
        <v>#N/A</v>
      </c>
      <c r="X37" s="1541"/>
      <c r="Y37" s="3285"/>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83"/>
      <c r="Q38" s="1529"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83" t="s">
        <v>2385</v>
      </c>
      <c r="Q39" s="1538" t="str">
        <f t="shared" si="11"/>
        <v>物业管理</v>
      </c>
      <c r="R39" s="714" t="s">
        <v>17</v>
      </c>
      <c r="S39" s="715">
        <f t="shared" si="12"/>
        <v>100</v>
      </c>
      <c r="T39" s="714" t="s">
        <v>17</v>
      </c>
      <c r="U39" s="715">
        <f t="shared" si="13"/>
        <v>100</v>
      </c>
      <c r="V39" s="714" t="s">
        <v>17</v>
      </c>
      <c r="W39" s="715">
        <f t="shared" si="14"/>
        <v>100</v>
      </c>
      <c r="X39" s="1541"/>
      <c r="Y39" s="3285"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83"/>
      <c r="Q40" s="1538" t="str">
        <f t="shared" si="11"/>
        <v>市政基础设施</v>
      </c>
      <c r="R40" s="714" t="s">
        <v>17</v>
      </c>
      <c r="S40" s="715">
        <f t="shared" si="12"/>
        <v>100</v>
      </c>
      <c r="T40" s="714" t="s">
        <v>17</v>
      </c>
      <c r="U40" s="715">
        <f t="shared" si="13"/>
        <v>100</v>
      </c>
      <c r="V40" s="714" t="s">
        <v>17</v>
      </c>
      <c r="W40" s="715">
        <f t="shared" si="14"/>
        <v>100</v>
      </c>
      <c r="X40" s="1541"/>
      <c r="Y40" s="3285"/>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83"/>
      <c r="Q41" s="1538" t="str">
        <f t="shared" si="11"/>
        <v>层高</v>
      </c>
      <c r="R41" s="714" t="s">
        <v>17</v>
      </c>
      <c r="S41" s="715">
        <f t="shared" si="12"/>
        <v>100</v>
      </c>
      <c r="T41" s="714" t="s">
        <v>17</v>
      </c>
      <c r="U41" s="715">
        <f t="shared" si="13"/>
        <v>100</v>
      </c>
      <c r="V41" s="714" t="s">
        <v>17</v>
      </c>
      <c r="W41" s="715">
        <f t="shared" si="14"/>
        <v>100</v>
      </c>
      <c r="X41" s="1541"/>
      <c r="Y41" s="3285"/>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83"/>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83"/>
      <c r="Q43" s="1538" t="str">
        <f t="shared" si="11"/>
        <v>内部装修</v>
      </c>
      <c r="R43" s="714" t="s">
        <v>17</v>
      </c>
      <c r="S43" s="715">
        <f t="shared" si="12"/>
        <v>100</v>
      </c>
      <c r="T43" s="714" t="s">
        <v>17</v>
      </c>
      <c r="U43" s="715">
        <f t="shared" si="13"/>
        <v>100</v>
      </c>
      <c r="V43" s="714" t="s">
        <v>17</v>
      </c>
      <c r="W43" s="715">
        <f t="shared" si="14"/>
        <v>100</v>
      </c>
      <c r="X43" s="1541"/>
      <c r="Y43" s="3285"/>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83"/>
      <c r="Q44" s="1538" t="str">
        <f t="shared" si="11"/>
        <v>内部装修维护情况</v>
      </c>
      <c r="R44" s="714" t="s">
        <v>17</v>
      </c>
      <c r="S44" s="715">
        <f t="shared" si="12"/>
        <v>100</v>
      </c>
      <c r="T44" s="714" t="s">
        <v>17</v>
      </c>
      <c r="U44" s="715">
        <f t="shared" si="13"/>
        <v>100</v>
      </c>
      <c r="V44" s="714" t="s">
        <v>17</v>
      </c>
      <c r="W44" s="715">
        <f t="shared" si="14"/>
        <v>100</v>
      </c>
      <c r="X44" s="1541"/>
      <c r="Y44" s="328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83"/>
      <c r="Q45" s="1529">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83"/>
      <c r="Q46" s="1538">
        <f t="shared" si="11"/>
        <v>111</v>
      </c>
      <c r="R46" s="714" t="s">
        <v>17</v>
      </c>
      <c r="S46" s="715">
        <f t="shared" si="12"/>
        <v>100</v>
      </c>
      <c r="T46" s="714" t="s">
        <v>17</v>
      </c>
      <c r="U46" s="715">
        <f t="shared" si="13"/>
        <v>100</v>
      </c>
      <c r="V46" s="714" t="s">
        <v>17</v>
      </c>
      <c r="W46" s="715">
        <f t="shared" si="14"/>
        <v>100</v>
      </c>
      <c r="X46" s="1541"/>
      <c r="Y46" s="328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84"/>
      <c r="Q47" s="1538">
        <f t="shared" si="11"/>
        <v>111</v>
      </c>
      <c r="R47" s="714" t="s">
        <v>17</v>
      </c>
      <c r="S47" s="715">
        <f t="shared" si="12"/>
        <v>100</v>
      </c>
      <c r="T47" s="714" t="s">
        <v>17</v>
      </c>
      <c r="U47" s="715">
        <f t="shared" si="13"/>
        <v>100</v>
      </c>
      <c r="V47" s="714" t="s">
        <v>17</v>
      </c>
      <c r="W47" s="715">
        <f t="shared" si="14"/>
        <v>100</v>
      </c>
      <c r="X47" s="1541"/>
      <c r="Y47" s="3286"/>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264" t="str">
        <f>A48</f>
        <v>成交单价（元/平方米）</v>
      </c>
      <c r="Q48" s="3287"/>
      <c r="R48" s="3288">
        <f>E48</f>
        <v>0</v>
      </c>
      <c r="S48" s="3288"/>
      <c r="T48" s="3288">
        <f>G48</f>
        <v>0</v>
      </c>
      <c r="U48" s="3288"/>
      <c r="V48" s="3288">
        <f>I48</f>
        <v>0</v>
      </c>
      <c r="W48" s="3288"/>
      <c r="X48" s="405"/>
      <c r="Y48" s="721"/>
      <c r="Z48" s="405"/>
      <c r="AA48" s="405"/>
      <c r="AB48" s="405"/>
      <c r="AC48" s="586"/>
    </row>
    <row r="49" spans="1:29" ht="15.75" thickBot="1">
      <c r="A49" s="445" t="s">
        <v>2489</v>
      </c>
      <c r="B49" s="446"/>
      <c r="C49" s="1322" t="e">
        <f>R50</f>
        <v>#N/A</v>
      </c>
      <c r="D49" s="2540" t="s">
        <v>2881</v>
      </c>
      <c r="E49" s="1323" t="e">
        <f>R49</f>
        <v>#N/A</v>
      </c>
      <c r="F49" s="2541"/>
      <c r="G49" s="1322" t="e">
        <f>T49</f>
        <v>#N/A</v>
      </c>
      <c r="H49" s="2541"/>
      <c r="I49" s="1323" t="e">
        <f>V49</f>
        <v>#N/A</v>
      </c>
      <c r="J49" s="2541"/>
      <c r="K49" s="2543">
        <f>F49+H49+J49</f>
        <v>0</v>
      </c>
      <c r="L49" s="2955"/>
      <c r="M49" s="2947"/>
      <c r="N49" s="2947"/>
      <c r="O49" s="2947"/>
      <c r="P49" s="3264" t="str">
        <f>A49</f>
        <v>比较价值（元/平方米）</v>
      </c>
      <c r="Q49" s="3287"/>
      <c r="R49" s="3288" t="e">
        <f>IF(F1="售价",ROUND(PRODUCT(R48,AA7:AA47),0),ROUND(PRODUCT(R48,AA7:AA47),1))</f>
        <v>#N/A</v>
      </c>
      <c r="S49" s="3288"/>
      <c r="T49" s="3288" t="e">
        <f>IF(F1="售价",ROUND(PRODUCT(T48,AB7:AB47),0),ROUND(PRODUCT(T48,AB7:AB47),1))</f>
        <v>#N/A</v>
      </c>
      <c r="U49" s="3288"/>
      <c r="V49" s="3288" t="e">
        <f>IF(F1="售价",ROUND(PRODUCT(V48,AC7:AC47),0),ROUND(PRODUCT(V48,AC7:AC47),1))</f>
        <v>#N/A</v>
      </c>
      <c r="W49" s="3288"/>
      <c r="X49" s="405"/>
      <c r="Y49" s="405"/>
      <c r="Z49" s="405"/>
      <c r="AA49" s="405"/>
      <c r="AB49" s="405"/>
      <c r="AC49" s="586"/>
    </row>
    <row r="50" spans="1:29" ht="15.75" thickBot="1">
      <c r="A50" s="449" t="s">
        <v>2490</v>
      </c>
      <c r="B50" s="450"/>
      <c r="C50" s="1325" t="e">
        <f>R50</f>
        <v>#N/A</v>
      </c>
      <c r="D50" s="1325"/>
      <c r="E50" s="1325"/>
      <c r="F50" s="1325"/>
      <c r="G50" s="1325"/>
      <c r="H50" s="1325"/>
      <c r="I50" s="1325"/>
      <c r="J50" s="451"/>
      <c r="K50" s="724"/>
      <c r="L50" s="2955"/>
      <c r="M50" s="2947"/>
      <c r="N50" s="2947"/>
      <c r="O50" s="2947"/>
      <c r="P50" s="3341" t="str">
        <f>A50</f>
        <v>估价对象XX用房的比较价值（楼面单价，元/平方米）</v>
      </c>
      <c r="Q50" s="3342"/>
      <c r="R50" s="3343" t="e">
        <f>IF(F1="售价",ROUND(IF(D49="简单平均",AVERAGE(R49:V49),R49*F49+T49*H49+V49*J49),0),ROUND(IF(D49="简单平均",AVERAGE(R49:V49),R49*F49+T49*H49+V49*J49),1))</f>
        <v>#N/A</v>
      </c>
      <c r="S50" s="3343"/>
      <c r="T50" s="3343"/>
      <c r="U50" s="3343"/>
      <c r="V50" s="3343"/>
      <c r="W50" s="334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#N/A</v>
      </c>
      <c r="F53" s="457" t="e">
        <f>IF(OR(E53&gt;=0.3,E53&lt;=-0.3),"超过30%","")</f>
        <v>#N/A</v>
      </c>
      <c r="G53" s="456" t="e">
        <f>IF(G48&lt;G49,G49/G48-1,G48/G49-1)</f>
        <v>#N/A</v>
      </c>
      <c r="H53" s="457" t="e">
        <f>IF(OR(G53&gt;=0.3,G53&lt;=-0.3),"超过30%","")</f>
        <v>#N/A</v>
      </c>
      <c r="I53" s="456" t="e">
        <f>IF(I48&lt;I49,I49/I48-1,I48/I49-1)</f>
        <v>#N/A</v>
      </c>
      <c r="J53" s="457" t="e">
        <f>IF(OR(I53&gt;=0.3,I53&lt;=-0.3),"超过30%","")</f>
        <v>#N/A</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#N/A</v>
      </c>
      <c r="F54" s="457" t="e">
        <f>IF(OR(E54&gt;=0.2,E54&lt;=-0.2),"超过20%","")</f>
        <v>#N/A</v>
      </c>
      <c r="G54" s="456" t="e">
        <f>IF(G49&lt;I49,I49/G49-1,G49/I49-1)</f>
        <v>#N/A</v>
      </c>
      <c r="H54" s="457" t="e">
        <f>IF(OR(G54&gt;=0.2,G54&lt;=-0.2),"超过20%","")</f>
        <v>#N/A</v>
      </c>
      <c r="I54" s="456" t="e">
        <f>IF(I49&lt;E49,E49/I49-1,I49/E49-1)</f>
        <v>#N/A</v>
      </c>
      <c r="J54" s="457" t="e">
        <f>IF(OR(I54&gt;=0.2,I54&lt;=-0.2),"超过20%","")</f>
        <v>#N/A</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9"/>
      <c r="D2" s="1038" t="e">
        <f ca="1">SUMIF(INDIRECT("'"&amp;F2&amp;"'"&amp;"!A:A"),"承租人权益价值",INDIRECT("'"&amp;F2&amp;"'"&amp;"!c:c"))</f>
        <v>#REF!</v>
      </c>
      <c r="E2" s="2070" t="s">
        <v>2148</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12383.28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1044"/>
      <c r="M4" s="1045"/>
      <c r="N4" s="1045"/>
      <c r="O4" s="1045"/>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1044"/>
      <c r="M5" s="1045"/>
      <c r="N5" s="1045"/>
      <c r="O5" s="1045"/>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1044"/>
      <c r="M6" s="1045"/>
      <c r="N6" s="1045"/>
      <c r="O6" s="1045"/>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50" t="s">
        <v>2372</v>
      </c>
      <c r="Q8" s="3251"/>
      <c r="R8" s="710" t="s">
        <v>17</v>
      </c>
      <c r="S8" s="711">
        <f t="shared" si="0"/>
        <v>0</v>
      </c>
      <c r="T8" s="710" t="s">
        <v>17</v>
      </c>
      <c r="U8" s="711">
        <f t="shared" si="1"/>
        <v>0</v>
      </c>
      <c r="V8" s="710" t="s">
        <v>17</v>
      </c>
      <c r="W8" s="711">
        <f t="shared" si="2"/>
        <v>0</v>
      </c>
      <c r="X8" s="712"/>
      <c r="Y8" s="3250" t="s">
        <v>2372</v>
      </c>
      <c r="Z8" s="325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2379</v>
      </c>
      <c r="B15" s="65" t="s">
        <v>2523</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0" t="s">
        <v>2380</v>
      </c>
      <c r="Q15" s="1538" t="str">
        <f t="shared" si="6"/>
        <v>产业集聚程度</v>
      </c>
      <c r="R15" s="714" t="s">
        <v>17</v>
      </c>
      <c r="S15" s="715">
        <f t="shared" si="0"/>
        <v>100</v>
      </c>
      <c r="T15" s="714" t="s">
        <v>17</v>
      </c>
      <c r="U15" s="715">
        <f t="shared" si="1"/>
        <v>100</v>
      </c>
      <c r="V15" s="714" t="s">
        <v>17</v>
      </c>
      <c r="W15" s="715">
        <f t="shared" si="2"/>
        <v>100</v>
      </c>
      <c r="X15" s="1541"/>
      <c r="Y15" s="3280"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1"/>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1"/>
      <c r="Q18" s="1538"/>
      <c r="R18" s="714"/>
      <c r="S18" s="715"/>
      <c r="T18" s="714"/>
      <c r="U18" s="715"/>
      <c r="V18" s="714"/>
      <c r="W18" s="715"/>
      <c r="X18" s="1541"/>
      <c r="Y18" s="3281"/>
      <c r="Z18" s="1542"/>
      <c r="AA18" s="1539">
        <v>1</v>
      </c>
      <c r="AB18" s="1539">
        <v>1</v>
      </c>
      <c r="AC18" s="1539">
        <v>1</v>
      </c>
    </row>
    <row r="19" spans="1:29" ht="42.75">
      <c r="A19" s="387"/>
      <c r="B19" s="410" t="s">
        <v>2508</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1"/>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1"/>
      <c r="Q20" s="1538"/>
      <c r="R20" s="714"/>
      <c r="S20" s="715"/>
      <c r="T20" s="714"/>
      <c r="U20" s="715"/>
      <c r="V20" s="714"/>
      <c r="W20" s="715"/>
      <c r="X20" s="1541"/>
      <c r="Y20" s="3281"/>
      <c r="Z20" s="1542"/>
      <c r="AA20" s="1539">
        <v>1</v>
      </c>
      <c r="AB20" s="1539">
        <v>1</v>
      </c>
      <c r="AC20" s="1539">
        <v>1</v>
      </c>
    </row>
    <row r="21" spans="1:29" ht="28.5">
      <c r="A21" s="387"/>
      <c r="B21" s="1293" t="s">
        <v>2509</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1"/>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1"/>
      <c r="Q22" s="1538"/>
      <c r="R22" s="714"/>
      <c r="S22" s="715"/>
      <c r="T22" s="714"/>
      <c r="U22" s="715"/>
      <c r="V22" s="714"/>
      <c r="W22" s="715"/>
      <c r="X22" s="1541"/>
      <c r="Y22" s="3281"/>
      <c r="Z22" s="1542"/>
      <c r="AA22" s="1539">
        <v>1</v>
      </c>
      <c r="AB22" s="1539">
        <v>1</v>
      </c>
      <c r="AC22" s="1539">
        <v>1</v>
      </c>
    </row>
    <row r="23" spans="1:29" ht="71.25">
      <c r="A23" s="387"/>
      <c r="B23" s="410" t="s">
        <v>2510</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1"/>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1"/>
      <c r="Q24" s="1538"/>
      <c r="R24" s="714"/>
      <c r="S24" s="715"/>
      <c r="T24" s="714"/>
      <c r="U24" s="715"/>
      <c r="V24" s="714"/>
      <c r="W24" s="715"/>
      <c r="X24" s="1541"/>
      <c r="Y24" s="328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1"/>
      <c r="Q25" s="1538">
        <f>B25</f>
        <v>111</v>
      </c>
      <c r="R25" s="714" t="s">
        <v>17</v>
      </c>
      <c r="S25" s="715">
        <f>F25</f>
        <v>100</v>
      </c>
      <c r="T25" s="714" t="s">
        <v>17</v>
      </c>
      <c r="U25" s="715">
        <f>H25</f>
        <v>100</v>
      </c>
      <c r="V25" s="714" t="s">
        <v>17</v>
      </c>
      <c r="W25" s="715">
        <f>J25</f>
        <v>100</v>
      </c>
      <c r="X25" s="1541"/>
      <c r="Y25" s="328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1"/>
      <c r="Q26" s="1538">
        <f t="shared" ref="Q26:Q40" si="11">B26</f>
        <v>111</v>
      </c>
      <c r="R26" s="714" t="s">
        <v>17</v>
      </c>
      <c r="S26" s="715">
        <f>F26</f>
        <v>100</v>
      </c>
      <c r="T26" s="714" t="s">
        <v>17</v>
      </c>
      <c r="U26" s="715">
        <f>H26</f>
        <v>100</v>
      </c>
      <c r="V26" s="714" t="s">
        <v>17</v>
      </c>
      <c r="W26" s="715">
        <f>J26</f>
        <v>100</v>
      </c>
      <c r="X26" s="1541"/>
      <c r="Y26" s="328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1"/>
      <c r="Q27" s="1529">
        <f t="shared" si="11"/>
        <v>111</v>
      </c>
      <c r="R27" s="710" t="s">
        <v>17</v>
      </c>
      <c r="S27" s="711">
        <f>F27</f>
        <v>100</v>
      </c>
      <c r="T27" s="710" t="s">
        <v>17</v>
      </c>
      <c r="U27" s="711">
        <f>H27</f>
        <v>100</v>
      </c>
      <c r="V27" s="710" t="s">
        <v>17</v>
      </c>
      <c r="W27" s="711">
        <f>J27</f>
        <v>100</v>
      </c>
      <c r="X27" s="712"/>
      <c r="Y27" s="328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1"/>
      <c r="Q28" s="1538">
        <f t="shared" si="11"/>
        <v>111</v>
      </c>
      <c r="R28" s="714" t="s">
        <v>17</v>
      </c>
      <c r="S28" s="715">
        <f t="shared" ref="S28:S40" si="12">F28</f>
        <v>100</v>
      </c>
      <c r="T28" s="714" t="s">
        <v>17</v>
      </c>
      <c r="U28" s="715">
        <f t="shared" ref="U28:U40" si="13">H28</f>
        <v>100</v>
      </c>
      <c r="V28" s="714" t="s">
        <v>17</v>
      </c>
      <c r="W28" s="715">
        <f t="shared" ref="W28:W40" si="14">J28</f>
        <v>100</v>
      </c>
      <c r="X28" s="1541"/>
      <c r="Y28" s="3281"/>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4" t="s">
        <v>2385</v>
      </c>
      <c r="Q29" s="1538" t="str">
        <f t="shared" si="11"/>
        <v>建筑类型</v>
      </c>
      <c r="R29" s="714" t="s">
        <v>17</v>
      </c>
      <c r="S29" s="715">
        <f t="shared" si="12"/>
        <v>100</v>
      </c>
      <c r="T29" s="714" t="s">
        <v>17</v>
      </c>
      <c r="U29" s="715">
        <f t="shared" si="13"/>
        <v>100</v>
      </c>
      <c r="V29" s="714" t="s">
        <v>17</v>
      </c>
      <c r="W29" s="715">
        <f t="shared" si="14"/>
        <v>100</v>
      </c>
      <c r="X29" s="1541"/>
      <c r="Y29" s="3285"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5"/>
      <c r="Q31" s="1538" t="str">
        <f t="shared" si="11"/>
        <v>建筑结构</v>
      </c>
      <c r="R31" s="714" t="s">
        <v>17</v>
      </c>
      <c r="S31" s="715">
        <f t="shared" si="12"/>
        <v>100</v>
      </c>
      <c r="T31" s="714" t="s">
        <v>17</v>
      </c>
      <c r="U31" s="715">
        <f t="shared" si="13"/>
        <v>100</v>
      </c>
      <c r="V31" s="714" t="s">
        <v>17</v>
      </c>
      <c r="W31" s="715">
        <f t="shared" si="14"/>
        <v>100</v>
      </c>
      <c r="X31" s="1541"/>
      <c r="Y31" s="3285"/>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5"/>
      <c r="Q32" s="1538" t="str">
        <f t="shared" si="11"/>
        <v>公共部分装修</v>
      </c>
      <c r="R32" s="714" t="s">
        <v>17</v>
      </c>
      <c r="S32" s="715">
        <f t="shared" si="12"/>
        <v>100</v>
      </c>
      <c r="T32" s="714" t="s">
        <v>17</v>
      </c>
      <c r="U32" s="715">
        <f t="shared" si="13"/>
        <v>100</v>
      </c>
      <c r="V32" s="714" t="s">
        <v>17</v>
      </c>
      <c r="W32" s="715">
        <f t="shared" si="14"/>
        <v>100</v>
      </c>
      <c r="X32" s="1541"/>
      <c r="Y32" s="3285"/>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5"/>
      <c r="Q33" s="1538" t="str">
        <f t="shared" si="11"/>
        <v>成新度</v>
      </c>
      <c r="R33" s="714" t="s">
        <v>17</v>
      </c>
      <c r="S33" s="715" t="e">
        <f t="shared" si="12"/>
        <v>#N/A</v>
      </c>
      <c r="T33" s="714" t="s">
        <v>17</v>
      </c>
      <c r="U33" s="715" t="e">
        <f t="shared" si="13"/>
        <v>#N/A</v>
      </c>
      <c r="V33" s="714" t="s">
        <v>17</v>
      </c>
      <c r="W33" s="715" t="e">
        <f t="shared" si="14"/>
        <v>#N/A</v>
      </c>
      <c r="X33" s="1541"/>
      <c r="Y33" s="3285"/>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5"/>
      <c r="Q34" s="1529"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5" t="s">
        <v>2385</v>
      </c>
      <c r="Q35" s="1538" t="str">
        <f t="shared" si="11"/>
        <v>市政基础设施</v>
      </c>
      <c r="R35" s="714" t="s">
        <v>17</v>
      </c>
      <c r="S35" s="715">
        <f t="shared" si="12"/>
        <v>100</v>
      </c>
      <c r="T35" s="714" t="s">
        <v>17</v>
      </c>
      <c r="U35" s="715">
        <f t="shared" si="13"/>
        <v>100</v>
      </c>
      <c r="V35" s="714" t="s">
        <v>17</v>
      </c>
      <c r="W35" s="715">
        <f t="shared" si="14"/>
        <v>100</v>
      </c>
      <c r="X35" s="1541"/>
      <c r="Y35" s="3285"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5"/>
      <c r="Q36" s="1538" t="str">
        <f t="shared" si="11"/>
        <v>内部装修</v>
      </c>
      <c r="R36" s="714" t="s">
        <v>17</v>
      </c>
      <c r="S36" s="715">
        <f t="shared" si="12"/>
        <v>100</v>
      </c>
      <c r="T36" s="714" t="s">
        <v>17</v>
      </c>
      <c r="U36" s="715">
        <f t="shared" si="13"/>
        <v>100</v>
      </c>
      <c r="V36" s="714" t="s">
        <v>17</v>
      </c>
      <c r="W36" s="715">
        <f t="shared" si="14"/>
        <v>100</v>
      </c>
      <c r="X36" s="1541"/>
      <c r="Y36" s="3285"/>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5"/>
      <c r="Q37" s="1538" t="str">
        <f t="shared" si="11"/>
        <v>内部装修状况</v>
      </c>
      <c r="R37" s="714" t="s">
        <v>17</v>
      </c>
      <c r="S37" s="715">
        <f t="shared" si="12"/>
        <v>100</v>
      </c>
      <c r="T37" s="714" t="s">
        <v>17</v>
      </c>
      <c r="U37" s="715">
        <f t="shared" si="13"/>
        <v>100</v>
      </c>
      <c r="V37" s="714" t="s">
        <v>17</v>
      </c>
      <c r="W37" s="715">
        <f t="shared" si="14"/>
        <v>100</v>
      </c>
      <c r="X37" s="1541"/>
      <c r="Y37" s="328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5"/>
      <c r="Q39" s="1538">
        <f t="shared" si="11"/>
        <v>111</v>
      </c>
      <c r="R39" s="714" t="s">
        <v>17</v>
      </c>
      <c r="S39" s="715">
        <f t="shared" si="12"/>
        <v>100</v>
      </c>
      <c r="T39" s="714" t="s">
        <v>17</v>
      </c>
      <c r="U39" s="715">
        <f t="shared" si="13"/>
        <v>100</v>
      </c>
      <c r="V39" s="714" t="s">
        <v>17</v>
      </c>
      <c r="W39" s="715">
        <f t="shared" si="14"/>
        <v>100</v>
      </c>
      <c r="X39" s="1541"/>
      <c r="Y39" s="328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6"/>
      <c r="Q40" s="1538">
        <f t="shared" si="11"/>
        <v>111</v>
      </c>
      <c r="R40" s="714" t="s">
        <v>17</v>
      </c>
      <c r="S40" s="715">
        <f t="shared" si="12"/>
        <v>100</v>
      </c>
      <c r="T40" s="714" t="s">
        <v>17</v>
      </c>
      <c r="U40" s="715">
        <f t="shared" si="13"/>
        <v>100</v>
      </c>
      <c r="V40" s="714" t="s">
        <v>17</v>
      </c>
      <c r="W40" s="715">
        <f t="shared" si="14"/>
        <v>100</v>
      </c>
      <c r="X40" s="1541"/>
      <c r="Y40" s="3286"/>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287" t="str">
        <f>A41</f>
        <v>成交单价（元/平方米）</v>
      </c>
      <c r="Q41" s="3287"/>
      <c r="R41" s="3288">
        <f>E41</f>
        <v>0</v>
      </c>
      <c r="S41" s="3288"/>
      <c r="T41" s="3288">
        <f>G41</f>
        <v>0</v>
      </c>
      <c r="U41" s="3288"/>
      <c r="V41" s="3288">
        <f>I41</f>
        <v>0</v>
      </c>
      <c r="W41" s="3288"/>
      <c r="X41" s="699"/>
      <c r="Y41" s="721"/>
      <c r="Z41" s="699"/>
      <c r="AA41" s="699"/>
      <c r="AB41" s="699"/>
      <c r="AC41" s="699"/>
    </row>
    <row r="42" spans="1:29" ht="15.75" thickBot="1">
      <c r="A42" s="445" t="s">
        <v>2489</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89" t="str">
        <f>A43</f>
        <v>估价对象XX用房的比较价值（楼面单价，元/平方米）</v>
      </c>
      <c r="Q43" s="3290"/>
      <c r="R43" s="3291" t="e">
        <f>IF(F1="售价",ROUND(IF(D42="简单平均",AVERAGE(R42:V42),R42*F42+T42*H42+V42*J42),0),ROUND(IF(D42="简单平均",AVERAGE(R42:V42),R42*F42+T42*H42+V42*J42),1))</f>
        <v>#DIV/0!</v>
      </c>
      <c r="S43" s="3291"/>
      <c r="T43" s="3291"/>
      <c r="U43" s="3291"/>
      <c r="V43" s="3291"/>
      <c r="W43" s="329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9"/>
      <c r="D2" s="1038" t="e">
        <f ca="1">SUMIF(INDIRECT("'"&amp;F2&amp;"'"&amp;"!A:A"),"承租人权益价值",INDIRECT("'"&amp;F2&amp;"'"&amp;"!c:c"))</f>
        <v>#REF!</v>
      </c>
      <c r="E2" s="2070" t="s">
        <v>2148</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50" t="s">
        <v>2369</v>
      </c>
      <c r="Q7" s="3277"/>
      <c r="R7" s="710" t="s">
        <v>17</v>
      </c>
      <c r="S7" s="711">
        <f t="shared" ref="S7:S14" si="0">F7</f>
        <v>0</v>
      </c>
      <c r="T7" s="710" t="s">
        <v>17</v>
      </c>
      <c r="U7" s="711">
        <f t="shared" ref="U7:U14" si="1">H7</f>
        <v>0</v>
      </c>
      <c r="V7" s="710" t="s">
        <v>17</v>
      </c>
      <c r="W7" s="711">
        <f t="shared" ref="W7:W14" si="2">J7</f>
        <v>0</v>
      </c>
      <c r="X7" s="712"/>
      <c r="Y7" s="3250" t="s">
        <v>2369</v>
      </c>
      <c r="Z7" s="325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87" t="s">
        <v>2375</v>
      </c>
      <c r="Q9" s="1529"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87"/>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80" t="s">
        <v>2380</v>
      </c>
      <c r="Q14" s="1538" t="str">
        <f t="shared" si="6"/>
        <v>交通便捷度</v>
      </c>
      <c r="R14" s="714" t="s">
        <v>17</v>
      </c>
      <c r="S14" s="715">
        <f t="shared" si="0"/>
        <v>100</v>
      </c>
      <c r="T14" s="714" t="s">
        <v>17</v>
      </c>
      <c r="U14" s="715">
        <f t="shared" si="1"/>
        <v>100</v>
      </c>
      <c r="V14" s="714" t="s">
        <v>17</v>
      </c>
      <c r="W14" s="715">
        <f t="shared" si="2"/>
        <v>100</v>
      </c>
      <c r="X14" s="1541"/>
      <c r="Y14" s="3280"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81"/>
      <c r="Q15" s="1538"/>
      <c r="R15" s="714"/>
      <c r="S15" s="715"/>
      <c r="T15" s="714"/>
      <c r="U15" s="715"/>
      <c r="V15" s="714"/>
      <c r="W15" s="715"/>
      <c r="X15" s="1541"/>
      <c r="Y15" s="3281"/>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81"/>
      <c r="Q17" s="1538"/>
      <c r="R17" s="714"/>
      <c r="S17" s="715"/>
      <c r="T17" s="714"/>
      <c r="U17" s="715"/>
      <c r="V17" s="714"/>
      <c r="W17" s="715"/>
      <c r="X17" s="1541"/>
      <c r="Y17" s="3281"/>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81"/>
      <c r="Q19" s="1538"/>
      <c r="R19" s="714"/>
      <c r="S19" s="715"/>
      <c r="T19" s="714"/>
      <c r="U19" s="715"/>
      <c r="V19" s="714"/>
      <c r="W19" s="715"/>
      <c r="X19" s="1541"/>
      <c r="Y19" s="3281"/>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81"/>
      <c r="Q21" s="1538"/>
      <c r="R21" s="714"/>
      <c r="S21" s="715"/>
      <c r="T21" s="714"/>
      <c r="U21" s="715"/>
      <c r="V21" s="714"/>
      <c r="W21" s="715"/>
      <c r="X21" s="1541"/>
      <c r="Y21" s="3281"/>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81"/>
      <c r="Q24" s="1538">
        <f t="shared" ref="Q24:Q36"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4"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85"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85"/>
      <c r="Q28" s="1538" t="str">
        <f t="shared" si="11"/>
        <v>公共部分装修</v>
      </c>
      <c r="R28" s="714" t="s">
        <v>17</v>
      </c>
      <c r="S28" s="715">
        <f t="shared" si="12"/>
        <v>100</v>
      </c>
      <c r="T28" s="714" t="s">
        <v>17</v>
      </c>
      <c r="U28" s="715">
        <f t="shared" si="13"/>
        <v>100</v>
      </c>
      <c r="V28" s="714" t="s">
        <v>17</v>
      </c>
      <c r="W28" s="715">
        <f t="shared" si="14"/>
        <v>100</v>
      </c>
      <c r="X28" s="1541"/>
      <c r="Y28" s="3285"/>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85"/>
      <c r="Q29" s="1538" t="str">
        <f t="shared" si="11"/>
        <v>成新率</v>
      </c>
      <c r="R29" s="714" t="s">
        <v>17</v>
      </c>
      <c r="S29" s="715" t="e">
        <f t="shared" si="12"/>
        <v>#N/A</v>
      </c>
      <c r="T29" s="714" t="s">
        <v>17</v>
      </c>
      <c r="U29" s="715" t="e">
        <f t="shared" si="13"/>
        <v>#N/A</v>
      </c>
      <c r="V29" s="714" t="s">
        <v>17</v>
      </c>
      <c r="W29" s="715" t="e">
        <f t="shared" si="14"/>
        <v>#N/A</v>
      </c>
      <c r="X29" s="1541"/>
      <c r="Y29" s="3285"/>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85"/>
      <c r="Q30" s="1538" t="str">
        <f t="shared" si="11"/>
        <v>物业等级</v>
      </c>
      <c r="R30" s="714" t="s">
        <v>17</v>
      </c>
      <c r="S30" s="715">
        <f t="shared" si="12"/>
        <v>100</v>
      </c>
      <c r="T30" s="714" t="s">
        <v>17</v>
      </c>
      <c r="U30" s="715">
        <f t="shared" si="13"/>
        <v>100</v>
      </c>
      <c r="V30" s="714" t="s">
        <v>17</v>
      </c>
      <c r="W30" s="715">
        <f t="shared" si="14"/>
        <v>100</v>
      </c>
      <c r="X30" s="1541"/>
      <c r="Y30" s="3285"/>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85"/>
      <c r="Q31" s="1529"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85" t="s">
        <v>2385</v>
      </c>
      <c r="Q32" s="1538" t="str">
        <f t="shared" si="11"/>
        <v>车位类型</v>
      </c>
      <c r="R32" s="714" t="s">
        <v>17</v>
      </c>
      <c r="S32" s="715">
        <f t="shared" si="12"/>
        <v>100</v>
      </c>
      <c r="T32" s="714" t="s">
        <v>17</v>
      </c>
      <c r="U32" s="715">
        <f t="shared" si="13"/>
        <v>100</v>
      </c>
      <c r="V32" s="714" t="s">
        <v>17</v>
      </c>
      <c r="W32" s="715">
        <f t="shared" si="14"/>
        <v>100</v>
      </c>
      <c r="X32" s="1541"/>
      <c r="Y32" s="3285"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85"/>
      <c r="Q33" s="1538" t="str">
        <f t="shared" si="11"/>
        <v>是否直接入户</v>
      </c>
      <c r="R33" s="714" t="s">
        <v>17</v>
      </c>
      <c r="S33" s="715">
        <f t="shared" si="12"/>
        <v>100</v>
      </c>
      <c r="T33" s="714" t="s">
        <v>17</v>
      </c>
      <c r="U33" s="715">
        <f t="shared" si="13"/>
        <v>100</v>
      </c>
      <c r="V33" s="714" t="s">
        <v>17</v>
      </c>
      <c r="W33" s="715">
        <f t="shared" si="14"/>
        <v>100</v>
      </c>
      <c r="X33" s="1541"/>
      <c r="Y33" s="328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85"/>
      <c r="Q36" s="1538">
        <f t="shared" si="11"/>
        <v>111</v>
      </c>
      <c r="R36" s="714" t="s">
        <v>17</v>
      </c>
      <c r="S36" s="715">
        <f t="shared" si="12"/>
        <v>100</v>
      </c>
      <c r="T36" s="714" t="s">
        <v>17</v>
      </c>
      <c r="U36" s="715">
        <f t="shared" si="13"/>
        <v>100</v>
      </c>
      <c r="V36" s="714" t="s">
        <v>17</v>
      </c>
      <c r="W36" s="715">
        <f t="shared" si="14"/>
        <v>100</v>
      </c>
      <c r="X36" s="1541"/>
      <c r="Y36" s="3285"/>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287" t="str">
        <f>A37</f>
        <v>成交单价</v>
      </c>
      <c r="Q37" s="3287"/>
      <c r="R37" s="3288">
        <f>E37</f>
        <v>0</v>
      </c>
      <c r="S37" s="3288"/>
      <c r="T37" s="3288">
        <f>G37</f>
        <v>0</v>
      </c>
      <c r="U37" s="3288"/>
      <c r="V37" s="3288">
        <f>I37</f>
        <v>0</v>
      </c>
      <c r="W37" s="3288"/>
      <c r="X37" s="699"/>
      <c r="Y37" s="721"/>
      <c r="Z37" s="699"/>
      <c r="AA37" s="699"/>
      <c r="AB37" s="699"/>
      <c r="AC37" s="699"/>
    </row>
    <row r="38" spans="1:29" ht="15.75" thickBot="1">
      <c r="A38" s="445" t="s">
        <v>2542</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289" t="str">
        <f>A39</f>
        <v>估价对象XX用房的比较价值（楼面单价，元/平方米）</v>
      </c>
      <c r="Q39" s="3290"/>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9"/>
      <c r="D2" s="1038" t="e">
        <f ca="1">SUMIF(INDIRECT("'"&amp;F2&amp;"'"&amp;"!A:A"),"承租人权益价值",INDIRECT("'"&amp;F2&amp;"'"&amp;"!c:c"))</f>
        <v>#REF!</v>
      </c>
      <c r="E2" s="2070" t="s">
        <v>2148</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50" t="s">
        <v>2369</v>
      </c>
      <c r="Q7" s="3277"/>
      <c r="R7" s="710" t="s">
        <v>17</v>
      </c>
      <c r="S7" s="711">
        <f t="shared" ref="S7:S14" si="0">F7</f>
        <v>0</v>
      </c>
      <c r="T7" s="710" t="s">
        <v>17</v>
      </c>
      <c r="U7" s="711">
        <f t="shared" ref="U7:U14" si="1">H7</f>
        <v>0</v>
      </c>
      <c r="V7" s="710" t="s">
        <v>17</v>
      </c>
      <c r="W7" s="711">
        <f t="shared" ref="W7:W14" si="2">J7</f>
        <v>0</v>
      </c>
      <c r="X7" s="712"/>
      <c r="Y7" s="3250" t="s">
        <v>2369</v>
      </c>
      <c r="Z7" s="3251"/>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87" t="s">
        <v>2375</v>
      </c>
      <c r="Q9" s="1529"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87"/>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80" t="s">
        <v>2380</v>
      </c>
      <c r="Q14" s="1538" t="str">
        <f t="shared" si="6"/>
        <v>交通便捷度</v>
      </c>
      <c r="R14" s="714" t="s">
        <v>17</v>
      </c>
      <c r="S14" s="715">
        <f t="shared" si="0"/>
        <v>100</v>
      </c>
      <c r="T14" s="714" t="s">
        <v>17</v>
      </c>
      <c r="U14" s="715">
        <f t="shared" si="1"/>
        <v>100</v>
      </c>
      <c r="V14" s="714" t="s">
        <v>17</v>
      </c>
      <c r="W14" s="715">
        <f t="shared" si="2"/>
        <v>100</v>
      </c>
      <c r="X14" s="1541"/>
      <c r="Y14" s="3280"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81"/>
      <c r="Q15" s="1538"/>
      <c r="R15" s="714"/>
      <c r="S15" s="715"/>
      <c r="T15" s="714"/>
      <c r="U15" s="715"/>
      <c r="V15" s="714"/>
      <c r="W15" s="715"/>
      <c r="X15" s="1541"/>
      <c r="Y15" s="3281"/>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81"/>
      <c r="Q17" s="1538"/>
      <c r="R17" s="714"/>
      <c r="S17" s="715"/>
      <c r="T17" s="714"/>
      <c r="U17" s="715"/>
      <c r="V17" s="714"/>
      <c r="W17" s="715"/>
      <c r="X17" s="1541"/>
      <c r="Y17" s="3281"/>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81"/>
      <c r="Q19" s="1538"/>
      <c r="R19" s="714"/>
      <c r="S19" s="715"/>
      <c r="T19" s="714"/>
      <c r="U19" s="715"/>
      <c r="V19" s="714"/>
      <c r="W19" s="715"/>
      <c r="X19" s="1541"/>
      <c r="Y19" s="3281"/>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81"/>
      <c r="Q21" s="1538"/>
      <c r="R21" s="714"/>
      <c r="S21" s="715"/>
      <c r="T21" s="714"/>
      <c r="U21" s="715"/>
      <c r="V21" s="714"/>
      <c r="W21" s="715"/>
      <c r="X21" s="1541"/>
      <c r="Y21" s="3281"/>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81"/>
      <c r="Q24" s="1538">
        <f t="shared" ref="Q24:Q34"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4"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5"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85"/>
      <c r="Q28" s="1538" t="str">
        <f t="shared" si="11"/>
        <v>物业等级</v>
      </c>
      <c r="R28" s="714" t="s">
        <v>17</v>
      </c>
      <c r="S28" s="715">
        <f t="shared" si="12"/>
        <v>100</v>
      </c>
      <c r="T28" s="714" t="s">
        <v>17</v>
      </c>
      <c r="U28" s="715">
        <f t="shared" si="13"/>
        <v>100</v>
      </c>
      <c r="V28" s="714" t="s">
        <v>17</v>
      </c>
      <c r="W28" s="715">
        <f t="shared" si="14"/>
        <v>100</v>
      </c>
      <c r="X28" s="1541"/>
      <c r="Y28" s="3285"/>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85"/>
      <c r="Q29" s="1538" t="str">
        <f t="shared" si="11"/>
        <v>有无电梯</v>
      </c>
      <c r="R29" s="714" t="s">
        <v>17</v>
      </c>
      <c r="S29" s="715">
        <f t="shared" si="12"/>
        <v>100</v>
      </c>
      <c r="T29" s="714" t="s">
        <v>17</v>
      </c>
      <c r="U29" s="715">
        <f t="shared" si="13"/>
        <v>100</v>
      </c>
      <c r="V29" s="714" t="s">
        <v>17</v>
      </c>
      <c r="W29" s="715">
        <f t="shared" si="14"/>
        <v>100</v>
      </c>
      <c r="X29" s="1541"/>
      <c r="Y29" s="3285"/>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85"/>
      <c r="Q30" s="1538" t="str">
        <f t="shared" si="11"/>
        <v>建筑面积</v>
      </c>
      <c r="R30" s="714" t="s">
        <v>17</v>
      </c>
      <c r="S30" s="715" t="e">
        <f t="shared" si="12"/>
        <v>#N/A</v>
      </c>
      <c r="T30" s="714" t="s">
        <v>17</v>
      </c>
      <c r="U30" s="715" t="e">
        <f t="shared" si="13"/>
        <v>#N/A</v>
      </c>
      <c r="V30" s="714" t="s">
        <v>17</v>
      </c>
      <c r="W30" s="715" t="e">
        <f t="shared" si="14"/>
        <v>#N/A</v>
      </c>
      <c r="X30" s="1541"/>
      <c r="Y30" s="3285"/>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85"/>
      <c r="Q31" s="1529"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85" t="s">
        <v>2385</v>
      </c>
      <c r="Q32" s="1538">
        <f t="shared" si="11"/>
        <v>111</v>
      </c>
      <c r="R32" s="714" t="s">
        <v>17</v>
      </c>
      <c r="S32" s="715">
        <f t="shared" si="12"/>
        <v>100</v>
      </c>
      <c r="T32" s="714" t="s">
        <v>17</v>
      </c>
      <c r="U32" s="715">
        <f t="shared" si="13"/>
        <v>100</v>
      </c>
      <c r="V32" s="714" t="s">
        <v>17</v>
      </c>
      <c r="W32" s="715">
        <f t="shared" si="14"/>
        <v>100</v>
      </c>
      <c r="X32" s="1541"/>
      <c r="Y32" s="3285"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85"/>
      <c r="Q33" s="1538">
        <f t="shared" si="11"/>
        <v>111</v>
      </c>
      <c r="R33" s="714" t="s">
        <v>17</v>
      </c>
      <c r="S33" s="715">
        <f t="shared" si="12"/>
        <v>100</v>
      </c>
      <c r="T33" s="714" t="s">
        <v>17</v>
      </c>
      <c r="U33" s="715">
        <f t="shared" si="13"/>
        <v>100</v>
      </c>
      <c r="V33" s="714" t="s">
        <v>17</v>
      </c>
      <c r="W33" s="715">
        <f t="shared" si="14"/>
        <v>100</v>
      </c>
      <c r="X33" s="1541"/>
      <c r="Y33" s="328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287" t="str">
        <f>A35</f>
        <v>成交单价（元/平方米）</v>
      </c>
      <c r="Q35" s="3287"/>
      <c r="R35" s="3288">
        <f>E35</f>
        <v>0</v>
      </c>
      <c r="S35" s="3288"/>
      <c r="T35" s="3288">
        <f>G35</f>
        <v>0</v>
      </c>
      <c r="U35" s="3288"/>
      <c r="V35" s="3288">
        <f>I35</f>
        <v>0</v>
      </c>
      <c r="W35" s="3288"/>
      <c r="X35" s="699"/>
      <c r="Y35" s="721"/>
      <c r="Z35" s="699"/>
      <c r="AA35" s="699"/>
      <c r="AB35" s="699"/>
      <c r="AC35" s="699"/>
    </row>
    <row r="36" spans="1:30" ht="15.75" thickBot="1">
      <c r="A36" s="445" t="s">
        <v>2489</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289" t="str">
        <f>A37</f>
        <v>估价对象XX用房的比较价值（楼面单价，元/平方米）</v>
      </c>
      <c r="Q37" s="3290"/>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30"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30"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30" s="113" customFormat="1" ht="15.75" thickBot="1">
      <c r="A7" s="368" t="s">
        <v>2368</v>
      </c>
      <c r="B7" s="369"/>
      <c r="C7" s="370">
        <f>'数据-取费表'!B2</f>
        <v>44082</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117</v>
      </c>
      <c r="G10" s="422"/>
      <c r="H10" s="132">
        <f>ROUND(100/'数据-取费表'!G16,0)</f>
        <v>117</v>
      </c>
      <c r="I10" s="422"/>
      <c r="J10" s="132">
        <f>ROUND(100/'数据-取费表'!G16,0)</f>
        <v>117</v>
      </c>
      <c r="K10" s="628"/>
      <c r="L10" s="2950"/>
      <c r="M10" s="2951"/>
      <c r="N10" s="2951"/>
      <c r="O10" s="3004"/>
      <c r="P10" s="3287"/>
      <c r="Q10" s="1529" t="str">
        <f t="shared" si="6"/>
        <v>土地使用年限（年）</v>
      </c>
      <c r="R10" s="710" t="s">
        <v>17</v>
      </c>
      <c r="S10" s="711">
        <f t="shared" si="0"/>
        <v>117</v>
      </c>
      <c r="T10" s="710" t="s">
        <v>17</v>
      </c>
      <c r="U10" s="711">
        <f t="shared" si="1"/>
        <v>117</v>
      </c>
      <c r="V10" s="710" t="s">
        <v>17</v>
      </c>
      <c r="W10" s="711">
        <f t="shared" si="2"/>
        <v>117</v>
      </c>
      <c r="X10" s="712"/>
      <c r="Y10" s="3222"/>
      <c r="Z10" s="55" t="str">
        <f t="shared" si="7"/>
        <v>土地使用年限（年）</v>
      </c>
      <c r="AA10" s="713">
        <f t="shared" si="3"/>
        <v>0.85470085470085466</v>
      </c>
      <c r="AB10" s="713">
        <f t="shared" si="4"/>
        <v>0.85470085470085466</v>
      </c>
      <c r="AC10" s="713">
        <f t="shared" si="5"/>
        <v>0.85470085470085466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87"/>
      <c r="Q12" s="1529"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2379</v>
      </c>
      <c r="B15" s="65" t="s">
        <v>1942</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80" t="s">
        <v>2380</v>
      </c>
      <c r="Q15" s="1538" t="str">
        <f t="shared" si="6"/>
        <v>居住社区成熟度</v>
      </c>
      <c r="R15" s="714" t="s">
        <v>17</v>
      </c>
      <c r="S15" s="715">
        <f t="shared" si="0"/>
        <v>100</v>
      </c>
      <c r="T15" s="714" t="s">
        <v>17</v>
      </c>
      <c r="U15" s="715">
        <f t="shared" si="1"/>
        <v>100</v>
      </c>
      <c r="V15" s="714" t="s">
        <v>17</v>
      </c>
      <c r="W15" s="715">
        <f t="shared" si="2"/>
        <v>100</v>
      </c>
      <c r="X15" s="1541"/>
      <c r="Y15" s="3280"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81"/>
      <c r="Q17" s="1538" t="str">
        <f>B17</f>
        <v>商业繁华度</v>
      </c>
      <c r="R17" s="714" t="s">
        <v>17</v>
      </c>
      <c r="S17" s="715">
        <f>F17</f>
        <v>100</v>
      </c>
      <c r="T17" s="714" t="s">
        <v>17</v>
      </c>
      <c r="U17" s="715">
        <f>H17</f>
        <v>100</v>
      </c>
      <c r="V17" s="714" t="s">
        <v>17</v>
      </c>
      <c r="W17" s="715">
        <f>J17</f>
        <v>100</v>
      </c>
      <c r="X17" s="1541"/>
      <c r="Y17" s="328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81"/>
      <c r="Q19" s="1538" t="str">
        <f>B19</f>
        <v>办公集聚程度</v>
      </c>
      <c r="R19" s="714" t="s">
        <v>17</v>
      </c>
      <c r="S19" s="715">
        <f>F19</f>
        <v>100</v>
      </c>
      <c r="T19" s="714" t="s">
        <v>17</v>
      </c>
      <c r="U19" s="715">
        <f>H19</f>
        <v>100</v>
      </c>
      <c r="V19" s="714" t="s">
        <v>17</v>
      </c>
      <c r="W19" s="715">
        <f>J19</f>
        <v>100</v>
      </c>
      <c r="X19" s="1541"/>
      <c r="Y19" s="328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81"/>
      <c r="Q20" s="1538"/>
      <c r="R20" s="714"/>
      <c r="S20" s="715"/>
      <c r="T20" s="714"/>
      <c r="U20" s="715"/>
      <c r="V20" s="714"/>
      <c r="W20" s="715"/>
      <c r="X20" s="1541"/>
      <c r="Y20" s="3281"/>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81"/>
      <c r="Q21" s="1538" t="str">
        <f>B21</f>
        <v>交通便捷度</v>
      </c>
      <c r="R21" s="714" t="s">
        <v>17</v>
      </c>
      <c r="S21" s="715">
        <f>F21</f>
        <v>100</v>
      </c>
      <c r="T21" s="714" t="s">
        <v>17</v>
      </c>
      <c r="U21" s="715">
        <f>H21</f>
        <v>100</v>
      </c>
      <c r="V21" s="714" t="s">
        <v>17</v>
      </c>
      <c r="W21" s="715">
        <f>J21</f>
        <v>100</v>
      </c>
      <c r="X21" s="1541"/>
      <c r="Y21" s="328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81"/>
      <c r="Q23" s="1538" t="str">
        <f t="shared" ref="Q23:Q37" si="8">B23</f>
        <v>区域土地利用方向</v>
      </c>
      <c r="R23" s="714" t="s">
        <v>17</v>
      </c>
      <c r="S23" s="715">
        <f>F23</f>
        <v>100</v>
      </c>
      <c r="T23" s="714" t="s">
        <v>17</v>
      </c>
      <c r="U23" s="715">
        <f>H23</f>
        <v>100</v>
      </c>
      <c r="V23" s="714" t="s">
        <v>17</v>
      </c>
      <c r="W23" s="715">
        <f>J23</f>
        <v>100</v>
      </c>
      <c r="X23" s="1541"/>
      <c r="Y23" s="328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81"/>
      <c r="Q24" s="1538"/>
      <c r="R24" s="714"/>
      <c r="S24" s="715"/>
      <c r="T24" s="714"/>
      <c r="U24" s="715"/>
      <c r="V24" s="714"/>
      <c r="W24" s="715"/>
      <c r="X24" s="1541"/>
      <c r="Y24" s="3281"/>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81"/>
      <c r="Q25" s="1538" t="str">
        <f t="shared" si="8"/>
        <v>自然及人文环境状况</v>
      </c>
      <c r="R25" s="714" t="s">
        <v>17</v>
      </c>
      <c r="S25" s="715">
        <f>F25</f>
        <v>100</v>
      </c>
      <c r="T25" s="714" t="s">
        <v>17</v>
      </c>
      <c r="U25" s="715">
        <f>H25</f>
        <v>100</v>
      </c>
      <c r="V25" s="714" t="s">
        <v>17</v>
      </c>
      <c r="W25" s="715">
        <f>J25</f>
        <v>100</v>
      </c>
      <c r="X25" s="1541"/>
      <c r="Y25" s="328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81"/>
      <c r="Q26" s="1538"/>
      <c r="R26" s="714"/>
      <c r="S26" s="715"/>
      <c r="T26" s="714"/>
      <c r="U26" s="715"/>
      <c r="V26" s="714"/>
      <c r="W26" s="715"/>
      <c r="X26" s="1541"/>
      <c r="Y26" s="3281"/>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81"/>
      <c r="Q27" s="1529" t="str">
        <f t="shared" si="8"/>
        <v>公共配套设施</v>
      </c>
      <c r="R27" s="710" t="s">
        <v>17</v>
      </c>
      <c r="S27" s="711">
        <f>F27</f>
        <v>100</v>
      </c>
      <c r="T27" s="710" t="s">
        <v>17</v>
      </c>
      <c r="U27" s="711">
        <f>H27</f>
        <v>100</v>
      </c>
      <c r="V27" s="710" t="s">
        <v>17</v>
      </c>
      <c r="W27" s="711">
        <f>J27</f>
        <v>100</v>
      </c>
      <c r="X27" s="712"/>
      <c r="Y27" s="328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81"/>
      <c r="Q28" s="1529"/>
      <c r="R28" s="710"/>
      <c r="S28" s="711"/>
      <c r="T28" s="710"/>
      <c r="U28" s="711"/>
      <c r="V28" s="710"/>
      <c r="W28" s="711"/>
      <c r="X28" s="712"/>
      <c r="Y28" s="3281"/>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81"/>
      <c r="Q29" s="1529" t="str">
        <f t="shared" ref="Q29" si="9">B29</f>
        <v>基础设施水平</v>
      </c>
      <c r="R29" s="710" t="s">
        <v>17</v>
      </c>
      <c r="S29" s="711">
        <f>F29</f>
        <v>100</v>
      </c>
      <c r="T29" s="710" t="s">
        <v>17</v>
      </c>
      <c r="U29" s="711">
        <f>H29</f>
        <v>100</v>
      </c>
      <c r="V29" s="710" t="s">
        <v>17</v>
      </c>
      <c r="W29" s="711">
        <f>J29</f>
        <v>100</v>
      </c>
      <c r="X29" s="712"/>
      <c r="Y29" s="328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81"/>
      <c r="Q30" s="1529"/>
      <c r="R30" s="710"/>
      <c r="S30" s="711"/>
      <c r="T30" s="710"/>
      <c r="U30" s="711"/>
      <c r="V30" s="710"/>
      <c r="W30" s="711"/>
      <c r="X30" s="712"/>
      <c r="Y30" s="3281"/>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8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1"/>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81"/>
      <c r="Q32" s="1538" t="str">
        <f t="shared" si="8"/>
        <v>毗邻道路的类型与等级</v>
      </c>
      <c r="R32" s="714" t="s">
        <v>17</v>
      </c>
      <c r="S32" s="715">
        <f t="shared" si="10"/>
        <v>100</v>
      </c>
      <c r="T32" s="714" t="s">
        <v>17</v>
      </c>
      <c r="U32" s="715">
        <f t="shared" si="11"/>
        <v>100</v>
      </c>
      <c r="V32" s="714" t="s">
        <v>17</v>
      </c>
      <c r="W32" s="715">
        <f t="shared" si="12"/>
        <v>100</v>
      </c>
      <c r="X32" s="1541"/>
      <c r="Y32" s="328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81"/>
      <c r="Q33" s="1538"/>
      <c r="R33" s="714"/>
      <c r="S33" s="715"/>
      <c r="T33" s="714"/>
      <c r="U33" s="715"/>
      <c r="V33" s="714"/>
      <c r="W33" s="715"/>
      <c r="X33" s="1541"/>
      <c r="Y33" s="3281"/>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81"/>
      <c r="Q34" s="1538" t="str">
        <f t="shared" si="8"/>
        <v>土地级别</v>
      </c>
      <c r="R34" s="714" t="s">
        <v>17</v>
      </c>
      <c r="S34" s="715">
        <f t="shared" si="10"/>
        <v>100</v>
      </c>
      <c r="T34" s="714" t="s">
        <v>17</v>
      </c>
      <c r="U34" s="715">
        <f t="shared" si="11"/>
        <v>100</v>
      </c>
      <c r="V34" s="714" t="s">
        <v>17</v>
      </c>
      <c r="W34" s="715">
        <f t="shared" si="12"/>
        <v>100</v>
      </c>
      <c r="X34" s="1541"/>
      <c r="Y34" s="328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81"/>
      <c r="Q35" s="1538">
        <f t="shared" si="8"/>
        <v>111</v>
      </c>
      <c r="R35" s="714" t="s">
        <v>17</v>
      </c>
      <c r="S35" s="715">
        <f t="shared" si="10"/>
        <v>100</v>
      </c>
      <c r="T35" s="714" t="s">
        <v>17</v>
      </c>
      <c r="U35" s="715">
        <f t="shared" si="11"/>
        <v>100</v>
      </c>
      <c r="V35" s="714" t="s">
        <v>17</v>
      </c>
      <c r="W35" s="715">
        <f t="shared" si="12"/>
        <v>100</v>
      </c>
      <c r="X35" s="1541"/>
      <c r="Y35" s="328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4" t="s">
        <v>2385</v>
      </c>
      <c r="Q36" s="1538">
        <f t="shared" si="8"/>
        <v>111</v>
      </c>
      <c r="R36" s="714" t="s">
        <v>17</v>
      </c>
      <c r="S36" s="715">
        <f t="shared" si="10"/>
        <v>100</v>
      </c>
      <c r="T36" s="714" t="s">
        <v>17</v>
      </c>
      <c r="U36" s="715">
        <f t="shared" si="11"/>
        <v>100</v>
      </c>
      <c r="V36" s="714" t="s">
        <v>17</v>
      </c>
      <c r="W36" s="715">
        <f t="shared" si="12"/>
        <v>100</v>
      </c>
      <c r="X36" s="1541"/>
      <c r="Y36" s="3285"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85"/>
      <c r="Q37" s="1538">
        <f t="shared" si="8"/>
        <v>111</v>
      </c>
      <c r="R37" s="717" t="s">
        <v>17</v>
      </c>
      <c r="S37" s="718">
        <f t="shared" si="10"/>
        <v>100</v>
      </c>
      <c r="T37" s="717" t="s">
        <v>17</v>
      </c>
      <c r="U37" s="718">
        <f t="shared" si="11"/>
        <v>100</v>
      </c>
      <c r="V37" s="717" t="s">
        <v>17</v>
      </c>
      <c r="W37" s="718">
        <f t="shared" si="12"/>
        <v>100</v>
      </c>
      <c r="X37" s="719"/>
      <c r="Y37" s="3285"/>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85"/>
      <c r="Q38" s="1538" t="str">
        <f>B38</f>
        <v>宗地面积</v>
      </c>
      <c r="R38" s="714" t="s">
        <v>17</v>
      </c>
      <c r="S38" s="715" t="e">
        <f t="shared" si="10"/>
        <v>#N/A</v>
      </c>
      <c r="T38" s="714" t="s">
        <v>17</v>
      </c>
      <c r="U38" s="715" t="e">
        <f t="shared" si="11"/>
        <v>#N/A</v>
      </c>
      <c r="V38" s="714" t="s">
        <v>17</v>
      </c>
      <c r="W38" s="715" t="e">
        <f t="shared" si="12"/>
        <v>#N/A</v>
      </c>
      <c r="X38" s="1541"/>
      <c r="Y38" s="3285"/>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85"/>
      <c r="Q39" s="1538" t="str">
        <f t="shared" ref="Q39:Q45" si="14">B39</f>
        <v>宗地形状</v>
      </c>
      <c r="R39" s="714" t="s">
        <v>17</v>
      </c>
      <c r="S39" s="715">
        <f t="shared" si="10"/>
        <v>100</v>
      </c>
      <c r="T39" s="714" t="s">
        <v>17</v>
      </c>
      <c r="U39" s="715">
        <f t="shared" si="11"/>
        <v>100</v>
      </c>
      <c r="V39" s="714" t="s">
        <v>17</v>
      </c>
      <c r="W39" s="715">
        <f t="shared" si="12"/>
        <v>100</v>
      </c>
      <c r="X39" s="1541"/>
      <c r="Y39" s="3285"/>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85"/>
      <c r="Q40" s="1538" t="str">
        <f t="shared" si="14"/>
        <v>临街宽度及深度</v>
      </c>
      <c r="R40" s="714" t="s">
        <v>17</v>
      </c>
      <c r="S40" s="715">
        <f t="shared" si="10"/>
        <v>100</v>
      </c>
      <c r="T40" s="714" t="s">
        <v>17</v>
      </c>
      <c r="U40" s="715">
        <f t="shared" si="11"/>
        <v>100</v>
      </c>
      <c r="V40" s="714" t="s">
        <v>17</v>
      </c>
      <c r="W40" s="715">
        <f t="shared" si="12"/>
        <v>100</v>
      </c>
      <c r="X40" s="1541"/>
      <c r="Y40" s="3285"/>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85"/>
      <c r="Q41" s="1538" t="str">
        <f t="shared" si="14"/>
        <v>宗地开发程度</v>
      </c>
      <c r="R41" s="710" t="s">
        <v>17</v>
      </c>
      <c r="S41" s="711">
        <f t="shared" si="10"/>
        <v>100</v>
      </c>
      <c r="T41" s="710" t="s">
        <v>17</v>
      </c>
      <c r="U41" s="711">
        <f t="shared" si="11"/>
        <v>100</v>
      </c>
      <c r="V41" s="710" t="s">
        <v>17</v>
      </c>
      <c r="W41" s="711">
        <f t="shared" si="12"/>
        <v>100</v>
      </c>
      <c r="X41" s="712"/>
      <c r="Y41" s="3285"/>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85" t="s">
        <v>2385</v>
      </c>
      <c r="Q42" s="1538" t="str">
        <f t="shared" si="14"/>
        <v>工程地质条件</v>
      </c>
      <c r="R42" s="714" t="s">
        <v>17</v>
      </c>
      <c r="S42" s="715">
        <f t="shared" si="10"/>
        <v>100</v>
      </c>
      <c r="T42" s="714" t="s">
        <v>17</v>
      </c>
      <c r="U42" s="715">
        <f t="shared" si="11"/>
        <v>100</v>
      </c>
      <c r="V42" s="714" t="s">
        <v>17</v>
      </c>
      <c r="W42" s="715">
        <f t="shared" si="12"/>
        <v>100</v>
      </c>
      <c r="X42" s="1541"/>
      <c r="Y42" s="3285"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85"/>
      <c r="Q43" s="1538">
        <f t="shared" si="14"/>
        <v>111</v>
      </c>
      <c r="R43" s="714" t="s">
        <v>17</v>
      </c>
      <c r="S43" s="715">
        <f t="shared" si="10"/>
        <v>100</v>
      </c>
      <c r="T43" s="714" t="s">
        <v>17</v>
      </c>
      <c r="U43" s="715">
        <f t="shared" si="11"/>
        <v>100</v>
      </c>
      <c r="V43" s="714" t="s">
        <v>17</v>
      </c>
      <c r="W43" s="715">
        <f t="shared" si="12"/>
        <v>100</v>
      </c>
      <c r="X43" s="1541"/>
      <c r="Y43" s="328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85"/>
      <c r="Q44" s="1538">
        <f t="shared" si="14"/>
        <v>111</v>
      </c>
      <c r="R44" s="714" t="s">
        <v>17</v>
      </c>
      <c r="S44" s="715">
        <f t="shared" si="10"/>
        <v>100</v>
      </c>
      <c r="T44" s="714" t="s">
        <v>17</v>
      </c>
      <c r="U44" s="715">
        <f t="shared" si="11"/>
        <v>100</v>
      </c>
      <c r="V44" s="714" t="s">
        <v>17</v>
      </c>
      <c r="W44" s="715">
        <f t="shared" si="12"/>
        <v>100</v>
      </c>
      <c r="X44" s="1541"/>
      <c r="Y44" s="328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85"/>
      <c r="Q45" s="1538">
        <f t="shared" si="14"/>
        <v>111</v>
      </c>
      <c r="R45" s="717" t="s">
        <v>17</v>
      </c>
      <c r="S45" s="718">
        <f t="shared" si="10"/>
        <v>100</v>
      </c>
      <c r="T45" s="717" t="s">
        <v>17</v>
      </c>
      <c r="U45" s="718">
        <f t="shared" si="11"/>
        <v>100</v>
      </c>
      <c r="V45" s="717" t="s">
        <v>17</v>
      </c>
      <c r="W45" s="718">
        <f t="shared" si="12"/>
        <v>100</v>
      </c>
      <c r="X45" s="719"/>
      <c r="Y45" s="3285"/>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5"/>
      <c r="M46" s="2956"/>
      <c r="N46" s="2947"/>
      <c r="O46" s="2956"/>
      <c r="P46" s="3287" t="str">
        <f>A46</f>
        <v>成交单价</v>
      </c>
      <c r="Q46" s="3287"/>
      <c r="R46" s="3249">
        <f>E46</f>
        <v>0</v>
      </c>
      <c r="S46" s="3249"/>
      <c r="T46" s="3249">
        <f>G46</f>
        <v>0</v>
      </c>
      <c r="U46" s="3249"/>
      <c r="V46" s="3249">
        <f>I46</f>
        <v>0</v>
      </c>
      <c r="W46" s="3249"/>
      <c r="X46" s="699"/>
      <c r="Y46" s="721"/>
      <c r="Z46" s="699"/>
      <c r="AA46" s="699"/>
      <c r="AB46" s="699"/>
      <c r="AC46" s="699"/>
    </row>
    <row r="47" spans="1:29" ht="15.75" thickBot="1">
      <c r="A47" s="445" t="s">
        <v>2489</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87" t="str">
        <f>A47</f>
        <v>比较价值（元/平方米）</v>
      </c>
      <c r="Q47" s="3287"/>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5"/>
      <c r="M48" s="2956"/>
      <c r="N48" s="2956"/>
      <c r="O48" s="2956"/>
      <c r="P48" s="3289" t="str">
        <f>A48</f>
        <v>估价对象XX用房的比较价值（楼面单价，元/平方米）</v>
      </c>
      <c r="Q48" s="3290"/>
      <c r="R48" s="3347" t="e">
        <f>ROUND(IF(D47="简单平均",AVERAGE(R47:W47),R47*F47+T47*H47+V47*J47),0)</f>
        <v>#DIV/0!</v>
      </c>
      <c r="S48" s="3347"/>
      <c r="T48" s="3347"/>
      <c r="U48" s="3347"/>
      <c r="V48" s="3347"/>
      <c r="W48" s="334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2578</v>
      </c>
      <c r="B55" s="641" t="s">
        <v>2579</v>
      </c>
      <c r="C55" s="2171" t="s">
        <v>2580</v>
      </c>
      <c r="D55" s="2172" t="s">
        <v>2581</v>
      </c>
      <c r="E55" s="642" t="s">
        <v>2582</v>
      </c>
      <c r="F55" s="1021" t="s">
        <v>2583</v>
      </c>
      <c r="G55" s="3265" t="s">
        <v>2584</v>
      </c>
      <c r="H55" s="3348"/>
      <c r="I55" s="140" t="s">
        <v>2585</v>
      </c>
      <c r="J55" s="2173">
        <f>项目基本情况!F35</f>
        <v>0</v>
      </c>
      <c r="K55" s="2174" t="s">
        <v>2586</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2587</v>
      </c>
      <c r="B56" s="645" t="e">
        <f>C48</f>
        <v>#DIV/0!</v>
      </c>
      <c r="C56" s="646">
        <v>1</v>
      </c>
      <c r="D56" s="1075">
        <v>1</v>
      </c>
      <c r="E56" s="646">
        <f>'数据-汇总表'!E8+'数据-汇总表'!E9</f>
        <v>7686.6500000000005</v>
      </c>
      <c r="F56" s="1017" t="e">
        <f t="shared" ref="F56:F65" si="15">ROUND(B56*E56/10000,0)</f>
        <v>#DIV/0!</v>
      </c>
      <c r="G56" s="3264"/>
      <c r="H56" s="3287"/>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2588</v>
      </c>
      <c r="B57" s="224" t="e">
        <f>ROUND($C$48*C57*D57,0)</f>
        <v>#DIV/0!</v>
      </c>
      <c r="C57" s="176">
        <f t="shared" ref="C57:C65" si="16">IF($C$55="北京市系数",I57,J57)</f>
        <v>0</v>
      </c>
      <c r="D57" s="1076">
        <v>0.25</v>
      </c>
      <c r="E57" s="650"/>
      <c r="F57" s="1017" t="e">
        <f t="shared" si="15"/>
        <v>#DIV/0!</v>
      </c>
      <c r="G57" s="3349" t="s">
        <v>2589</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2590</v>
      </c>
      <c r="B58" s="224" t="e">
        <f t="shared" ref="B58:B65" si="17">ROUND($C$48*C58*D58,0)</f>
        <v>#DIV/0!</v>
      </c>
      <c r="C58" s="176">
        <f t="shared" si="16"/>
        <v>0</v>
      </c>
      <c r="D58" s="1076">
        <v>0.25</v>
      </c>
      <c r="E58" s="650"/>
      <c r="F58" s="1017" t="e">
        <f t="shared" si="15"/>
        <v>#DIV/0!</v>
      </c>
      <c r="G58" s="3349"/>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2591</v>
      </c>
      <c r="B59" s="224" t="e">
        <f t="shared" si="17"/>
        <v>#DIV/0!</v>
      </c>
      <c r="C59" s="176">
        <f t="shared" si="16"/>
        <v>0</v>
      </c>
      <c r="D59" s="1076">
        <v>0.25</v>
      </c>
      <c r="E59" s="650"/>
      <c r="F59" s="1017" t="e">
        <f t="shared" si="15"/>
        <v>#DIV/0!</v>
      </c>
      <c r="G59" s="3349"/>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2592</v>
      </c>
      <c r="B60" s="224" t="e">
        <f t="shared" si="17"/>
        <v>#DIV/0!</v>
      </c>
      <c r="C60" s="176">
        <f t="shared" si="16"/>
        <v>0</v>
      </c>
      <c r="D60" s="1076">
        <v>0.25</v>
      </c>
      <c r="E60" s="650"/>
      <c r="F60" s="1017" t="e">
        <f t="shared" si="15"/>
        <v>#DIV/0!</v>
      </c>
      <c r="G60" s="3349"/>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2601</v>
      </c>
      <c r="B66" s="652" t="s">
        <v>28</v>
      </c>
      <c r="C66" s="652" t="s">
        <v>29</v>
      </c>
      <c r="D66" s="652" t="s">
        <v>997</v>
      </c>
      <c r="E66" s="652">
        <f>IF(B46="楼面地价",SUM(E56:E65),'数据-汇总表'!D3)</f>
        <v>7686.6500000000005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2602</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2603</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2604</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2612</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2613</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2614</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2615</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350" t="s">
        <v>2617</v>
      </c>
      <c r="D6" s="3351"/>
      <c r="E6" s="3352" t="s">
        <v>2617</v>
      </c>
      <c r="F6" s="3353"/>
      <c r="G6" s="3350" t="s">
        <v>2617</v>
      </c>
      <c r="H6" s="3351"/>
      <c r="I6" s="3350" t="s">
        <v>2617</v>
      </c>
      <c r="J6" s="335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117</v>
      </c>
      <c r="G10" s="391"/>
      <c r="H10" s="132">
        <f>ROUND(100/'数据-取费表'!G16,0)</f>
        <v>117</v>
      </c>
      <c r="I10" s="391"/>
      <c r="J10" s="132">
        <f>ROUND(100/'数据-取费表'!G16,0)</f>
        <v>117</v>
      </c>
      <c r="K10" s="628"/>
      <c r="L10" s="2950"/>
      <c r="M10" s="2951"/>
      <c r="N10" s="2951"/>
      <c r="O10" s="3004"/>
      <c r="P10" s="3287"/>
      <c r="Q10" s="1529" t="str">
        <f t="shared" si="6"/>
        <v>土地使用年限（年）</v>
      </c>
      <c r="R10" s="710" t="s">
        <v>17</v>
      </c>
      <c r="S10" s="711">
        <f t="shared" si="0"/>
        <v>117</v>
      </c>
      <c r="T10" s="710" t="s">
        <v>17</v>
      </c>
      <c r="U10" s="711">
        <f t="shared" si="1"/>
        <v>117</v>
      </c>
      <c r="V10" s="710" t="s">
        <v>17</v>
      </c>
      <c r="W10" s="711">
        <f t="shared" si="2"/>
        <v>117</v>
      </c>
      <c r="X10" s="712"/>
      <c r="Y10" s="3222"/>
      <c r="Z10" s="55" t="str">
        <f t="shared" si="7"/>
        <v>土地使用年限（年）</v>
      </c>
      <c r="AA10" s="713">
        <f t="shared" si="3"/>
        <v>0.85470085470085466</v>
      </c>
      <c r="AB10" s="713">
        <f t="shared" si="4"/>
        <v>0.85470085470085466</v>
      </c>
      <c r="AC10" s="713">
        <f t="shared" si="5"/>
        <v>0.85470085470085466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2379</v>
      </c>
      <c r="B15" s="585" t="s">
        <v>2618</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80" t="s">
        <v>2380</v>
      </c>
      <c r="Q15" s="1538" t="str">
        <f t="shared" si="6"/>
        <v>产业集聚程度</v>
      </c>
      <c r="R15" s="714" t="s">
        <v>17</v>
      </c>
      <c r="S15" s="715">
        <f t="shared" si="0"/>
        <v>100</v>
      </c>
      <c r="T15" s="714" t="s">
        <v>17</v>
      </c>
      <c r="U15" s="715">
        <f t="shared" si="1"/>
        <v>100</v>
      </c>
      <c r="V15" s="714" t="s">
        <v>17</v>
      </c>
      <c r="W15" s="715">
        <f t="shared" si="2"/>
        <v>100</v>
      </c>
      <c r="X15" s="1541"/>
      <c r="Y15" s="3280"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85.5">
      <c r="A17" s="387"/>
      <c r="B17" s="587" t="s">
        <v>2529</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81"/>
      <c r="Q19" s="1538" t="str">
        <f t="shared" ref="Q19:Q33" si="8">B19</f>
        <v>区域土地利用方向</v>
      </c>
      <c r="R19" s="714" t="s">
        <v>17</v>
      </c>
      <c r="S19" s="715">
        <f>F19</f>
        <v>100</v>
      </c>
      <c r="T19" s="714" t="s">
        <v>17</v>
      </c>
      <c r="U19" s="715">
        <f>H19</f>
        <v>100</v>
      </c>
      <c r="V19" s="714" t="s">
        <v>17</v>
      </c>
      <c r="W19" s="715">
        <f>J19</f>
        <v>100</v>
      </c>
      <c r="X19" s="1541"/>
      <c r="Y19" s="328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81"/>
      <c r="Q20" s="1538"/>
      <c r="R20" s="714"/>
      <c r="S20" s="715"/>
      <c r="T20" s="714"/>
      <c r="U20" s="715"/>
      <c r="V20" s="714"/>
      <c r="W20" s="715"/>
      <c r="X20" s="1541"/>
      <c r="Y20" s="3281"/>
      <c r="Z20" s="1542"/>
      <c r="AA20" s="1539"/>
      <c r="AB20" s="1539"/>
      <c r="AC20" s="1539"/>
    </row>
    <row r="21" spans="1:29" ht="71.25">
      <c r="A21" s="364"/>
      <c r="B21" s="587" t="s">
        <v>2619</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81"/>
      <c r="Q21" s="1538" t="str">
        <f t="shared" si="8"/>
        <v>环境状况</v>
      </c>
      <c r="R21" s="714" t="s">
        <v>17</v>
      </c>
      <c r="S21" s="715">
        <f>F21</f>
        <v>100</v>
      </c>
      <c r="T21" s="714" t="s">
        <v>17</v>
      </c>
      <c r="U21" s="715">
        <f>H21</f>
        <v>100</v>
      </c>
      <c r="V21" s="714" t="s">
        <v>17</v>
      </c>
      <c r="W21" s="715">
        <f>J21</f>
        <v>100</v>
      </c>
      <c r="X21" s="1541"/>
      <c r="Y21" s="328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s="113" customFormat="1" ht="42.75">
      <c r="A23" s="605"/>
      <c r="B23" s="589" t="s">
        <v>2474</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81"/>
      <c r="Q23" s="1529" t="str">
        <f t="shared" si="8"/>
        <v>公共配套设施</v>
      </c>
      <c r="R23" s="710" t="s">
        <v>17</v>
      </c>
      <c r="S23" s="711">
        <f>F23</f>
        <v>100</v>
      </c>
      <c r="T23" s="710" t="s">
        <v>17</v>
      </c>
      <c r="U23" s="711">
        <f>H23</f>
        <v>100</v>
      </c>
      <c r="V23" s="710" t="s">
        <v>17</v>
      </c>
      <c r="W23" s="711">
        <f>J23</f>
        <v>100</v>
      </c>
      <c r="X23" s="712"/>
      <c r="Y23" s="328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81"/>
      <c r="Q24" s="1529"/>
      <c r="R24" s="710"/>
      <c r="S24" s="711"/>
      <c r="T24" s="710"/>
      <c r="U24" s="711"/>
      <c r="V24" s="710"/>
      <c r="W24" s="711"/>
      <c r="X24" s="712"/>
      <c r="Y24" s="3281"/>
      <c r="Z24" s="55"/>
      <c r="AA24" s="713">
        <v>1</v>
      </c>
      <c r="AB24" s="713">
        <v>1</v>
      </c>
      <c r="AC24" s="713">
        <v>1</v>
      </c>
    </row>
    <row r="25" spans="1:29" s="113" customFormat="1" ht="28.5">
      <c r="A25" s="605"/>
      <c r="B25" s="589" t="s">
        <v>2475</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81"/>
      <c r="Q25" s="1529" t="str">
        <f t="shared" ref="Q25" si="9">B25</f>
        <v>基础设施水平</v>
      </c>
      <c r="R25" s="710" t="s">
        <v>17</v>
      </c>
      <c r="S25" s="711">
        <f>F25</f>
        <v>100</v>
      </c>
      <c r="T25" s="710" t="s">
        <v>17</v>
      </c>
      <c r="U25" s="711">
        <f>H25</f>
        <v>100</v>
      </c>
      <c r="V25" s="710" t="s">
        <v>17</v>
      </c>
      <c r="W25" s="711">
        <f>J25</f>
        <v>100</v>
      </c>
      <c r="X25" s="712"/>
      <c r="Y25" s="328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81"/>
      <c r="Q26" s="1529"/>
      <c r="R26" s="710"/>
      <c r="S26" s="711"/>
      <c r="T26" s="710"/>
      <c r="U26" s="711"/>
      <c r="V26" s="710"/>
      <c r="W26" s="711"/>
      <c r="X26" s="712"/>
      <c r="Y26" s="328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8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1"/>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81"/>
      <c r="Q28" s="1538" t="str">
        <f t="shared" si="8"/>
        <v>毗邻道路的类型与等级</v>
      </c>
      <c r="R28" s="714" t="s">
        <v>17</v>
      </c>
      <c r="S28" s="715">
        <f t="shared" si="10"/>
        <v>100</v>
      </c>
      <c r="T28" s="714" t="s">
        <v>17</v>
      </c>
      <c r="U28" s="715">
        <f t="shared" si="11"/>
        <v>100</v>
      </c>
      <c r="V28" s="714" t="s">
        <v>17</v>
      </c>
      <c r="W28" s="715">
        <f t="shared" si="12"/>
        <v>100</v>
      </c>
      <c r="X28" s="1541"/>
      <c r="Y28" s="328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81"/>
      <c r="Q29" s="1538"/>
      <c r="R29" s="714"/>
      <c r="S29" s="715"/>
      <c r="T29" s="714"/>
      <c r="U29" s="715"/>
      <c r="V29" s="714"/>
      <c r="W29" s="715"/>
      <c r="X29" s="1541"/>
      <c r="Y29" s="3281"/>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81"/>
      <c r="Q30" s="1538" t="str">
        <f t="shared" si="8"/>
        <v>土地级别</v>
      </c>
      <c r="R30" s="714" t="s">
        <v>17</v>
      </c>
      <c r="S30" s="715">
        <f t="shared" si="10"/>
        <v>100</v>
      </c>
      <c r="T30" s="714" t="s">
        <v>17</v>
      </c>
      <c r="U30" s="715">
        <f t="shared" si="11"/>
        <v>100</v>
      </c>
      <c r="V30" s="714" t="s">
        <v>17</v>
      </c>
      <c r="W30" s="715">
        <f t="shared" si="12"/>
        <v>100</v>
      </c>
      <c r="X30" s="1541"/>
      <c r="Y30" s="328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81"/>
      <c r="Q31" s="1538">
        <f t="shared" si="8"/>
        <v>111</v>
      </c>
      <c r="R31" s="714" t="s">
        <v>17</v>
      </c>
      <c r="S31" s="715">
        <f t="shared" si="10"/>
        <v>100</v>
      </c>
      <c r="T31" s="714" t="s">
        <v>17</v>
      </c>
      <c r="U31" s="715">
        <f t="shared" si="11"/>
        <v>100</v>
      </c>
      <c r="V31" s="714" t="s">
        <v>17</v>
      </c>
      <c r="W31" s="715">
        <f t="shared" si="12"/>
        <v>100</v>
      </c>
      <c r="X31" s="1541"/>
      <c r="Y31" s="328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4" t="s">
        <v>2385</v>
      </c>
      <c r="Q32" s="1538">
        <f t="shared" si="8"/>
        <v>111</v>
      </c>
      <c r="R32" s="714" t="s">
        <v>17</v>
      </c>
      <c r="S32" s="715">
        <f t="shared" si="10"/>
        <v>100</v>
      </c>
      <c r="T32" s="714" t="s">
        <v>17</v>
      </c>
      <c r="U32" s="715">
        <f t="shared" si="11"/>
        <v>100</v>
      </c>
      <c r="V32" s="714" t="s">
        <v>17</v>
      </c>
      <c r="W32" s="715">
        <f t="shared" si="12"/>
        <v>100</v>
      </c>
      <c r="X32" s="1541"/>
      <c r="Y32" s="3285"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85"/>
      <c r="Q33" s="1538">
        <f t="shared" si="8"/>
        <v>111</v>
      </c>
      <c r="R33" s="717" t="s">
        <v>17</v>
      </c>
      <c r="S33" s="718">
        <f t="shared" si="10"/>
        <v>100</v>
      </c>
      <c r="T33" s="717" t="s">
        <v>17</v>
      </c>
      <c r="U33" s="718">
        <f t="shared" si="11"/>
        <v>100</v>
      </c>
      <c r="V33" s="717" t="s">
        <v>17</v>
      </c>
      <c r="W33" s="718">
        <f t="shared" si="12"/>
        <v>100</v>
      </c>
      <c r="X33" s="719"/>
      <c r="Y33" s="3285"/>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85"/>
      <c r="Q34" s="1538" t="str">
        <f>B34</f>
        <v>宗地面积</v>
      </c>
      <c r="R34" s="714" t="s">
        <v>17</v>
      </c>
      <c r="S34" s="715" t="e">
        <f t="shared" si="10"/>
        <v>#N/A</v>
      </c>
      <c r="T34" s="714" t="s">
        <v>17</v>
      </c>
      <c r="U34" s="715" t="e">
        <f t="shared" si="11"/>
        <v>#N/A</v>
      </c>
      <c r="V34" s="714" t="s">
        <v>17</v>
      </c>
      <c r="W34" s="715" t="e">
        <f t="shared" si="12"/>
        <v>#N/A</v>
      </c>
      <c r="X34" s="1541"/>
      <c r="Y34" s="3285"/>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85"/>
      <c r="Q35" s="1538" t="str">
        <f t="shared" ref="Q35:Q40" si="14">B35</f>
        <v>宗地形状</v>
      </c>
      <c r="R35" s="714" t="s">
        <v>17</v>
      </c>
      <c r="S35" s="715">
        <f t="shared" si="10"/>
        <v>100</v>
      </c>
      <c r="T35" s="714" t="s">
        <v>17</v>
      </c>
      <c r="U35" s="715">
        <f t="shared" si="11"/>
        <v>100</v>
      </c>
      <c r="V35" s="714" t="s">
        <v>17</v>
      </c>
      <c r="W35" s="715">
        <f t="shared" si="12"/>
        <v>100</v>
      </c>
      <c r="X35" s="1541"/>
      <c r="Y35" s="3285"/>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85"/>
      <c r="Q36" s="1538"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85" t="s">
        <v>2385</v>
      </c>
      <c r="Q37" s="1538" t="str">
        <f t="shared" si="14"/>
        <v>工程地质条件</v>
      </c>
      <c r="R37" s="714" t="s">
        <v>17</v>
      </c>
      <c r="S37" s="715">
        <f t="shared" si="10"/>
        <v>100</v>
      </c>
      <c r="T37" s="714" t="s">
        <v>17</v>
      </c>
      <c r="U37" s="715">
        <f t="shared" si="11"/>
        <v>100</v>
      </c>
      <c r="V37" s="714" t="s">
        <v>17</v>
      </c>
      <c r="W37" s="715">
        <f t="shared" si="12"/>
        <v>100</v>
      </c>
      <c r="X37" s="1541"/>
      <c r="Y37" s="3285"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85"/>
      <c r="Q38" s="1538">
        <f t="shared" si="14"/>
        <v>111</v>
      </c>
      <c r="R38" s="714" t="s">
        <v>17</v>
      </c>
      <c r="S38" s="715">
        <f t="shared" si="10"/>
        <v>100</v>
      </c>
      <c r="T38" s="714" t="s">
        <v>17</v>
      </c>
      <c r="U38" s="715">
        <f t="shared" si="11"/>
        <v>100</v>
      </c>
      <c r="V38" s="714" t="s">
        <v>17</v>
      </c>
      <c r="W38" s="715">
        <f t="shared" si="12"/>
        <v>100</v>
      </c>
      <c r="X38" s="1541"/>
      <c r="Y38" s="328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85"/>
      <c r="Q39" s="1538">
        <f t="shared" si="14"/>
        <v>111</v>
      </c>
      <c r="R39" s="714" t="s">
        <v>17</v>
      </c>
      <c r="S39" s="715">
        <f t="shared" si="10"/>
        <v>100</v>
      </c>
      <c r="T39" s="714" t="s">
        <v>17</v>
      </c>
      <c r="U39" s="715">
        <f t="shared" si="11"/>
        <v>100</v>
      </c>
      <c r="V39" s="714" t="s">
        <v>17</v>
      </c>
      <c r="W39" s="715">
        <f t="shared" si="12"/>
        <v>100</v>
      </c>
      <c r="X39" s="1541"/>
      <c r="Y39" s="328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85"/>
      <c r="Q40" s="1538">
        <f t="shared" si="14"/>
        <v>111</v>
      </c>
      <c r="R40" s="717" t="s">
        <v>17</v>
      </c>
      <c r="S40" s="718">
        <f t="shared" si="10"/>
        <v>100</v>
      </c>
      <c r="T40" s="717" t="s">
        <v>17</v>
      </c>
      <c r="U40" s="718">
        <f t="shared" si="11"/>
        <v>100</v>
      </c>
      <c r="V40" s="717" t="s">
        <v>17</v>
      </c>
      <c r="W40" s="718">
        <f t="shared" si="12"/>
        <v>100</v>
      </c>
      <c r="X40" s="719"/>
      <c r="Y40" s="3285"/>
      <c r="Z40" s="720">
        <f t="shared" si="13"/>
        <v>111</v>
      </c>
      <c r="AA40" s="1539">
        <f t="shared" si="3"/>
        <v>1</v>
      </c>
      <c r="AB40" s="1539">
        <f t="shared" si="4"/>
        <v>1</v>
      </c>
      <c r="AC40" s="1539">
        <f t="shared" si="5"/>
        <v>1</v>
      </c>
    </row>
    <row r="41" spans="1:31" ht="15">
      <c r="A41" s="438" t="s">
        <v>2540</v>
      </c>
      <c r="B41" s="2170" t="s">
        <v>2620</v>
      </c>
      <c r="C41" s="638" t="s">
        <v>1</v>
      </c>
      <c r="D41" s="440"/>
      <c r="E41" s="441"/>
      <c r="F41" s="442"/>
      <c r="G41" s="443"/>
      <c r="H41" s="444"/>
      <c r="I41" s="441"/>
      <c r="J41" s="444"/>
      <c r="K41" s="723"/>
      <c r="L41" s="2955"/>
      <c r="M41" s="2947"/>
      <c r="N41" s="2947"/>
      <c r="O41" s="2956"/>
      <c r="P41" s="3287" t="str">
        <f>A41</f>
        <v>成交单价</v>
      </c>
      <c r="Q41" s="3287"/>
      <c r="R41" s="3249">
        <f>E41</f>
        <v>0</v>
      </c>
      <c r="S41" s="3249"/>
      <c r="T41" s="3249">
        <f>G41</f>
        <v>0</v>
      </c>
      <c r="U41" s="3249"/>
      <c r="V41" s="3249">
        <f>I41</f>
        <v>0</v>
      </c>
      <c r="W41" s="3249"/>
      <c r="X41" s="699"/>
      <c r="Y41" s="721"/>
      <c r="Z41" s="699"/>
      <c r="AA41" s="699"/>
      <c r="AB41" s="699"/>
      <c r="AC41" s="699"/>
    </row>
    <row r="42" spans="1:31" ht="15.75" thickBot="1">
      <c r="A42" s="445" t="s">
        <v>2489</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87" t="str">
        <f>A42</f>
        <v>比较价值（元/平方米）</v>
      </c>
      <c r="Q42" s="3287"/>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5"/>
      <c r="M43" s="2947"/>
      <c r="N43" s="2947"/>
      <c r="O43" s="2956"/>
      <c r="P43" s="3289" t="str">
        <f>A43</f>
        <v>估价对象XX用房的比较价值（楼面单价，元/平方米）</v>
      </c>
      <c r="Q43" s="3290"/>
      <c r="R43" s="3347" t="e">
        <f>ROUND(IF(D42="简单平均",AVERAGE(R42:W42),R42*F42+T42*H42+V42*J42),0)</f>
        <v>#DIV/0!</v>
      </c>
      <c r="S43" s="3347"/>
      <c r="T43" s="3347"/>
      <c r="U43" s="3347"/>
      <c r="V43" s="3347"/>
      <c r="W43" s="334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2578</v>
      </c>
      <c r="B50" s="641" t="s">
        <v>2579</v>
      </c>
      <c r="C50" s="2171" t="s">
        <v>2580</v>
      </c>
      <c r="D50" s="2172" t="s">
        <v>2581</v>
      </c>
      <c r="E50" s="642" t="s">
        <v>2582</v>
      </c>
      <c r="F50" s="643" t="s">
        <v>2583</v>
      </c>
      <c r="G50" s="3265" t="s">
        <v>2584</v>
      </c>
      <c r="H50" s="3348"/>
      <c r="I50" s="1542" t="s">
        <v>2621</v>
      </c>
      <c r="J50" s="1542">
        <f>项目基本情况!F35</f>
        <v>0</v>
      </c>
      <c r="K50" s="2174" t="s">
        <v>2586</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2587</v>
      </c>
      <c r="B51" s="645" t="e">
        <f>C43</f>
        <v>#DIV/0!</v>
      </c>
      <c r="C51" s="646">
        <v>1</v>
      </c>
      <c r="D51" s="1075">
        <v>1</v>
      </c>
      <c r="E51" s="646">
        <f>'数据-汇总表'!E8+'数据-汇总表'!E9</f>
        <v>7686.6500000000005</v>
      </c>
      <c r="F51" s="647" t="e">
        <f t="shared" ref="F51:F60" si="15">ROUND(B51*E51/10000,0)</f>
        <v>#DIV/0!</v>
      </c>
      <c r="G51" s="3264"/>
      <c r="H51" s="3287"/>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2588</v>
      </c>
      <c r="B52" s="224" t="e">
        <f>ROUND($C$43*C52*D52,0)</f>
        <v>#DIV/0!</v>
      </c>
      <c r="C52" s="176">
        <f t="shared" ref="C52:C60" si="16">IF($C$50="北京市系数",I52,J52)</f>
        <v>0</v>
      </c>
      <c r="D52" s="1076">
        <v>0.25</v>
      </c>
      <c r="E52" s="650"/>
      <c r="F52" s="647" t="e">
        <f t="shared" si="15"/>
        <v>#DIV/0!</v>
      </c>
      <c r="G52" s="3349" t="s">
        <v>2589</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2590</v>
      </c>
      <c r="B53" s="224" t="e">
        <f t="shared" ref="B53:B60" si="17">ROUND($C$43*C53*D53,0)</f>
        <v>#DIV/0!</v>
      </c>
      <c r="C53" s="176">
        <f t="shared" si="16"/>
        <v>0</v>
      </c>
      <c r="D53" s="1076">
        <v>0.25</v>
      </c>
      <c r="E53" s="650"/>
      <c r="F53" s="647" t="e">
        <f t="shared" si="15"/>
        <v>#DIV/0!</v>
      </c>
      <c r="G53" s="3349"/>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2591</v>
      </c>
      <c r="B54" s="224" t="e">
        <f t="shared" si="17"/>
        <v>#DIV/0!</v>
      </c>
      <c r="C54" s="176">
        <f t="shared" si="16"/>
        <v>0</v>
      </c>
      <c r="D54" s="1076">
        <v>0.25</v>
      </c>
      <c r="E54" s="650"/>
      <c r="F54" s="647" t="e">
        <f t="shared" si="15"/>
        <v>#DIV/0!</v>
      </c>
      <c r="G54" s="3349"/>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2592</v>
      </c>
      <c r="B55" s="224" t="e">
        <f t="shared" si="17"/>
        <v>#DIV/0!</v>
      </c>
      <c r="C55" s="176">
        <f t="shared" si="16"/>
        <v>0</v>
      </c>
      <c r="D55" s="1076">
        <v>0.25</v>
      </c>
      <c r="E55" s="650"/>
      <c r="F55" s="647" t="e">
        <f t="shared" si="15"/>
        <v>#DIV/0!</v>
      </c>
      <c r="G55" s="3349"/>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2593</v>
      </c>
      <c r="B56" s="224" t="e">
        <f t="shared" si="17"/>
        <v>#DIV/0!</v>
      </c>
      <c r="C56" s="176">
        <f t="shared" si="16"/>
        <v>0</v>
      </c>
      <c r="D56" s="1076">
        <v>0.25</v>
      </c>
      <c r="E56" s="223">
        <f>'数据-汇总表'!E11</f>
        <v>0</v>
      </c>
      <c r="F56" s="647" t="e">
        <f t="shared" si="15"/>
        <v>#DIV/0!</v>
      </c>
      <c r="G56" s="2175" t="s">
        <v>2594</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2599</v>
      </c>
      <c r="B59" s="224" t="e">
        <f t="shared" si="17"/>
        <v>#DIV/0!</v>
      </c>
      <c r="C59" s="176">
        <f t="shared" si="16"/>
        <v>0</v>
      </c>
      <c r="D59" s="1076">
        <v>0.25</v>
      </c>
      <c r="E59" s="223">
        <f>'数据-汇总表'!E14</f>
        <v>0</v>
      </c>
      <c r="F59" s="647" t="e">
        <f t="shared" si="15"/>
        <v>#DIV/0!</v>
      </c>
      <c r="G59" s="2175" t="s">
        <v>2589</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2600</v>
      </c>
      <c r="B60" s="224" t="e">
        <f t="shared" si="17"/>
        <v>#DIV/0!</v>
      </c>
      <c r="C60" s="176">
        <f t="shared" si="16"/>
        <v>0</v>
      </c>
      <c r="D60" s="1076">
        <v>0.25</v>
      </c>
      <c r="E60" s="223">
        <f>'数据-汇总表'!E15</f>
        <v>0</v>
      </c>
      <c r="F60" s="647" t="e">
        <f t="shared" si="15"/>
        <v>#DIV/0!</v>
      </c>
      <c r="G60" s="2176" t="s">
        <v>2594</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2602</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2622</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2612</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2614</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2615</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2624</v>
      </c>
      <c r="B1" s="203"/>
      <c r="C1" s="207" t="s">
        <v>2625</v>
      </c>
      <c r="D1" s="348">
        <f>SUM(D29:D30,D33:D39)</f>
        <v>0</v>
      </c>
      <c r="E1" s="2183"/>
      <c r="F1" s="2183"/>
      <c r="G1" s="2183"/>
      <c r="H1" s="2183"/>
      <c r="I1" s="2183"/>
      <c r="J1" s="2183"/>
      <c r="K1" s="1280"/>
      <c r="L1" s="2184" t="s">
        <v>2626</v>
      </c>
      <c r="M1" s="994">
        <f>SUMPRODUCT((区片价!B5:B9=I2)*(区片价!C3:F3=E2)*(区片价!C5:F9))</f>
        <v>0</v>
      </c>
      <c r="N1" s="997">
        <f>SUMPRODUCT((因素修正幅度!B5:B9=I2)*(因素修正幅度!C3:F3=E2)*(因素修正幅度!C5:F9))</f>
        <v>0</v>
      </c>
      <c r="O1" s="2185"/>
      <c r="P1" s="2185"/>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7" t="s">
        <v>2633</v>
      </c>
      <c r="D2" s="2188" t="s">
        <v>2634</v>
      </c>
      <c r="E2" s="2189"/>
      <c r="F2" s="2188" t="s">
        <v>2635</v>
      </c>
      <c r="G2" s="2190">
        <f>IF(E2="商业",项目基本情况!B37,IF(E2="办公",项目基本情况!C37,IF(E2="住宅",项目基本情况!D37,项目基本情况!E37)))</f>
        <v>0</v>
      </c>
      <c r="H2" s="2188" t="s">
        <v>2636</v>
      </c>
      <c r="I2" s="2190">
        <f>IF(E2="商业",项目基本情况!B38,IF(E2="办公",项目基本情况!C38,IF(E2="住宅",项目基本情况!D38,项目基本情况!E38)))</f>
        <v>0</v>
      </c>
      <c r="J2" s="2191"/>
      <c r="K2" s="1280"/>
      <c r="L2" s="2192"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7" t="s">
        <v>2639</v>
      </c>
      <c r="D3" s="2188" t="s">
        <v>2640</v>
      </c>
      <c r="E3" s="2193"/>
      <c r="F3" s="2194" t="s">
        <v>2641</v>
      </c>
      <c r="G3" s="855" t="e">
        <f>IF(F3="宗地容积率",'数据-汇总表'!I4,IF(F3="估价对象容积率",'数据-汇总表'!I6,'数据-汇总表'!I7))</f>
        <v>#DIV/0!</v>
      </c>
      <c r="H3" s="175" t="s">
        <v>2642</v>
      </c>
      <c r="I3" s="881"/>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3"/>
      <c r="B4" s="3374"/>
      <c r="C4" s="3374"/>
      <c r="D4" s="3375"/>
      <c r="E4" s="3375"/>
      <c r="F4" s="3375"/>
      <c r="G4" s="3375"/>
      <c r="H4" s="3375"/>
      <c r="I4" s="3375"/>
      <c r="J4" s="3376"/>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54" t="str">
        <f>IF(E2="商业",IF(C8="不临58条商业街","",2),"")</f>
        <v/>
      </c>
      <c r="B7" s="2211" t="s">
        <v>2652</v>
      </c>
      <c r="C7" s="858" t="e">
        <f>IF(C8="不临58条商业街",1,ROUND(1+(1.6*E8+1.2*E9+0.8*E10+0.4*E11)*C9,4))</f>
        <v>#DIV/0!</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2655</v>
      </c>
      <c r="X7" s="1376">
        <f>G2</f>
        <v>0</v>
      </c>
      <c r="Y7" s="1376" t="s">
        <v>2656</v>
      </c>
      <c r="Z7" s="1377" t="e">
        <f>G3</f>
        <v>#DIV/0!</v>
      </c>
      <c r="AA7" s="1378"/>
      <c r="AB7" s="1378"/>
      <c r="AC7" s="1379"/>
      <c r="AD7" s="1380"/>
      <c r="AE7" s="1380"/>
      <c r="AF7" s="1380"/>
      <c r="AG7" s="1380"/>
      <c r="AH7" s="1380"/>
      <c r="AI7" s="1380"/>
      <c r="AJ7" s="1381"/>
    </row>
    <row r="8" spans="1:36" ht="15">
      <c r="A8" s="3377"/>
      <c r="B8" s="175" t="s">
        <v>2657</v>
      </c>
      <c r="C8" s="2216"/>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0" t="s">
        <v>2660</v>
      </c>
      <c r="X8" s="33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7"/>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2"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2"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4"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si="0"/>
        <v>#DIV/0!</v>
      </c>
      <c r="U13" s="1375"/>
      <c r="V13" s="1374" t="e">
        <f t="shared" si="1"/>
        <v>#DIV/0!</v>
      </c>
      <c r="W13" s="3372"/>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8"/>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9"/>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54" t="s">
        <v>2703</v>
      </c>
      <c r="B16" s="2211" t="s">
        <v>2704</v>
      </c>
      <c r="C16" s="2373" t="e">
        <f>ROUND(IF(F17="与级别开发程度一致",0,(G17-E17)/C17),0)</f>
        <v>#DIV/0!</v>
      </c>
      <c r="D16" s="3367" t="s">
        <v>2708</v>
      </c>
      <c r="E16" s="3368"/>
      <c r="F16" s="3367" t="s">
        <v>2705</v>
      </c>
      <c r="G16" s="3368"/>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55"/>
      <c r="B17" s="2384" t="s">
        <v>2707</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2711</v>
      </c>
      <c r="C19" s="863" t="e">
        <f>ROUND(IF(H19="按公示增长率计算",SUMPRODUCT((地价!A3:A31=YEAR(G19)&amp;"-"&amp;ROUNDUP(MONTH(G19)/3,0))*(地价!X2:AB2=E2)*(地价!X3:AB31)),IF(H19="地价指数",M20/M19,(1+I19)^O19)),4)</f>
        <v>#VALUE!</v>
      </c>
      <c r="D19" s="2253" t="s">
        <v>2712</v>
      </c>
      <c r="E19" s="864">
        <v>41640</v>
      </c>
      <c r="F19" s="2253" t="s">
        <v>2713</v>
      </c>
      <c r="G19" s="865">
        <f>'数据-取费表'!B2</f>
        <v>44082</v>
      </c>
      <c r="H19" s="2254"/>
      <c r="I19" s="866" t="str">
        <f>IF(H19="季度增幅（自定义）",SUMIF(N21:N24,E2,O21:O24),"")</f>
        <v/>
      </c>
      <c r="J19" s="2251"/>
      <c r="K19" s="1287"/>
      <c r="L19" s="2255" t="s">
        <v>2714</v>
      </c>
      <c r="M19" s="1498">
        <f>ROUND(SUMIF(地价!B2:F2,E2,地价!B31:F31),0)</f>
        <v>0</v>
      </c>
      <c r="N19" s="2256" t="s">
        <v>2715</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2716</v>
      </c>
      <c r="C20" s="868" t="e">
        <f>ROUND(POWER(1+G20,J20-I20)*(POWER(1+G20,I20)-1)/(POWER(1+G20,J20)-1),4)</f>
        <v>#DIV/0!</v>
      </c>
      <c r="D20" s="2260" t="s">
        <v>2717</v>
      </c>
      <c r="E20" s="1507">
        <f ca="1">存贷款利率!D4/100</f>
        <v>4.3499999999999997E-2</v>
      </c>
      <c r="F20" s="2260" t="s">
        <v>2709</v>
      </c>
      <c r="G20" s="873">
        <f>SUMIF(M26:P26,E2,M28:P28)</f>
        <v>0</v>
      </c>
      <c r="H20" s="2260" t="s">
        <v>2718</v>
      </c>
      <c r="I20" s="874" t="e">
        <f>SUMIF('数据-取费表'!C6:C15,E2,'数据-取费表'!F6:F15)/COUNTIF('数据-取费表'!C6:C15,E2)</f>
        <v>#DIV/0!</v>
      </c>
      <c r="J20" s="875">
        <f>IF(E2="住宅",70,IF(E2="商业",40,50))</f>
        <v>50</v>
      </c>
      <c r="K20" s="1287"/>
      <c r="L20" s="2261" t="s">
        <v>2719</v>
      </c>
      <c r="M20" s="1499">
        <f>ROUND(SUMPRODUCT((地价!A4:A31=YEAR(G19)&amp;"-"&amp;ROUNDUP(MONTH(G19)/3,0))*(地价!B2:F2=E2)*(地价!B4:F31)),0)</f>
        <v>0</v>
      </c>
      <c r="N20" s="2262" t="s">
        <v>2720</v>
      </c>
      <c r="O20" s="2263" t="s">
        <v>2721</v>
      </c>
      <c r="P20" s="2264" t="s">
        <v>2722</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2723</v>
      </c>
      <c r="C21" s="876" t="e">
        <f>IF(B21="容积率修正",IF(G3&lt;=10,D22,J22),C23)</f>
        <v>#DIV/0!</v>
      </c>
      <c r="D21" s="2267"/>
      <c r="E21" s="2267"/>
      <c r="F21" s="2267"/>
      <c r="G21" s="2267"/>
      <c r="H21" s="2267"/>
      <c r="I21" s="2267"/>
      <c r="J21" s="2268"/>
      <c r="K21" s="1287"/>
      <c r="L21" s="3021"/>
      <c r="M21" s="3021"/>
      <c r="N21" s="2269" t="s">
        <v>2724</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21"/>
      <c r="M22" s="3021"/>
      <c r="N22" s="2269" t="s">
        <v>2728</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2731</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0</v>
      </c>
      <c r="D24" s="2250"/>
      <c r="E24" s="2277"/>
      <c r="F24" s="2277"/>
      <c r="G24" s="2277"/>
      <c r="H24" s="2277"/>
      <c r="I24" s="2277"/>
      <c r="J24" s="2278"/>
      <c r="K24" s="1287"/>
      <c r="L24" s="3021"/>
      <c r="M24" s="3021"/>
      <c r="N24" s="2279" t="s">
        <v>2733</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t="e">
        <f>IF(B21="容积率修正",E29+SUM(E33:E39),SUM(V2:V16)+SUM(E33:E39))</f>
        <v>#DIV/0!</v>
      </c>
      <c r="D26" s="2283"/>
      <c r="E26" s="2239"/>
      <c r="F26" s="2284"/>
      <c r="G26" s="2239"/>
      <c r="H26" s="2239"/>
      <c r="I26" s="2239"/>
      <c r="J26" s="2285"/>
      <c r="K26" s="1280"/>
      <c r="L26" s="3019" t="s">
        <v>2634</v>
      </c>
      <c r="M26" s="2212" t="s">
        <v>2699</v>
      </c>
      <c r="N26" s="2212" t="s">
        <v>2700</v>
      </c>
      <c r="O26" s="2212" t="s">
        <v>2701</v>
      </c>
      <c r="P26" s="3020"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t="e">
        <f>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t="e">
        <f>ROUND(C5*C18*C19*C20*C21*C24,0)</f>
        <v>#DIV/0!</v>
      </c>
      <c r="D29" s="2298"/>
      <c r="E29" s="879" t="e">
        <f>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t="e">
        <f>ROUND(IF(E2="工业",C29*M39,C29*M38),0)</f>
        <v>#DIV/0!</v>
      </c>
      <c r="D30" s="2304"/>
      <c r="E30" s="879" t="e">
        <f>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4"/>
      <c r="B33" s="2314" t="s">
        <v>2750</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9"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5"/>
      <c r="B34" s="2231" t="s">
        <v>2751</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5"/>
      <c r="B35" s="2231" t="s">
        <v>2752</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6"/>
      <c r="B36" s="2231" t="s">
        <v>2753</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t="e">
        <f>ROUND(POWER(1+E41,H41-G41)*(POWER(1+E41,G41)-1)/(POWER(1+E41,H41)-1),4)</f>
        <v>#DIV/0!</v>
      </c>
      <c r="D41" s="176" t="s">
        <v>2709</v>
      </c>
      <c r="E41" s="2371">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2417</v>
      </c>
      <c r="K80" s="560" t="s">
        <v>2418</v>
      </c>
      <c r="L80" s="560" t="s">
        <v>2419</v>
      </c>
      <c r="M80" s="560" t="s">
        <v>2420</v>
      </c>
      <c r="N80" s="560" t="s">
        <v>2421</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2777</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2778</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56" t="s">
        <v>2791</v>
      </c>
      <c r="B90" s="3356"/>
      <c r="C90" s="3356"/>
      <c r="D90" s="3356"/>
      <c r="E90" s="3356"/>
      <c r="F90" s="3356"/>
      <c r="G90" s="3356"/>
      <c r="H90" s="3356"/>
      <c r="I90" s="3356"/>
      <c r="J90" s="3356"/>
      <c r="K90" s="2345"/>
      <c r="L90" s="2345"/>
      <c r="M90" s="2345"/>
      <c r="N90" s="2345"/>
    </row>
    <row r="91" spans="1:37">
      <c r="A91" s="3358" t="s">
        <v>2792</v>
      </c>
      <c r="B91" s="3358" t="s">
        <v>2793</v>
      </c>
      <c r="C91" s="2299" t="s">
        <v>2794</v>
      </c>
      <c r="D91" s="2300"/>
      <c r="E91" s="2300"/>
      <c r="F91" s="2300"/>
      <c r="G91" s="2300"/>
      <c r="H91" s="2300"/>
      <c r="I91" s="2300"/>
      <c r="J91" s="2346"/>
      <c r="K91" s="2347"/>
      <c r="L91" s="2347"/>
      <c r="M91" s="2347"/>
      <c r="N91" s="2347"/>
    </row>
    <row r="92" spans="1:37">
      <c r="A92" s="3358"/>
      <c r="B92" s="335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9"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6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6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6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6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6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60"/>
      <c r="B99" s="2348" t="s">
        <v>2677</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9" t="s">
        <v>2796</v>
      </c>
      <c r="B101" s="2352" t="s">
        <v>2797</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60"/>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60"/>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60"/>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60"/>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60"/>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60"/>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60"/>
      <c r="B108" s="3362" t="s">
        <v>2798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1"/>
      <c r="B109" s="3363"/>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57" t="s">
        <v>2799</v>
      </c>
      <c r="B110" s="3357"/>
      <c r="C110" s="3357"/>
      <c r="D110" s="3357"/>
      <c r="E110" s="3357"/>
      <c r="F110" s="3357"/>
      <c r="G110" s="3357"/>
      <c r="H110" s="3357"/>
      <c r="I110" s="3357"/>
      <c r="J110" s="3357"/>
      <c r="K110" s="2354"/>
      <c r="L110" s="2354"/>
      <c r="M110" s="2354"/>
      <c r="N110" s="2354"/>
    </row>
    <row r="112" spans="1:14" ht="13.5" thickBot="1"/>
    <row r="113" spans="1:13" ht="25.5" thickBot="1">
      <c r="A113" s="842" t="s">
        <v>2800</v>
      </c>
      <c r="B113" s="1197" t="e">
        <f>G3</f>
        <v>#DIV/0!</v>
      </c>
      <c r="C113" s="843" t="s">
        <v>2801</v>
      </c>
      <c r="D113" s="844" t="e">
        <f>SUMPRODUCT((A115:A118=F113)*(B114:M114=H113)*B115:M118)</f>
        <v>#DIV/0!</v>
      </c>
      <c r="E113" s="2190" t="s">
        <v>2634</v>
      </c>
      <c r="F113" s="2356">
        <f>E2</f>
        <v>0</v>
      </c>
      <c r="G113" s="2190" t="s">
        <v>2635</v>
      </c>
      <c r="H113" s="2356">
        <f>G2</f>
        <v>0</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t="e">
        <f ca="1">SUMIF(B6:B13,"&lt;&gt;#ref!",B6:B13)</f>
        <v>#DIV/0!</v>
      </c>
      <c r="C2" s="2363" t="s">
        <v>2815</v>
      </c>
      <c r="D2" s="2363" t="s">
        <v>2816</v>
      </c>
      <c r="E2" s="2840">
        <f ca="1">SUMIF(E6:E13,"&lt;&gt;#ref!",E6:E13)</f>
        <v>0</v>
      </c>
      <c r="F2" s="3026"/>
      <c r="G2" s="3026"/>
      <c r="H2" s="3026"/>
      <c r="I2" s="3026"/>
      <c r="J2" s="3026"/>
      <c r="K2" s="3026"/>
      <c r="L2" s="3026"/>
      <c r="M2" s="3026"/>
      <c r="N2" s="3026"/>
      <c r="O2" s="3026"/>
      <c r="P2" s="3026"/>
    </row>
    <row r="3" spans="1:16" ht="15.75">
      <c r="A3" s="2363" t="s">
        <v>2817</v>
      </c>
      <c r="B3" s="2830" t="e">
        <f ca="1">ROUND(B2*10000/E2,0)</f>
        <v>#DIV/0!</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t="e">
        <f ca="1">SUMIF(INDIRECT("'"&amp;A6&amp;"'"&amp;"!A:A"),"总价",INDIRECT("'"&amp;A6&amp;"'"&amp;"!B:B"))</f>
        <v>#DIV/0!</v>
      </c>
      <c r="C6" s="2363" t="s">
        <v>2815</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1584</v>
      </c>
      <c r="B1" s="1678"/>
      <c r="C1" s="1678"/>
      <c r="D1" s="1678"/>
      <c r="E1" s="1678"/>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680"/>
      <c r="B4" s="3056" t="s">
        <v>1593</v>
      </c>
      <c r="C4" s="3056"/>
      <c r="D4" s="3056"/>
      <c r="E4" s="1680"/>
    </row>
    <row r="5" spans="1:5" ht="16.5" thickTop="1">
      <c r="A5" s="1678"/>
      <c r="B5" s="3054" t="s">
        <v>1585</v>
      </c>
      <c r="C5" s="1681" t="s">
        <v>1586</v>
      </c>
      <c r="D5" s="959">
        <f ca="1">结果表!H101</f>
        <v>49623</v>
      </c>
      <c r="E5" s="1678"/>
    </row>
    <row r="6" spans="1:5" ht="15.75">
      <c r="A6" s="1678"/>
      <c r="B6" s="3054"/>
      <c r="C6" s="1681" t="s">
        <v>1587</v>
      </c>
      <c r="D6" s="959" t="str">
        <f ca="1">NUMBERSTRING(INT(D5*10000),2)&amp;"元整"</f>
        <v>肆亿玖仟陆佰贰拾叁万元整</v>
      </c>
      <c r="E6" s="1678"/>
    </row>
    <row r="7" spans="1:5" ht="15.75">
      <c r="A7" s="1678"/>
      <c r="B7" s="3059"/>
      <c r="C7" s="1682" t="s">
        <v>1588</v>
      </c>
      <c r="D7" s="960">
        <f ca="1">结果表!H102</f>
        <v>40073</v>
      </c>
      <c r="E7" s="1678"/>
    </row>
    <row r="8" spans="1:5" ht="15.75">
      <c r="A8" s="1678"/>
      <c r="B8" s="3060" t="str">
        <f>结果表!E103</f>
        <v>2.估价师知悉的法定优先受偿款</v>
      </c>
      <c r="C8" s="1683" t="s">
        <v>1589</v>
      </c>
      <c r="D8" s="960">
        <f>结果表!H103</f>
        <v>0</v>
      </c>
      <c r="E8" s="1678"/>
    </row>
    <row r="9" spans="1:5" ht="15.75">
      <c r="A9" s="1678"/>
      <c r="B9" s="3062"/>
      <c r="C9" s="1681" t="s">
        <v>1587</v>
      </c>
      <c r="D9" s="959" t="str">
        <f>NUMBERSTRING(INT(D8*10000),2)&amp;"元整"</f>
        <v>零元整</v>
      </c>
      <c r="E9" s="1678"/>
    </row>
    <row r="10" spans="1:5" ht="15">
      <c r="A10" s="1678"/>
      <c r="B10" s="1684" t="s">
        <v>1592</v>
      </c>
      <c r="C10" s="1685" t="s">
        <v>1590</v>
      </c>
      <c r="D10" s="961">
        <f>结果表!H104</f>
        <v>0</v>
      </c>
      <c r="E10" s="1678"/>
    </row>
    <row r="11" spans="1:5" ht="15">
      <c r="A11" s="1678"/>
      <c r="B11" s="1684" t="s">
        <v>1594</v>
      </c>
      <c r="C11" s="1685" t="s">
        <v>1595</v>
      </c>
      <c r="D11" s="961">
        <f>结果表!H105</f>
        <v>0</v>
      </c>
      <c r="E11" s="1678"/>
    </row>
    <row r="12" spans="1:5" ht="15">
      <c r="A12" s="1678"/>
      <c r="B12" s="1684" t="s">
        <v>1596</v>
      </c>
      <c r="C12" s="1685" t="s">
        <v>1595</v>
      </c>
      <c r="D12" s="961">
        <f>结果表!H106</f>
        <v>0</v>
      </c>
      <c r="E12" s="1678"/>
    </row>
    <row r="13" spans="1:5" ht="15.75">
      <c r="A13" s="1678"/>
      <c r="B13" s="3053" t="str">
        <f>结果表!E107</f>
        <v>3.房地产抵押价值</v>
      </c>
      <c r="C13" s="1686" t="s">
        <v>1586</v>
      </c>
      <c r="D13" s="962">
        <f ca="1">结果表!H107</f>
        <v>49623</v>
      </c>
      <c r="E13" s="1678"/>
    </row>
    <row r="14" spans="1:5" ht="15.75">
      <c r="A14" s="1678"/>
      <c r="B14" s="3054"/>
      <c r="C14" s="1681" t="s">
        <v>1587</v>
      </c>
      <c r="D14" s="959" t="str">
        <f ca="1">NUMBERSTRING(INT(D13*10000),2)&amp;"元整"</f>
        <v>肆亿玖仟陆佰贰拾叁万元整</v>
      </c>
      <c r="E14" s="1678"/>
    </row>
    <row r="15" spans="1:5" ht="15">
      <c r="A15" s="1678"/>
      <c r="B15" s="3059"/>
      <c r="C15" s="1682" t="s">
        <v>1597</v>
      </c>
      <c r="D15" s="968">
        <f ca="1">结果表!H108</f>
        <v>40073</v>
      </c>
      <c r="E15" s="1678"/>
    </row>
    <row r="16" spans="1:5" ht="15">
      <c r="A16" s="1678"/>
      <c r="B16" s="3060" t="str">
        <f>结果表!E109</f>
        <v>——</v>
      </c>
      <c r="C16" s="1686" t="s">
        <v>1598</v>
      </c>
      <c r="D16" s="1687" t="str">
        <f>结果表!H109</f>
        <v>——</v>
      </c>
      <c r="E16" s="1678"/>
    </row>
    <row r="17" spans="1:5" ht="15.75">
      <c r="A17" s="1678"/>
      <c r="B17" s="3061"/>
      <c r="C17" s="1681" t="s">
        <v>1599</v>
      </c>
      <c r="D17" s="959" t="e">
        <f>NUMBERSTRING(INT(D16*10000),2)&amp;"元整"</f>
        <v>#VALUE!</v>
      </c>
      <c r="E17" s="1678"/>
    </row>
    <row r="18" spans="1:5" ht="15">
      <c r="A18" s="1678"/>
      <c r="B18" s="3062"/>
      <c r="C18" s="1682" t="s">
        <v>1588</v>
      </c>
      <c r="D18" s="968" t="str">
        <f>结果表!H110</f>
        <v>——</v>
      </c>
      <c r="E18" s="1678"/>
    </row>
    <row r="19" spans="1:5" ht="15.75">
      <c r="A19" s="1678"/>
      <c r="B19" s="3053" t="str">
        <f>结果表!E111</f>
        <v>——</v>
      </c>
      <c r="C19" s="1686" t="s">
        <v>1586</v>
      </c>
      <c r="D19" s="960" t="str">
        <f>结果表!H111</f>
        <v>——</v>
      </c>
      <c r="E19" s="1678"/>
    </row>
    <row r="20" spans="1:5" ht="15.75">
      <c r="A20" s="1678"/>
      <c r="B20" s="3054"/>
      <c r="C20" s="1681" t="s">
        <v>1599</v>
      </c>
      <c r="D20" s="959" t="e">
        <f>NUMBERSTRING(INT(D19*10000),2)&amp;"元整"</f>
        <v>#VALUE!</v>
      </c>
      <c r="E20" s="1678"/>
    </row>
    <row r="21" spans="1:5" ht="15.75" thickBot="1">
      <c r="A21" s="1678"/>
      <c r="B21" s="3055"/>
      <c r="C21" s="1688" t="s">
        <v>1597</v>
      </c>
      <c r="D21" s="969" t="str">
        <f>结果表!H112</f>
        <v>——</v>
      </c>
      <c r="E21" s="1678"/>
    </row>
    <row r="22" spans="1:5" ht="15" thickTop="1">
      <c r="A22" s="1678"/>
      <c r="B22" s="1689" t="s">
        <v>1600</v>
      </c>
      <c r="C22" s="1678"/>
      <c r="D22" s="1678"/>
      <c r="E22" s="1678"/>
    </row>
    <row r="23" spans="1:5">
      <c r="A23" s="1678"/>
      <c r="B23" s="1678"/>
      <c r="C23" s="1678"/>
      <c r="D23" s="1678"/>
      <c r="E23" s="1678"/>
    </row>
    <row r="24" spans="1:5" ht="18.75">
      <c r="A24" s="1690"/>
      <c r="B24" s="1691" t="s">
        <v>1591</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6" t="s">
        <v>1117</v>
      </c>
      <c r="C1" s="3386"/>
      <c r="D1" s="3386"/>
      <c r="E1" s="3386"/>
      <c r="F1" s="3386"/>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2" customFormat="1" ht="14.25" thickBot="1">
      <c r="B2" s="2393" t="s">
        <v>1123</v>
      </c>
      <c r="C2" s="2393" t="s">
        <v>1124</v>
      </c>
      <c r="D2" s="2394" t="s">
        <v>1125</v>
      </c>
      <c r="E2" s="2394" t="s">
        <v>1126</v>
      </c>
      <c r="F2" s="2393" t="s">
        <v>1127</v>
      </c>
      <c r="G2" s="2395"/>
      <c r="I2" s="2393" t="s">
        <v>1123</v>
      </c>
      <c r="J2" s="2394" t="s">
        <v>1348</v>
      </c>
      <c r="K2" s="2394" t="s">
        <v>751</v>
      </c>
      <c r="L2" s="2393" t="s">
        <v>1127</v>
      </c>
      <c r="N2" s="2393" t="s">
        <v>1123</v>
      </c>
      <c r="O2" s="2394" t="s">
        <v>1348</v>
      </c>
      <c r="P2" s="2394" t="s">
        <v>751</v>
      </c>
      <c r="Q2" s="2393" t="s">
        <v>1127</v>
      </c>
      <c r="S2" s="2393" t="s">
        <v>1123</v>
      </c>
      <c r="T2" s="2394" t="s">
        <v>1348</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2873</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2872</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2870</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2869</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2868</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2866</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2864</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2867</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84">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2862</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84"/>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2861</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84"/>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2854</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91"/>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2852</v>
      </c>
      <c r="B16" s="2440">
        <v>439</v>
      </c>
      <c r="C16" s="2440">
        <v>327</v>
      </c>
      <c r="D16" s="2440">
        <f>C16</f>
        <v>327</v>
      </c>
      <c r="E16" s="2440">
        <v>627</v>
      </c>
      <c r="F16" s="2441">
        <v>283</v>
      </c>
      <c r="G16" s="3387">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2853</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84"/>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1349</v>
      </c>
      <c r="B18" s="2426">
        <f t="shared" si="130"/>
        <v>419.31181600000002</v>
      </c>
      <c r="C18" s="2426">
        <f t="shared" si="131"/>
        <v>313.95436800000004</v>
      </c>
      <c r="D18" s="2426">
        <f t="shared" si="132"/>
        <v>313.95436800000004</v>
      </c>
      <c r="E18" s="2426">
        <f t="shared" si="133"/>
        <v>596.63028431999999</v>
      </c>
      <c r="F18" s="2426">
        <f t="shared" si="134"/>
        <v>274.74220703999998</v>
      </c>
      <c r="G18" s="3384"/>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391"/>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87">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84"/>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84"/>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85"/>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83">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84"/>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84"/>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85"/>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83">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84"/>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84"/>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85"/>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388">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89"/>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389"/>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390"/>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383">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384"/>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384"/>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385"/>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383">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84">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384">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385">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383">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84">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384">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385">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383">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84">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384">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385">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383">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84">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384">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385">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383">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84">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384">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385">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383">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84">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384">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385">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383">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84">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384">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385">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383">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84">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384">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385">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383">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384">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384">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385">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383">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384">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384">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385">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33220</v>
      </c>
      <c r="C2" s="2" t="s">
        <v>133</v>
      </c>
      <c r="D2" s="205"/>
      <c r="E2" s="205"/>
      <c r="F2" s="205"/>
      <c r="G2" s="205"/>
    </row>
    <row r="3" spans="1:7" s="206" customFormat="1" ht="18" customHeight="1" thickBot="1">
      <c r="A3" s="209" t="s">
        <v>85</v>
      </c>
      <c r="B3" s="210">
        <f ca="1">ROUND(B2*10000/'数据-汇总表'!E3,0)</f>
        <v>26826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248</v>
      </c>
      <c r="D10" s="954">
        <f>'数据-汇总表'!E6</f>
        <v>12383.28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248</v>
      </c>
      <c r="D19" s="958">
        <f>'数据-汇总表'!E3</f>
        <v>12383.28</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2048</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24</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3191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3191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4130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3715</v>
      </c>
      <c r="D34" s="223"/>
      <c r="E34" s="226"/>
      <c r="F34" s="263">
        <f>IF('数据-取费表'!B24=0,1,'数据-取费表'!N16)</f>
        <v>1</v>
      </c>
      <c r="G34" s="225" t="s">
        <v>116</v>
      </c>
    </row>
    <row r="35" spans="1:7" ht="13.5" customHeight="1">
      <c r="A35" s="888" t="s">
        <v>796</v>
      </c>
      <c r="B35" s="221" t="s">
        <v>60</v>
      </c>
      <c r="C35" s="226">
        <f>ROUND(C34*F35,0)</f>
        <v>111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248</v>
      </c>
      <c r="D37" s="223">
        <f>'数据-汇总表'!E3</f>
        <v>12383.28</v>
      </c>
      <c r="E37" s="255">
        <f>'数据-取费表'!B35</f>
        <v>200</v>
      </c>
      <c r="F37" s="265"/>
      <c r="G37" s="267" t="s">
        <v>119</v>
      </c>
    </row>
    <row r="38" spans="1:7" ht="13.5" customHeight="1">
      <c r="A38" s="888" t="s">
        <v>799</v>
      </c>
      <c r="B38" s="221" t="s">
        <v>63</v>
      </c>
      <c r="C38" s="226">
        <f>ROUND(C34*F38,0)</f>
        <v>56</v>
      </c>
      <c r="D38" s="226"/>
      <c r="E38" s="226"/>
      <c r="F38" s="265">
        <f>'数据-取费表'!B36</f>
        <v>1.4999999999999999E-2</v>
      </c>
      <c r="G38" s="225" t="s">
        <v>117</v>
      </c>
    </row>
    <row r="39" spans="1:7" s="220" customFormat="1" ht="13.5" customHeight="1">
      <c r="A39" s="885" t="s">
        <v>783</v>
      </c>
      <c r="B39" s="216" t="s">
        <v>104</v>
      </c>
      <c r="C39" s="238">
        <f>ROUND(C33*F20,0)</f>
        <v>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200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196</v>
      </c>
      <c r="D42" s="244"/>
      <c r="E42" s="244"/>
      <c r="F42" s="245"/>
      <c r="G42" s="3303" t="s">
        <v>121</v>
      </c>
    </row>
    <row r="43" spans="1:7" ht="13.5" customHeight="1">
      <c r="A43" s="888" t="s">
        <v>792</v>
      </c>
      <c r="B43" s="221" t="s">
        <v>1032</v>
      </c>
      <c r="C43" s="244">
        <f ca="1">ROUND(IF('数据-取费表'!B22&lt;=1,C39*F22*'数据-取费表'!B21/2,C39*(POWER((1+F22),'数据-取费表'!B21/2)-1)),0)</f>
        <v>4</v>
      </c>
      <c r="D43" s="244"/>
      <c r="E43" s="244"/>
      <c r="F43" s="245"/>
      <c r="G43" s="3304"/>
    </row>
    <row r="44" spans="1:7" ht="13.5" customHeight="1">
      <c r="A44" s="888" t="s">
        <v>793</v>
      </c>
      <c r="B44" s="221" t="s">
        <v>1034</v>
      </c>
      <c r="C44" s="244">
        <f ca="1">ROUND(IF('数据-取费表'!B22&lt;=1,C40*F22*'数据-取费表'!B21/2,C40*(POWER((1+F22),'数据-取费表'!B21/2)-1)),4)</f>
        <v>1E-3</v>
      </c>
      <c r="D44" s="244"/>
      <c r="E44" s="244"/>
      <c r="F44" s="245"/>
      <c r="G44" s="3305"/>
    </row>
    <row r="45" spans="1:7" s="220" customFormat="1" ht="13.5" customHeight="1">
      <c r="A45" s="885" t="s">
        <v>786</v>
      </c>
      <c r="B45" s="250" t="s">
        <v>112</v>
      </c>
      <c r="C45" s="251">
        <f>C46</f>
        <v>632</v>
      </c>
      <c r="D45" s="241">
        <f>C47</f>
        <v>3.0000000000000001E-3</v>
      </c>
      <c r="E45" s="242" t="s">
        <v>129</v>
      </c>
      <c r="F45" s="252"/>
      <c r="G45" s="253" t="s">
        <v>1040</v>
      </c>
    </row>
    <row r="46" spans="1:7" s="220" customFormat="1" ht="13.5" customHeight="1">
      <c r="A46" s="888" t="s">
        <v>794</v>
      </c>
      <c r="B46" s="254" t="s">
        <v>1033</v>
      </c>
      <c r="C46" s="255">
        <f>ROUND((C33+C39)*F27,0)</f>
        <v>632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5468</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4484</v>
      </c>
      <c r="D51" s="238"/>
      <c r="E51" s="238"/>
      <c r="F51" s="270"/>
      <c r="G51" s="240" t="s">
        <v>64</v>
      </c>
    </row>
    <row r="52" spans="1:7" s="214" customFormat="1" ht="16.5" thickBot="1">
      <c r="A52" s="271" t="s">
        <v>65</v>
      </c>
      <c r="B52" s="272"/>
      <c r="C52" s="273">
        <f ca="1">C31+C51</f>
        <v>33220</v>
      </c>
      <c r="D52" s="272"/>
      <c r="E52" s="272"/>
      <c r="F52" s="272"/>
      <c r="G52" s="274"/>
    </row>
    <row r="55" spans="1:7" ht="15">
      <c r="B55" s="276" t="s">
        <v>66</v>
      </c>
      <c r="C55" s="277"/>
    </row>
    <row r="56" spans="1:7">
      <c r="B56" s="279" t="s">
        <v>67</v>
      </c>
      <c r="C56" s="280">
        <f ca="1">ROUND(C51/C52,3)</f>
        <v>0.13500000000000001</v>
      </c>
    </row>
    <row r="57" spans="1:7">
      <c r="B57" s="279" t="s">
        <v>68</v>
      </c>
      <c r="C57" s="281">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44082</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1336</v>
      </c>
      <c r="E1" s="1514" t="s">
        <v>1340</v>
      </c>
      <c r="F1" s="1515" t="s">
        <v>1344</v>
      </c>
    </row>
    <row r="2" spans="1:13" ht="20.25">
      <c r="A2" s="1521" t="s">
        <v>1337</v>
      </c>
    </row>
    <row r="3" spans="1:13" ht="16.5">
      <c r="A3" s="1522" t="s">
        <v>1338</v>
      </c>
    </row>
    <row r="4" spans="1:13" ht="14.25">
      <c r="A4" s="1512" t="s">
        <v>1339</v>
      </c>
      <c r="B4" s="1517" t="s">
        <v>1341</v>
      </c>
      <c r="C4" s="1518"/>
      <c r="D4" s="1519"/>
      <c r="E4" s="1517" t="s">
        <v>27</v>
      </c>
      <c r="F4" s="1518"/>
      <c r="G4" s="1519"/>
      <c r="H4" s="1517" t="s">
        <v>1342</v>
      </c>
      <c r="I4" s="1518"/>
      <c r="J4" s="1519"/>
      <c r="K4" s="1517" t="s">
        <v>6</v>
      </c>
      <c r="L4" s="1518"/>
      <c r="M4" s="1519"/>
    </row>
    <row r="5" spans="1:13" ht="14.25">
      <c r="A5" s="1513" t="s">
        <v>1343</v>
      </c>
      <c r="B5" s="1512" t="s">
        <v>1345</v>
      </c>
      <c r="C5" s="1512" t="s">
        <v>1346</v>
      </c>
      <c r="D5" s="1512" t="s">
        <v>1347</v>
      </c>
      <c r="E5" s="1512" t="s">
        <v>1345</v>
      </c>
      <c r="F5" s="1512" t="s">
        <v>1346</v>
      </c>
      <c r="G5" s="1512" t="s">
        <v>1347</v>
      </c>
      <c r="H5" s="1512" t="s">
        <v>1345</v>
      </c>
      <c r="I5" s="1512" t="s">
        <v>1346</v>
      </c>
      <c r="J5" s="1512" t="s">
        <v>1347</v>
      </c>
      <c r="K5" s="1512" t="s">
        <v>1345</v>
      </c>
      <c r="L5" s="1512" t="s">
        <v>1346</v>
      </c>
      <c r="M5" s="1512" t="s">
        <v>1347</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1604</v>
      </c>
      <c r="B2" s="3064" t="s">
        <v>1605</v>
      </c>
      <c r="C2" s="3064" t="s">
        <v>1606</v>
      </c>
      <c r="D2" s="3064" t="str">
        <f>结果表!D116</f>
        <v>出让国有建设用地使用权价值</v>
      </c>
      <c r="E2" s="3064"/>
      <c r="F2" s="3064" t="str">
        <f>结果表!F116</f>
        <v>在建建筑物价值</v>
      </c>
      <c r="G2" s="3064"/>
      <c r="H2" s="3064" t="str">
        <f>IF(项目基本情况!B9="房地产市场价值","房地产市场价值","房地产价值")</f>
        <v>房地产价值</v>
      </c>
      <c r="I2" s="3064"/>
    </row>
    <row r="3" spans="1:9" ht="15">
      <c r="A3" s="3065"/>
      <c r="B3" s="3065"/>
      <c r="C3" s="3065"/>
      <c r="D3" s="963" t="s">
        <v>1601</v>
      </c>
      <c r="E3" s="963" t="s">
        <v>1607</v>
      </c>
      <c r="F3" s="963" t="s">
        <v>1601</v>
      </c>
      <c r="G3" s="963" t="s">
        <v>1602</v>
      </c>
      <c r="H3" s="963" t="s">
        <v>1601</v>
      </c>
      <c r="I3" s="963" t="s">
        <v>1602</v>
      </c>
    </row>
    <row r="4" spans="1:9" ht="15">
      <c r="A4" s="1692" t="str">
        <f>项目基本情况!S2</f>
        <v>北京市房地产</v>
      </c>
      <c r="B4" s="963">
        <f>项目基本情况!C17</f>
        <v>12383.28</v>
      </c>
      <c r="C4" s="963">
        <f>项目基本情况!C18</f>
        <v>0</v>
      </c>
      <c r="D4" s="963">
        <f ca="1">结果表!D118</f>
        <v>39698</v>
      </c>
      <c r="E4" s="963">
        <f ca="1">结果表!E118</f>
        <v>32058</v>
      </c>
      <c r="F4" s="963">
        <f ca="1">结果表!F118</f>
        <v>9925</v>
      </c>
      <c r="G4" s="963">
        <f ca="1">结果表!G118</f>
        <v>8015</v>
      </c>
      <c r="H4" s="963">
        <f ca="1">结果表!H118</f>
        <v>49623</v>
      </c>
      <c r="I4" s="963">
        <f ca="1">结果表!I118</f>
        <v>40073</v>
      </c>
    </row>
    <row r="5" spans="1:9" ht="30" customHeight="1">
      <c r="A5" s="3065" t="s">
        <v>1603</v>
      </c>
      <c r="B5" s="3065"/>
      <c r="C5" s="3065"/>
      <c r="D5" s="3066" t="str">
        <f ca="1">结果表!D119</f>
        <v>叁亿玖仟陆佰玖拾捌万元整</v>
      </c>
      <c r="E5" s="3066"/>
      <c r="F5" s="3066" t="str">
        <f ca="1">结果表!F119</f>
        <v>玖仟玖佰贰拾伍万元整</v>
      </c>
      <c r="G5" s="3066"/>
      <c r="H5" s="3066" t="str">
        <f ca="1">结果表!H119</f>
        <v>肆亿玖仟陆佰贰拾叁万元整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1603</v>
      </c>
      <c r="B7" s="3065"/>
      <c r="C7" s="3065"/>
      <c r="D7" s="3068" t="str">
        <f>结果表!D121</f>
        <v>零元整</v>
      </c>
      <c r="E7" s="3069"/>
      <c r="F7" s="3069"/>
      <c r="G7" s="3069"/>
      <c r="H7" s="3069"/>
      <c r="I7" s="3070"/>
    </row>
    <row r="8" spans="1:9" ht="15.75">
      <c r="A8" s="3067" t="str">
        <f>结果表!A122</f>
        <v>房地产抵押价值</v>
      </c>
      <c r="B8" s="3067"/>
      <c r="C8" s="3067"/>
      <c r="D8" s="3067">
        <f ca="1">结果表!D122</f>
        <v>49623</v>
      </c>
      <c r="E8" s="3067"/>
      <c r="F8" s="3067"/>
      <c r="G8" s="3067"/>
      <c r="H8" s="3067"/>
      <c r="I8" s="3067"/>
    </row>
    <row r="9" spans="1:9" ht="15">
      <c r="A9" s="3065" t="s">
        <v>1603</v>
      </c>
      <c r="B9" s="3065"/>
      <c r="C9" s="3065"/>
      <c r="D9" s="3066" t="str">
        <f ca="1">结果表!D123</f>
        <v>肆亿玖仟陆佰贰拾叁万元整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1603</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1603</v>
      </c>
      <c r="B13" s="3071"/>
      <c r="C13" s="3071"/>
      <c r="D13" s="3072" t="e">
        <f>结果表!D127</f>
        <v>#VALUE!</v>
      </c>
      <c r="E13" s="3072"/>
      <c r="F13" s="3072"/>
      <c r="G13" s="3072"/>
      <c r="H13" s="3072"/>
      <c r="I13" s="3072"/>
    </row>
    <row r="14" spans="1:9" ht="15" thickTop="1">
      <c r="A14" s="3073" t="s">
        <v>1608</v>
      </c>
      <c r="B14" s="3073"/>
      <c r="C14" s="3073"/>
      <c r="D14" s="3073"/>
      <c r="E14" s="3073"/>
      <c r="F14" s="3073"/>
      <c r="G14" s="3073"/>
      <c r="H14" s="3073"/>
      <c r="I14" s="3073"/>
    </row>
    <row r="16" spans="1:9" ht="18.75">
      <c r="A16" s="1693" t="s">
        <v>1591</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4" t="s">
        <v>1625</v>
      </c>
      <c r="B1" s="3074"/>
      <c r="C1" s="3074"/>
      <c r="D1" s="3074"/>
    </row>
    <row r="2" spans="1:4" ht="18">
      <c r="A2" s="3075" t="s">
        <v>1609</v>
      </c>
      <c r="B2" s="3075"/>
      <c r="C2" s="3075"/>
      <c r="D2" s="3075"/>
    </row>
    <row r="3" spans="1:4" ht="18.75">
      <c r="A3" s="1696" t="s">
        <v>1610</v>
      </c>
      <c r="B3" s="1696" t="s">
        <v>1611</v>
      </c>
      <c r="C3" s="1696" t="s">
        <v>1612</v>
      </c>
      <c r="D3" s="1696" t="s">
        <v>1613</v>
      </c>
    </row>
    <row r="4" spans="1:4" ht="56.25" customHeight="1">
      <c r="A4" s="1697">
        <f>项目基本情况!B4</f>
        <v>0</v>
      </c>
      <c r="B4" s="1698">
        <f>项目基本情况!C4</f>
        <v>0</v>
      </c>
      <c r="C4" s="1699"/>
      <c r="D4" s="1700" t="s">
        <v>1614</v>
      </c>
    </row>
    <row r="5" spans="1:4" ht="56.25" customHeight="1">
      <c r="A5" s="1697">
        <f>项目基本情况!D4</f>
        <v>0</v>
      </c>
      <c r="B5" s="1698">
        <f>项目基本情况!E4</f>
        <v>0</v>
      </c>
      <c r="C5" s="1701"/>
      <c r="D5" s="1700" t="s">
        <v>1614</v>
      </c>
    </row>
    <row r="6" spans="1:4" ht="18">
      <c r="A6" s="3075" t="s">
        <v>1615</v>
      </c>
      <c r="B6" s="3075"/>
      <c r="C6" s="3075"/>
      <c r="D6" s="3075"/>
    </row>
    <row r="7" spans="1:4" ht="18.75">
      <c r="A7" s="1696" t="s">
        <v>1610</v>
      </c>
      <c r="B7" s="1698" t="s">
        <v>1616</v>
      </c>
      <c r="C7" s="1696" t="s">
        <v>1612</v>
      </c>
      <c r="D7" s="1696" t="s">
        <v>1613</v>
      </c>
    </row>
    <row r="8" spans="1:4" ht="56.25" customHeight="1">
      <c r="A8" s="1702" t="s">
        <v>837</v>
      </c>
      <c r="B8" s="1702" t="s">
        <v>1</v>
      </c>
      <c r="C8" s="1699"/>
      <c r="D8" s="1700" t="s">
        <v>1614</v>
      </c>
    </row>
    <row r="9" spans="1:4">
      <c r="A9" s="684"/>
      <c r="B9" s="684"/>
      <c r="C9" s="684"/>
      <c r="D9" s="684"/>
    </row>
    <row r="10" spans="1:4" ht="18.75">
      <c r="A10" s="1703" t="s">
        <v>1617</v>
      </c>
      <c r="B10" s="684"/>
      <c r="C10" s="684"/>
      <c r="D10" s="684"/>
    </row>
    <row r="11" spans="1:4" ht="30" customHeight="1">
      <c r="A11" s="3076" t="s">
        <v>1618</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7"/>
      <c r="C15" s="3077"/>
      <c r="D15" s="3077"/>
    </row>
    <row r="16" spans="1:4" ht="30" customHeight="1">
      <c r="A16" s="3080" t="s">
        <v>1619</v>
      </c>
      <c r="B16" s="3080"/>
      <c r="C16" s="3080"/>
      <c r="D16" s="3080"/>
    </row>
    <row r="17" spans="1:4" ht="144" customHeight="1">
      <c r="A17" s="3080" t="s">
        <v>1620</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1621</v>
      </c>
      <c r="B22" s="3082"/>
      <c r="C22" s="3082"/>
      <c r="D22" s="3082"/>
    </row>
    <row r="23" spans="1:4">
      <c r="A23" s="1704"/>
      <c r="B23" s="1676"/>
      <c r="C23" s="1676"/>
      <c r="D23" s="1676"/>
    </row>
    <row r="24" spans="1:4">
      <c r="A24" s="1704"/>
      <c r="B24" s="1676"/>
      <c r="C24" s="1676"/>
      <c r="D24" s="1676"/>
    </row>
    <row r="25" spans="1:4" ht="18.75">
      <c r="A25" s="1705" t="s">
        <v>1622</v>
      </c>
    </row>
    <row r="26" spans="1:4" ht="18">
      <c r="A26" s="1674"/>
    </row>
    <row r="27" spans="1:4" ht="18.75">
      <c r="A27" s="1674" t="s">
        <v>1623</v>
      </c>
    </row>
    <row r="30" spans="1:4" ht="18.75">
      <c r="D30" s="1705" t="s">
        <v>1624</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1626</v>
      </c>
    </row>
    <row r="3" spans="1:7">
      <c r="A3" s="1710" t="s">
        <v>82</v>
      </c>
      <c r="B3" s="1694" t="s">
        <v>1627</v>
      </c>
      <c r="G3" s="1711"/>
    </row>
    <row r="4" spans="1:7">
      <c r="G4" s="1711"/>
    </row>
    <row r="5" spans="1:7">
      <c r="A5" s="1713" t="s">
        <v>73</v>
      </c>
      <c r="B5" s="1694" t="s">
        <v>1628</v>
      </c>
      <c r="G5" s="1711"/>
    </row>
    <row r="6" spans="1:7">
      <c r="G6" s="1711"/>
    </row>
    <row r="7" spans="1:7">
      <c r="A7" s="1714" t="s">
        <v>135</v>
      </c>
      <c r="B7" s="1694" t="s">
        <v>1629</v>
      </c>
      <c r="G7" s="1711"/>
    </row>
    <row r="8" spans="1:7">
      <c r="G8" s="1711"/>
    </row>
    <row r="9" spans="1:7">
      <c r="A9" s="1715" t="s">
        <v>74</v>
      </c>
      <c r="B9" s="1694" t="s">
        <v>1630</v>
      </c>
    </row>
    <row r="11" spans="1:7">
      <c r="A11" s="1716" t="s">
        <v>75</v>
      </c>
      <c r="B11" s="1717" t="s">
        <v>72</v>
      </c>
    </row>
    <row r="13" spans="1:7">
      <c r="A13" s="1718" t="s">
        <v>1631</v>
      </c>
    </row>
    <row r="15" spans="1:7" ht="13.5">
      <c r="A15" s="3088" t="s">
        <v>1632</v>
      </c>
      <c r="B15" s="3083" t="s">
        <v>136</v>
      </c>
      <c r="C15" s="3084"/>
    </row>
    <row r="16" spans="1:7" ht="13.5">
      <c r="A16" s="3089"/>
      <c r="B16" s="3083" t="s">
        <v>69</v>
      </c>
      <c r="C16" s="3084"/>
    </row>
    <row r="17" spans="1:3" ht="13.5">
      <c r="A17" s="3089"/>
      <c r="B17" s="3086" t="s">
        <v>1633</v>
      </c>
      <c r="C17" s="1719" t="s">
        <v>1632</v>
      </c>
    </row>
    <row r="18" spans="1:3" ht="13.5">
      <c r="A18" s="3089"/>
      <c r="B18" s="3086"/>
      <c r="C18" s="1719" t="s">
        <v>1634</v>
      </c>
    </row>
    <row r="19" spans="1:3" ht="13.5">
      <c r="A19" s="3089"/>
      <c r="B19" s="3086"/>
      <c r="C19" s="1719" t="s">
        <v>1635</v>
      </c>
    </row>
    <row r="20" spans="1:3" ht="13.5">
      <c r="A20" s="3090"/>
      <c r="B20" s="3085" t="s">
        <v>1636</v>
      </c>
      <c r="C20" s="3084"/>
    </row>
    <row r="21" spans="1:3" ht="13.5">
      <c r="A21" s="1720" t="s">
        <v>1637</v>
      </c>
      <c r="B21" s="1721"/>
      <c r="C21" s="1722"/>
    </row>
    <row r="22" spans="1:3" ht="13.5">
      <c r="A22" s="3087" t="s">
        <v>1638</v>
      </c>
      <c r="B22" s="3085" t="s">
        <v>1639</v>
      </c>
      <c r="C22" s="3084"/>
    </row>
    <row r="23" spans="1:3" ht="13.5">
      <c r="A23" s="3087"/>
      <c r="B23" s="3085" t="s">
        <v>1640</v>
      </c>
      <c r="C23" s="3084"/>
    </row>
    <row r="24" spans="1:3" ht="13.5">
      <c r="A24" s="3087"/>
      <c r="B24" s="3085" t="s">
        <v>1641</v>
      </c>
      <c r="C24" s="3084"/>
    </row>
    <row r="25" spans="1:3" ht="13.5">
      <c r="A25" s="3087"/>
      <c r="B25" s="3086" t="s">
        <v>1642</v>
      </c>
      <c r="C25" s="1719" t="s">
        <v>1643</v>
      </c>
    </row>
    <row r="26" spans="1:3" ht="13.5">
      <c r="A26" s="3087"/>
      <c r="B26" s="3086"/>
      <c r="C26" s="1719" t="s">
        <v>1644</v>
      </c>
    </row>
    <row r="27" spans="1:3" ht="13.5">
      <c r="A27" s="3087"/>
      <c r="B27" s="3086"/>
      <c r="C27" s="1719" t="s">
        <v>1645</v>
      </c>
    </row>
    <row r="28" spans="1:3" ht="13.5">
      <c r="A28" s="3087"/>
      <c r="B28" s="3086"/>
      <c r="C28" s="1719" t="s">
        <v>1646</v>
      </c>
    </row>
    <row r="29" spans="1:3" ht="13.5">
      <c r="A29" s="3087"/>
      <c r="B29" s="3086"/>
      <c r="C29" s="1719" t="s">
        <v>1647</v>
      </c>
    </row>
    <row r="30" spans="1:3" ht="13.5">
      <c r="A30" s="3087"/>
      <c r="B30" s="3086"/>
      <c r="C30" s="1719" t="s">
        <v>1648</v>
      </c>
    </row>
    <row r="31" spans="1:3" ht="13.5">
      <c r="A31" s="3087"/>
      <c r="B31" s="3086"/>
      <c r="C31" s="1719" t="s">
        <v>1649</v>
      </c>
    </row>
    <row r="32" spans="1:3" ht="13.5">
      <c r="A32" s="3087"/>
      <c r="B32" s="3086"/>
      <c r="C32" s="1719" t="s">
        <v>1650</v>
      </c>
    </row>
    <row r="33" spans="1:3" ht="13.5">
      <c r="A33" s="3087"/>
      <c r="B33" s="3086"/>
      <c r="C33" s="1719" t="s">
        <v>1651</v>
      </c>
    </row>
    <row r="34" spans="1:3">
      <c r="A34" s="1723" t="s">
        <v>76</v>
      </c>
    </row>
    <row r="37" spans="1:3">
      <c r="A37" s="1723" t="s">
        <v>1652</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44118</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1" t="s">
        <v>2903</v>
      </c>
      <c r="B17" s="3091"/>
      <c r="C17" s="3091"/>
      <c r="D17" s="3091"/>
      <c r="E17" s="3091"/>
      <c r="F17" s="3091"/>
      <c r="G17" s="3091"/>
      <c r="H17" s="3091"/>
    </row>
    <row r="18" spans="1:8" ht="24" customHeight="1">
      <c r="A18" s="3092" t="s">
        <v>2904</v>
      </c>
      <c r="B18" s="3092"/>
      <c r="C18" s="3092"/>
      <c r="D18" s="2568"/>
      <c r="E18" s="3093" t="s">
        <v>2905</v>
      </c>
      <c r="F18" s="3092"/>
      <c r="G18" s="3092"/>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金鱼池（前门前）</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2020-10-14T03:34:34Z</dcterms:modified>
</cp:coreProperties>
</file>