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62" i="43" l="1"/>
  <c r="G63" i="43"/>
  <c r="G64" i="43"/>
  <c r="G65" i="43"/>
  <c r="G66" i="43"/>
  <c r="G67" i="43"/>
  <c r="G68" i="43"/>
  <c r="G69" i="43"/>
  <c r="G61" i="43"/>
  <c r="R48" i="34"/>
  <c r="D90" i="34"/>
  <c r="E90" i="34"/>
  <c r="F27" i="34"/>
  <c r="AA27" i="34"/>
  <c r="F37" i="34"/>
  <c r="AA37" i="34"/>
  <c r="T48" i="34"/>
  <c r="H27" i="34"/>
  <c r="AB27" i="34"/>
  <c r="H37" i="34"/>
  <c r="AB37" i="34"/>
  <c r="V48" i="34"/>
  <c r="J27" i="34"/>
  <c r="AC27" i="34"/>
  <c r="J37" i="34"/>
  <c r="AC37" i="34"/>
  <c r="B43" i="1"/>
  <c r="B41" i="1"/>
  <c r="F32" i="67"/>
  <c r="F28" i="67"/>
  <c r="C17" i="9"/>
  <c r="D17" i="9"/>
  <c r="C18" i="9"/>
  <c r="D18" i="9"/>
  <c r="B24" i="31"/>
  <c r="B22" i="31"/>
  <c r="D18" i="31"/>
  <c r="E18" i="31"/>
  <c r="C18" i="31"/>
  <c r="E17" i="31"/>
  <c r="D17" i="31"/>
  <c r="C17" i="31"/>
  <c r="D4" i="31"/>
  <c r="E4" i="31"/>
  <c r="F4" i="31"/>
  <c r="C4" i="31"/>
  <c r="D3" i="31"/>
  <c r="E3" i="31"/>
  <c r="F3" i="31"/>
  <c r="C3" i="31"/>
  <c r="I10" i="34"/>
  <c r="G10" i="34"/>
  <c r="E10" i="34"/>
  <c r="C10" i="34"/>
  <c r="N19" i="1"/>
  <c r="N6" i="1"/>
  <c r="C37" i="34"/>
  <c r="BB13" i="3"/>
  <c r="BA13" i="3" s="1"/>
  <c r="AZ13" i="3" s="1"/>
  <c r="AZ5" i="3" s="1"/>
  <c r="E3" i="6" s="1"/>
  <c r="E67" i="34"/>
  <c r="F67" i="34"/>
  <c r="G67" i="34"/>
  <c r="D67" i="34"/>
  <c r="D3" i="4"/>
  <c r="E15" i="4" s="1"/>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F19" i="6"/>
  <c r="D33" i="43" s="1"/>
  <c r="D1" i="43" s="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7" i="1"/>
  <c r="B7" i="1"/>
  <c r="E7" i="1"/>
  <c r="A8" i="1"/>
  <c r="B8" i="1"/>
  <c r="E8" i="1"/>
  <c r="A9" i="1"/>
  <c r="A10" i="1"/>
  <c r="A11" i="1"/>
  <c r="B11" i="1"/>
  <c r="E11" i="1"/>
  <c r="A12" i="1"/>
  <c r="A13" i="1"/>
  <c r="B13" i="1"/>
  <c r="E13" i="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K10" i="1"/>
  <c r="M10" i="1" s="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K6" i="1"/>
  <c r="AP6" i="1"/>
  <c r="C36" i="69" s="1"/>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s="1"/>
  <c r="S13" i="1"/>
  <c r="AR13" i="1" s="1"/>
  <c r="R13" i="1"/>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G13" i="3"/>
  <c r="BL17" i="3"/>
  <c r="AZ17" i="3"/>
  <c r="BL13" i="3"/>
  <c r="J56" i="9"/>
  <c r="J57" i="9"/>
  <c r="J59" i="9"/>
  <c r="J61" i="9"/>
  <c r="A24" i="51"/>
  <c r="B18" i="72"/>
  <c r="U29" i="34"/>
  <c r="E5" i="6"/>
  <c r="D9" i="69" s="1"/>
  <c r="E32" i="6"/>
  <c r="G1" i="68"/>
  <c r="K1" i="12"/>
  <c r="E19" i="69"/>
  <c r="E19" i="68"/>
  <c r="E19" i="11"/>
  <c r="E1" i="73"/>
  <c r="G22" i="69"/>
  <c r="G22" i="68"/>
  <c r="G26" i="12"/>
  <c r="G22" i="11"/>
  <c r="C6" i="43"/>
  <c r="B19" i="53"/>
  <c r="B37" i="72"/>
  <c r="A4" i="51"/>
  <c r="B6" i="72"/>
  <c r="L20" i="6"/>
  <c r="B6" i="1"/>
  <c r="E6" i="1"/>
  <c r="K11" i="1"/>
  <c r="M11" i="1"/>
  <c r="O11" i="1"/>
  <c r="B9" i="1"/>
  <c r="E9" i="1"/>
  <c r="K7" i="1"/>
  <c r="M7" i="1" s="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P7" i="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A118" i="9"/>
  <c r="A2" i="9"/>
  <c r="A4" i="52"/>
  <c r="B41" i="72"/>
  <c r="S44" i="34"/>
  <c r="U43" i="34"/>
  <c r="AC36" i="34"/>
  <c r="U38" i="34"/>
  <c r="AC44" i="34"/>
  <c r="AC43" i="34"/>
  <c r="S37" i="34"/>
  <c r="S35" i="34"/>
  <c r="AB35" i="34"/>
  <c r="AB33" i="34"/>
  <c r="AA33" i="34"/>
  <c r="J19" i="34"/>
  <c r="AB15" i="34"/>
  <c r="U15" i="34"/>
  <c r="J15" i="34"/>
  <c r="E78" i="34"/>
  <c r="F78" i="34"/>
  <c r="G78" i="34"/>
  <c r="U27" i="34"/>
  <c r="W23" i="34"/>
  <c r="S23" i="34"/>
  <c r="U21" i="34"/>
  <c r="S19" i="34"/>
  <c r="U19" i="34"/>
  <c r="AC17" i="34"/>
  <c r="AB17" i="34"/>
  <c r="AC39" i="34"/>
  <c r="AB41" i="34"/>
  <c r="S43" i="34"/>
  <c r="AB8" i="34"/>
  <c r="C40" i="68"/>
  <c r="C21" i="68"/>
  <c r="J1" i="73"/>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s="1"/>
  <c r="F10" i="1"/>
  <c r="G10" i="1" s="1"/>
  <c r="F8" i="1"/>
  <c r="G8" i="1" s="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G3" i="43"/>
  <c r="F26" i="43" s="1"/>
  <c r="E29" i="6"/>
  <c r="K15" i="1"/>
  <c r="F30" i="6"/>
  <c r="G30" i="6"/>
  <c r="G31" i="6"/>
  <c r="L19" i="6"/>
  <c r="L27" i="6" s="1"/>
  <c r="M6" i="1"/>
  <c r="O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Q16" i="1"/>
  <c r="F27" i="69" s="1"/>
  <c r="C29" i="69" s="1"/>
  <c r="D27" i="69" s="1"/>
  <c r="E8" i="6"/>
  <c r="F27" i="6" s="1"/>
  <c r="E12" i="6"/>
  <c r="E57" i="40" s="1"/>
  <c r="E15" i="6"/>
  <c r="E64" i="39" s="1"/>
  <c r="E11" i="6"/>
  <c r="E60" i="39" s="1"/>
  <c r="E10" i="6"/>
  <c r="E13" i="6"/>
  <c r="H16" i="1"/>
  <c r="P6" i="1"/>
  <c r="P11" i="1"/>
  <c r="E59" i="40"/>
  <c r="D9" i="11"/>
  <c r="C9" i="11"/>
  <c r="D19" i="12"/>
  <c r="C19" i="12" s="1"/>
  <c r="O9" i="1"/>
  <c r="P9" i="1"/>
  <c r="O12" i="1"/>
  <c r="P12" i="1"/>
  <c r="O8" i="1"/>
  <c r="P8" i="1"/>
  <c r="H73" i="43"/>
  <c r="H90" i="43"/>
  <c r="I18" i="43"/>
  <c r="E17" i="43"/>
  <c r="C17" i="43"/>
  <c r="J26" i="43"/>
  <c r="G26" i="43"/>
  <c r="H55" i="43"/>
  <c r="H86" i="43"/>
  <c r="H87" i="43"/>
  <c r="N94" i="46"/>
  <c r="H89" i="43"/>
  <c r="H88" i="43"/>
  <c r="H84" i="43"/>
  <c r="T35" i="4"/>
  <c r="A19" i="51"/>
  <c r="B14" i="72"/>
  <c r="H110" i="9"/>
  <c r="D18" i="53" s="1"/>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AC21" i="39"/>
  <c r="AB23" i="39"/>
  <c r="AB15" i="39"/>
  <c r="AC15" i="39"/>
  <c r="S25" i="39"/>
  <c r="W39" i="39"/>
  <c r="W42" i="39"/>
  <c r="W14" i="39"/>
  <c r="S29" i="39"/>
  <c r="G21" i="43"/>
  <c r="C20" i="43"/>
  <c r="D5" i="43" s="1"/>
  <c r="E11" i="43"/>
  <c r="E9" i="43"/>
  <c r="E10" i="43"/>
  <c r="E8" i="43"/>
  <c r="D23" i="67"/>
  <c r="G25" i="12"/>
  <c r="G41" i="11"/>
  <c r="G27" i="12"/>
  <c r="G41" i="68"/>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D9" i="68"/>
  <c r="C9" i="68" s="1"/>
  <c r="AC19" i="34"/>
  <c r="W19" i="34"/>
  <c r="W15" i="34"/>
  <c r="AC15" i="34"/>
  <c r="F48" i="9"/>
  <c r="O52" i="9"/>
  <c r="F30" i="11"/>
  <c r="M18" i="67"/>
  <c r="M18" i="15"/>
  <c r="F60" i="67"/>
  <c r="F28" i="15"/>
  <c r="D68" i="9"/>
  <c r="F31" i="12"/>
  <c r="F30" i="69"/>
  <c r="F54" i="9"/>
  <c r="F30" i="68"/>
  <c r="F52" i="9"/>
  <c r="F32" i="15"/>
  <c r="F60" i="15"/>
  <c r="E26" i="43"/>
  <c r="N370" i="46"/>
  <c r="E28" i="6"/>
  <c r="K14" i="1"/>
  <c r="F31" i="67"/>
  <c r="F31"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s="1"/>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K1" i="73"/>
  <c r="E494" i="3"/>
  <c r="E205" i="3"/>
  <c r="E116" i="3"/>
  <c r="E498" i="3"/>
  <c r="E176" i="3"/>
  <c r="E155" i="3"/>
  <c r="E66" i="3"/>
  <c r="E307" i="3"/>
  <c r="E272" i="3"/>
  <c r="E97" i="3"/>
  <c r="E73" i="3"/>
  <c r="P6" i="3"/>
  <c r="E551" i="3"/>
  <c r="E415" i="3"/>
  <c r="E458" i="3"/>
  <c r="E111" i="3"/>
  <c r="E331" i="3"/>
  <c r="E305" i="3"/>
  <c r="E185" i="3"/>
  <c r="E503" i="3"/>
  <c r="E228" i="3"/>
  <c r="E406" i="3"/>
  <c r="E89" i="3"/>
  <c r="AO6" i="3"/>
  <c r="E377" i="3"/>
  <c r="E526" i="3"/>
  <c r="M6" i="3"/>
  <c r="E215" i="3"/>
  <c r="E423" i="3"/>
  <c r="X6" i="3"/>
  <c r="AA26" i="37"/>
  <c r="S26" i="37"/>
  <c r="BA5" i="3"/>
  <c r="E27" i="6" s="1"/>
  <c r="K26" i="6" s="1"/>
  <c r="M26" i="6" s="1"/>
  <c r="I26" i="6" s="1"/>
  <c r="S26" i="6" s="1"/>
  <c r="C19" i="71"/>
  <c r="T20" i="71"/>
  <c r="D20" i="71"/>
  <c r="U20" i="71"/>
  <c r="E487" i="3"/>
  <c r="W40" i="40"/>
  <c r="AC40" i="40"/>
  <c r="AC12" i="21"/>
  <c r="W12" i="21"/>
  <c r="AB12" i="21"/>
  <c r="U12" i="21"/>
  <c r="S27" i="34"/>
  <c r="AC26" i="37"/>
  <c r="W26" i="37"/>
  <c r="BL5" i="3"/>
  <c r="B15" i="71"/>
  <c r="B14" i="71"/>
  <c r="B13" i="71"/>
  <c r="B12" i="71"/>
  <c r="S16" i="71"/>
  <c r="E131" i="3"/>
  <c r="AA9" i="36"/>
  <c r="S9" i="36"/>
  <c r="AA34" i="35"/>
  <c r="S34" i="35"/>
  <c r="E15" i="71"/>
  <c r="E14" i="71"/>
  <c r="E13" i="71"/>
  <c r="E12" i="71"/>
  <c r="V16" i="71"/>
  <c r="S40" i="40"/>
  <c r="AA40" i="40"/>
  <c r="AC34" i="35"/>
  <c r="W34" i="35"/>
  <c r="E61" i="43"/>
  <c r="B59" i="43"/>
  <c r="C28" i="43"/>
  <c r="B116" i="43"/>
  <c r="Z7" i="43"/>
  <c r="E30" i="6"/>
  <c r="E56" i="39"/>
  <c r="AA26" i="35"/>
  <c r="S26" i="35"/>
  <c r="AC26" i="35"/>
  <c r="W26" i="35"/>
  <c r="AB26" i="35"/>
  <c r="U26" i="35"/>
  <c r="E61" i="39"/>
  <c r="E56" i="40"/>
  <c r="E72" i="43"/>
  <c r="B70" i="43"/>
  <c r="F27" i="11"/>
  <c r="C29" i="11"/>
  <c r="D27" i="11"/>
  <c r="F28" i="12"/>
  <c r="E60" i="40"/>
  <c r="F31" i="6"/>
  <c r="E51" i="40"/>
  <c r="E16" i="6"/>
  <c r="E58" i="40"/>
  <c r="E62" i="39"/>
  <c r="M14" i="1"/>
  <c r="D26" i="43"/>
  <c r="C25" i="43"/>
  <c r="C7" i="43"/>
  <c r="D10" i="52"/>
  <c r="D125" i="9"/>
  <c r="D11" i="52"/>
  <c r="B7" i="74"/>
  <c r="C7" i="74"/>
  <c r="F59" i="67"/>
  <c r="M17" i="67"/>
  <c r="M17" i="15"/>
  <c r="F59" i="15"/>
  <c r="AE11" i="1"/>
  <c r="AE9" i="1"/>
  <c r="F27" i="68"/>
  <c r="F45" i="68" s="1"/>
  <c r="AE7" i="1"/>
  <c r="AE8" i="1"/>
  <c r="AE12" i="1"/>
  <c r="AE10" i="1"/>
  <c r="F48" i="68"/>
  <c r="F48" i="69"/>
  <c r="C48" i="11"/>
  <c r="C30" i="11"/>
  <c r="E59" i="3"/>
  <c r="E575" i="3"/>
  <c r="E198" i="3"/>
  <c r="E113" i="3"/>
  <c r="E497" i="3"/>
  <c r="E105" i="3"/>
  <c r="E401" i="3"/>
  <c r="E473" i="3"/>
  <c r="E141" i="3"/>
  <c r="E244" i="3"/>
  <c r="E149" i="3"/>
  <c r="E187" i="3"/>
  <c r="E474" i="3"/>
  <c r="E207" i="3"/>
  <c r="E317" i="3"/>
  <c r="E285" i="3"/>
  <c r="E523" i="3"/>
  <c r="E303" i="3"/>
  <c r="E177" i="3"/>
  <c r="E481" i="3"/>
  <c r="E252" i="3"/>
  <c r="E22" i="3"/>
  <c r="E206" i="3"/>
  <c r="E84" i="3"/>
  <c r="E491" i="3"/>
  <c r="E442" i="3"/>
  <c r="E534" i="3"/>
  <c r="E140" i="3"/>
  <c r="E287" i="3"/>
  <c r="E522" i="3"/>
  <c r="E129" i="3"/>
  <c r="E75" i="3"/>
  <c r="E21" i="3"/>
  <c r="E264" i="3"/>
  <c r="E381" i="3"/>
  <c r="E23" i="3"/>
  <c r="E300" i="3"/>
  <c r="E103" i="3"/>
  <c r="E76" i="3"/>
  <c r="E363" i="3"/>
  <c r="E192" i="3"/>
  <c r="E435" i="3"/>
  <c r="I3" i="6"/>
  <c r="E541" i="3"/>
  <c r="E199" i="3"/>
  <c r="E510" i="3"/>
  <c r="T52" i="71"/>
  <c r="D52" i="71"/>
  <c r="E513" i="3"/>
  <c r="E81" i="3"/>
  <c r="E355" i="3"/>
  <c r="E492" i="3"/>
  <c r="E249" i="3"/>
  <c r="E46" i="3"/>
  <c r="E544" i="3"/>
  <c r="E292" i="3"/>
  <c r="E152" i="3"/>
  <c r="E517" i="3"/>
  <c r="E255" i="3"/>
  <c r="E466" i="3"/>
  <c r="D56" i="71"/>
  <c r="T56" i="71"/>
  <c r="T40" i="71"/>
  <c r="D40" i="71"/>
  <c r="D36" i="71"/>
  <c r="T36" i="71"/>
  <c r="B11" i="71"/>
  <c r="B10" i="71"/>
  <c r="B9" i="71"/>
  <c r="B8" i="71"/>
  <c r="B7" i="71"/>
  <c r="B6" i="71"/>
  <c r="B5" i="71"/>
  <c r="S12" i="71"/>
  <c r="E65" i="39"/>
  <c r="E11" i="71"/>
  <c r="E10" i="71"/>
  <c r="E9" i="71"/>
  <c r="E8" i="71"/>
  <c r="E7" i="71"/>
  <c r="E6" i="71"/>
  <c r="E5" i="71"/>
  <c r="V12" i="71"/>
  <c r="C18" i="71"/>
  <c r="D19" i="71"/>
  <c r="I122" i="43"/>
  <c r="J122" i="43"/>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c r="L120" i="43" s="1"/>
  <c r="M120" i="43" s="1"/>
  <c r="D120" i="43"/>
  <c r="E120" i="43"/>
  <c r="F120" i="43" s="1"/>
  <c r="G120" i="43" s="1"/>
  <c r="H120" i="43" s="1"/>
  <c r="B120" i="43"/>
  <c r="C120" i="43"/>
  <c r="I119" i="43"/>
  <c r="J119" i="43" s="1"/>
  <c r="K119" i="43" s="1"/>
  <c r="L119" i="43" s="1"/>
  <c r="M119" i="43" s="1"/>
  <c r="I118" i="43"/>
  <c r="J118" i="43"/>
  <c r="K118" i="43" s="1"/>
  <c r="L118" i="43" s="1"/>
  <c r="M118" i="43" s="1"/>
  <c r="D121" i="43"/>
  <c r="E121" i="43" s="1"/>
  <c r="F121" i="43" s="1"/>
  <c r="B121" i="43"/>
  <c r="C121" i="43"/>
  <c r="D122" i="43"/>
  <c r="E122" i="43" s="1"/>
  <c r="F122" i="43" s="1"/>
  <c r="G122" i="43" s="1"/>
  <c r="H122" i="43" s="1"/>
  <c r="D118" i="43"/>
  <c r="E118" i="43" s="1"/>
  <c r="F118" i="43" s="1"/>
  <c r="G118" i="43" s="1"/>
  <c r="H118" i="43" s="1"/>
  <c r="B118" i="43"/>
  <c r="C118" i="43"/>
  <c r="B122" i="43"/>
  <c r="C122" i="43" s="1"/>
  <c r="AG11" i="1"/>
  <c r="AG9" i="1"/>
  <c r="AG10" i="1"/>
  <c r="AG8" i="1"/>
  <c r="AG12" i="1"/>
  <c r="AG7" i="1"/>
  <c r="AG6" i="1"/>
  <c r="C47" i="11"/>
  <c r="D45" i="11" s="1"/>
  <c r="K21" i="6"/>
  <c r="S8" i="1"/>
  <c r="E8" i="70"/>
  <c r="K25" i="6"/>
  <c r="K20" i="6"/>
  <c r="K23" i="6"/>
  <c r="K22" i="6"/>
  <c r="E31" i="6"/>
  <c r="K24" i="6"/>
  <c r="K19" i="6"/>
  <c r="S6" i="1"/>
  <c r="O14" i="1"/>
  <c r="O16" i="1"/>
  <c r="M16" i="1"/>
  <c r="D3" i="21"/>
  <c r="E6" i="6"/>
  <c r="D10" i="69" s="1"/>
  <c r="C10" i="69" s="1"/>
  <c r="B29" i="1" s="1"/>
  <c r="C8" i="68" s="1"/>
  <c r="C5" i="68" s="1"/>
  <c r="D37" i="11"/>
  <c r="D14" i="12"/>
  <c r="D17" i="12" s="1"/>
  <c r="C17" i="12" s="1"/>
  <c r="M18" i="9"/>
  <c r="B118" i="9" s="1"/>
  <c r="D3" i="34"/>
  <c r="D19" i="11"/>
  <c r="C19" i="11"/>
  <c r="M19" i="6"/>
  <c r="I19" i="6"/>
  <c r="L18" i="9"/>
  <c r="C17" i="4"/>
  <c r="B4" i="52" s="1"/>
  <c r="B43" i="72" s="1"/>
  <c r="D3" i="33"/>
  <c r="D3" i="37"/>
  <c r="D116" i="43"/>
  <c r="C17" i="71"/>
  <c r="D18" i="71"/>
  <c r="M21" i="6"/>
  <c r="I21" i="6" s="1"/>
  <c r="S21" i="6" s="1"/>
  <c r="E6" i="70"/>
  <c r="M24" i="6"/>
  <c r="I24" i="6"/>
  <c r="S24" i="6" s="1"/>
  <c r="S11" i="1"/>
  <c r="E11" i="70"/>
  <c r="M22" i="6"/>
  <c r="I22" i="6" s="1"/>
  <c r="S22" i="6" s="1"/>
  <c r="S9" i="1"/>
  <c r="T9" i="1" s="1"/>
  <c r="AQ8" i="1"/>
  <c r="T8" i="1"/>
  <c r="AR8" i="1"/>
  <c r="M20" i="6"/>
  <c r="I20" i="6" s="1"/>
  <c r="S7" i="1"/>
  <c r="S16" i="1" s="1"/>
  <c r="E7" i="70"/>
  <c r="AQ6" i="1"/>
  <c r="AR6" i="1"/>
  <c r="T6" i="1"/>
  <c r="M23" i="6"/>
  <c r="I23" i="6" s="1"/>
  <c r="S23" i="6" s="1"/>
  <c r="S10" i="1"/>
  <c r="AQ10" i="1" s="1"/>
  <c r="E10" i="70"/>
  <c r="M25" i="6"/>
  <c r="I25" i="6" s="1"/>
  <c r="S25" i="6" s="1"/>
  <c r="S12" i="1"/>
  <c r="AR12" i="1" s="1"/>
  <c r="K27" i="6"/>
  <c r="C20" i="11"/>
  <c r="C28" i="11"/>
  <c r="C27" i="11" s="1"/>
  <c r="D10" i="11"/>
  <c r="C10" i="11"/>
  <c r="D20" i="12"/>
  <c r="C20" i="12" s="1"/>
  <c r="B2" i="74"/>
  <c r="P14" i="1"/>
  <c r="P16" i="1"/>
  <c r="C11" i="12" s="1"/>
  <c r="N16" i="1"/>
  <c r="F50" i="11" s="1"/>
  <c r="L16" i="1"/>
  <c r="D10" i="68"/>
  <c r="C10" i="68" s="1"/>
  <c r="C16" i="71"/>
  <c r="D17" i="71"/>
  <c r="R10" i="1"/>
  <c r="R7" i="1"/>
  <c r="E12" i="70"/>
  <c r="F34" i="11"/>
  <c r="F11" i="12"/>
  <c r="C23" i="12" s="1"/>
  <c r="E9" i="70"/>
  <c r="E2" i="70"/>
  <c r="AR9" i="1"/>
  <c r="AQ9" i="1"/>
  <c r="AQ11" i="1"/>
  <c r="AR11" i="1"/>
  <c r="T11" i="1"/>
  <c r="T12" i="1"/>
  <c r="AQ12" i="1"/>
  <c r="AR10" i="1"/>
  <c r="AR7" i="1"/>
  <c r="M27" i="6"/>
  <c r="R11" i="1"/>
  <c r="R9" i="1"/>
  <c r="D8" i="74"/>
  <c r="D7" i="74"/>
  <c r="R8" i="1"/>
  <c r="F50" i="69"/>
  <c r="F50" i="68"/>
  <c r="R12" i="1"/>
  <c r="C15" i="71"/>
  <c r="T16" i="71"/>
  <c r="D16" i="71"/>
  <c r="U16" i="71"/>
  <c r="C37" i="11"/>
  <c r="S19" i="6"/>
  <c r="C19" i="69"/>
  <c r="C14" i="71"/>
  <c r="D15" i="71"/>
  <c r="D14" i="71"/>
  <c r="C13" i="71"/>
  <c r="U37" i="34"/>
  <c r="C12" i="71"/>
  <c r="D13" i="71"/>
  <c r="C11" i="71"/>
  <c r="T12" i="71"/>
  <c r="D12" i="71"/>
  <c r="U12" i="71"/>
  <c r="C10" i="71"/>
  <c r="D11" i="71"/>
  <c r="B2" i="21"/>
  <c r="B3" i="21"/>
  <c r="D10" i="71"/>
  <c r="C9" i="71"/>
  <c r="B2" i="33"/>
  <c r="B3" i="33" s="1"/>
  <c r="C8" i="71"/>
  <c r="D9" i="71"/>
  <c r="B2" i="36"/>
  <c r="B3" i="36" s="1"/>
  <c r="B2" i="35"/>
  <c r="B3" i="35" s="1"/>
  <c r="B2" i="37"/>
  <c r="B3" i="37" s="1"/>
  <c r="C7" i="71"/>
  <c r="D8" i="71"/>
  <c r="D7" i="71"/>
  <c r="C6" i="71"/>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F41" i="15"/>
  <c r="AO12" i="1"/>
  <c r="F43" i="67"/>
  <c r="F20" i="31"/>
  <c r="E11" i="76"/>
  <c r="E12" i="76"/>
  <c r="M9" i="15"/>
  <c r="M27" i="15"/>
  <c r="M9" i="67"/>
  <c r="F13" i="15"/>
  <c r="F43" i="15"/>
  <c r="F40" i="15"/>
  <c r="M22" i="15"/>
  <c r="F9" i="67"/>
  <c r="M6" i="67"/>
  <c r="F3" i="73"/>
  <c r="C76" i="67"/>
  <c r="M8" i="15"/>
  <c r="F6" i="67"/>
  <c r="M8" i="67"/>
  <c r="E2" i="68"/>
  <c r="F36" i="15"/>
  <c r="D3" i="73"/>
  <c r="AO8" i="1"/>
  <c r="AO10" i="1"/>
  <c r="F36" i="67"/>
  <c r="M23" i="67"/>
  <c r="E13" i="76"/>
  <c r="M26" i="67"/>
  <c r="M28" i="67"/>
  <c r="F5" i="73"/>
  <c r="E9" i="76"/>
  <c r="B12" i="76"/>
  <c r="M29" i="15"/>
  <c r="M27" i="67"/>
  <c r="F13" i="67"/>
  <c r="E7" i="76"/>
  <c r="AO13" i="1"/>
  <c r="B11" i="76"/>
  <c r="M23" i="15"/>
  <c r="F16" i="67"/>
  <c r="E2" i="69"/>
  <c r="J15" i="67"/>
  <c r="F6" i="73"/>
  <c r="M22" i="67"/>
  <c r="D2" i="21"/>
  <c r="M21" i="15"/>
  <c r="D2" i="34"/>
  <c r="AO9" i="1"/>
  <c r="F8" i="67"/>
  <c r="F37" i="67"/>
  <c r="B10" i="76"/>
  <c r="F7" i="73"/>
  <c r="D6" i="73"/>
  <c r="F9" i="15"/>
  <c r="F7" i="67"/>
  <c r="F8" i="15"/>
  <c r="M26" i="15"/>
  <c r="M6" i="15"/>
  <c r="F6" i="15"/>
  <c r="F38" i="67"/>
  <c r="F7" i="15"/>
  <c r="B9" i="76"/>
  <c r="C76" i="15"/>
  <c r="F16" i="15"/>
  <c r="F26" i="67"/>
  <c r="B13" i="76"/>
  <c r="J15" i="15"/>
  <c r="F42" i="15"/>
  <c r="F26" i="15"/>
  <c r="D2" i="35"/>
  <c r="D2" i="33"/>
  <c r="F35" i="15"/>
  <c r="D2" i="37"/>
  <c r="F4" i="73"/>
  <c r="F38" i="15"/>
  <c r="B8" i="76"/>
  <c r="D4" i="73"/>
  <c r="M28" i="15"/>
  <c r="E10" i="76"/>
  <c r="M24" i="15"/>
  <c r="F37" i="15"/>
  <c r="M24" i="67"/>
  <c r="D5" i="73"/>
  <c r="F42" i="67"/>
  <c r="L47" i="15"/>
  <c r="E8" i="76"/>
  <c r="L47" i="67"/>
  <c r="D7" i="73"/>
  <c r="F40" i="67"/>
  <c r="M29" i="67"/>
  <c r="B7" i="76"/>
  <c r="L48" i="15"/>
  <c r="AO11" i="1"/>
  <c r="AO7" i="1"/>
  <c r="D2" i="36"/>
  <c r="C5" i="43" l="1"/>
  <c r="F45" i="69"/>
  <c r="F6" i="1"/>
  <c r="G44" i="43"/>
  <c r="C44" i="43" s="1"/>
  <c r="C7" i="78"/>
  <c r="D7" i="78" s="1"/>
  <c r="B2" i="1"/>
  <c r="C5" i="78"/>
  <c r="D5" i="78" s="1"/>
  <c r="C15" i="12"/>
  <c r="C12" i="12"/>
  <c r="I27" i="6"/>
  <c r="S20" i="6"/>
  <c r="S27" i="6" s="1"/>
  <c r="T7" i="1"/>
  <c r="T16" i="1" s="1"/>
  <c r="T10" i="1"/>
  <c r="AQ7" i="1"/>
  <c r="E286" i="3"/>
  <c r="E430" i="3"/>
  <c r="E389" i="3"/>
  <c r="E184" i="3"/>
  <c r="E281" i="3"/>
  <c r="E235" i="3"/>
  <c r="E102" i="3"/>
  <c r="E525"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24" i="3"/>
  <c r="E55" i="3"/>
  <c r="E394" i="3"/>
  <c r="E164" i="3"/>
  <c r="E443" i="3"/>
  <c r="E404" i="3"/>
  <c r="E295" i="3"/>
  <c r="E37" i="3"/>
  <c r="E310" i="3"/>
  <c r="AL6" i="3"/>
  <c r="E86" i="3"/>
  <c r="E173" i="3"/>
  <c r="E360" i="3"/>
  <c r="E26" i="3"/>
  <c r="E356" i="3"/>
  <c r="E35" i="3"/>
  <c r="E83" i="3"/>
  <c r="E393" i="3"/>
  <c r="E440" i="3"/>
  <c r="E419" i="3"/>
  <c r="E202" i="3"/>
  <c r="E43" i="3"/>
  <c r="E170" i="3"/>
  <c r="E325" i="3"/>
  <c r="E289" i="3"/>
  <c r="E218" i="3"/>
  <c r="E552" i="3"/>
  <c r="E521" i="3"/>
  <c r="E222" i="3"/>
  <c r="E57" i="3"/>
  <c r="E19" i="3"/>
  <c r="E375" i="3"/>
  <c r="E542" i="3"/>
  <c r="E179" i="3"/>
  <c r="E167" i="3"/>
  <c r="E82" i="3"/>
  <c r="E313" i="3"/>
  <c r="W6" i="3"/>
  <c r="E257" i="3"/>
  <c r="E379" i="3"/>
  <c r="E403" i="3"/>
  <c r="E291" i="3"/>
  <c r="E426" i="3"/>
  <c r="E390" i="3"/>
  <c r="E298" i="3"/>
  <c r="E221" i="3"/>
  <c r="E353" i="3"/>
  <c r="E262" i="3"/>
  <c r="E344" i="3"/>
  <c r="E256" i="3"/>
  <c r="E236" i="3"/>
  <c r="E558" i="3"/>
  <c r="E121"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536" i="3"/>
  <c r="E258" i="3"/>
  <c r="E68" i="3"/>
  <c r="E482" i="3"/>
  <c r="AF6" i="3"/>
  <c r="E456" i="3"/>
  <c r="E556" i="3"/>
  <c r="E104" i="3"/>
  <c r="E78" i="3"/>
  <c r="E232" i="3"/>
  <c r="E329" i="3"/>
  <c r="E564" i="3"/>
  <c r="E490" i="3"/>
  <c r="E463" i="3"/>
  <c r="E346" i="3"/>
  <c r="E540" i="3"/>
  <c r="E137" i="3"/>
  <c r="E52" i="3"/>
  <c r="E364" i="3"/>
  <c r="E265" i="3"/>
  <c r="E566" i="3"/>
  <c r="E65" i="3"/>
  <c r="E312" i="3"/>
  <c r="E138" i="3"/>
  <c r="E323" i="3"/>
  <c r="E47" i="3"/>
  <c r="E259" i="3"/>
  <c r="E459" i="3"/>
  <c r="E413" i="3"/>
  <c r="E461" i="3"/>
  <c r="E532" i="3"/>
  <c r="E471" i="3"/>
  <c r="E93" i="3"/>
  <c r="U6" i="3"/>
  <c r="E546" i="3"/>
  <c r="E29" i="3"/>
  <c r="O6" i="3"/>
  <c r="S6" i="3"/>
  <c r="E237" i="3"/>
  <c r="E254" i="3"/>
  <c r="AA6" i="3"/>
  <c r="E330" i="3"/>
  <c r="AE6" i="3"/>
  <c r="E274" i="3"/>
  <c r="E576" i="3"/>
  <c r="E581" i="3"/>
  <c r="E166" i="3"/>
  <c r="E480" i="3"/>
  <c r="E282" i="3"/>
  <c r="E569" i="3"/>
  <c r="E358" i="3"/>
  <c r="E407" i="3"/>
  <c r="E130" i="3"/>
  <c r="E260" i="3"/>
  <c r="E61" i="3"/>
  <c r="E518" i="3"/>
  <c r="E253" i="3"/>
  <c r="E511" i="3"/>
  <c r="E519" i="3"/>
  <c r="E457" i="3"/>
  <c r="E433" i="3"/>
  <c r="E279" i="3"/>
  <c r="E567" i="3"/>
  <c r="E107" i="3"/>
  <c r="E414" i="3"/>
  <c r="E476" i="3"/>
  <c r="E186" i="3"/>
  <c r="E44" i="3"/>
  <c r="E467" i="3"/>
  <c r="E18" i="3"/>
  <c r="E469" i="3"/>
  <c r="E225" i="3"/>
  <c r="E370" i="3"/>
  <c r="E427" i="3"/>
  <c r="E25" i="3"/>
  <c r="E15" i="3"/>
  <c r="E36" i="3"/>
  <c r="E101" i="3"/>
  <c r="E386" i="3"/>
  <c r="E209" i="3"/>
  <c r="E341" i="3"/>
  <c r="E488" i="3"/>
  <c r="E352" i="3"/>
  <c r="E54" i="3"/>
  <c r="E548" i="3"/>
  <c r="E53" i="3"/>
  <c r="E418" i="3"/>
  <c r="E159" i="3"/>
  <c r="Q6" i="3"/>
  <c r="E32" i="3"/>
  <c r="E444" i="3"/>
  <c r="E125" i="3"/>
  <c r="E396" i="3"/>
  <c r="E320" i="3"/>
  <c r="E550" i="3"/>
  <c r="E293" i="3"/>
  <c r="E99" i="3"/>
  <c r="E562" i="3"/>
  <c r="E351" i="3"/>
  <c r="E585" i="3"/>
  <c r="E447" i="3"/>
  <c r="E441" i="3"/>
  <c r="E508" i="3"/>
  <c r="E270" i="3"/>
  <c r="E439" i="3"/>
  <c r="E261" i="3"/>
  <c r="E91" i="3"/>
  <c r="E495" i="3"/>
  <c r="E568" i="3"/>
  <c r="E133" i="3"/>
  <c r="E465" i="3"/>
  <c r="E106" i="3"/>
  <c r="E74" i="3"/>
  <c r="E204" i="3"/>
  <c r="E485" i="3"/>
  <c r="E531" i="3"/>
  <c r="E182" i="3"/>
  <c r="E572" i="3"/>
  <c r="E268" i="3"/>
  <c r="E579" i="3"/>
  <c r="E311" i="3"/>
  <c r="AB6" i="3"/>
  <c r="E189" i="3"/>
  <c r="E172" i="3"/>
  <c r="E135" i="3"/>
  <c r="AI6" i="3"/>
  <c r="E100" i="3"/>
  <c r="E132" i="3"/>
  <c r="E483" i="3"/>
  <c r="E219" i="3"/>
  <c r="E142" i="3"/>
  <c r="E95" i="3"/>
  <c r="E449" i="3"/>
  <c r="E267" i="3"/>
  <c r="E42" i="3"/>
  <c r="E197" i="3"/>
  <c r="E420" i="3"/>
  <c r="E49" i="3"/>
  <c r="E543" i="3"/>
  <c r="E108" i="3"/>
  <c r="E38" i="3"/>
  <c r="E340" i="3"/>
  <c r="E460" i="3"/>
  <c r="E500" i="3"/>
  <c r="E297" i="3"/>
  <c r="AD6" i="3"/>
  <c r="E127" i="3"/>
  <c r="E537" i="3"/>
  <c r="E411" i="3"/>
  <c r="E319" i="3"/>
  <c r="E321" i="3"/>
  <c r="E280" i="3"/>
  <c r="E429" i="3"/>
  <c r="E448" i="3"/>
  <c r="E96" i="3"/>
  <c r="E64" i="3"/>
  <c r="E539" i="3"/>
  <c r="E251" i="3"/>
  <c r="E332" i="3"/>
  <c r="E144" i="3"/>
  <c r="E425" i="3"/>
  <c r="E56" i="3"/>
  <c r="R6" i="3"/>
  <c r="E33" i="3"/>
  <c r="E484" i="3"/>
  <c r="E479" i="3"/>
  <c r="E499" i="3"/>
  <c r="E160" i="3"/>
  <c r="E383" i="3"/>
  <c r="E512" i="3"/>
  <c r="E243" i="3"/>
  <c r="E326" i="3"/>
  <c r="E486" i="3"/>
  <c r="E178" i="3"/>
  <c r="E79" i="3"/>
  <c r="E123" i="3"/>
  <c r="E165" i="3"/>
  <c r="E51" i="3"/>
  <c r="E354" i="3"/>
  <c r="E373" i="3"/>
  <c r="E154" i="3"/>
  <c r="E306" i="3"/>
  <c r="E208" i="3"/>
  <c r="E367" i="3"/>
  <c r="E501" i="3"/>
  <c r="E338" i="3"/>
  <c r="AN6" i="3"/>
  <c r="E437" i="3"/>
  <c r="I6" i="3"/>
  <c r="E88" i="3"/>
  <c r="E366" i="3"/>
  <c r="E229" i="3"/>
  <c r="E294" i="3"/>
  <c r="E117" i="3"/>
  <c r="E336" i="3"/>
  <c r="E45" i="3"/>
  <c r="E571" i="3"/>
  <c r="E318" i="3"/>
  <c r="E515" i="3"/>
  <c r="E27" i="3"/>
  <c r="E175" i="3"/>
  <c r="E555" i="3"/>
  <c r="E533" i="3"/>
  <c r="E380" i="3"/>
  <c r="E183" i="3"/>
  <c r="E134" i="3"/>
  <c r="E124" i="3"/>
  <c r="E545" i="3"/>
  <c r="K6" i="3"/>
  <c r="E587" i="3"/>
  <c r="E171" i="3"/>
  <c r="E227" i="3"/>
  <c r="E327" i="3"/>
  <c r="E400" i="3"/>
  <c r="E489" i="3"/>
  <c r="E211" i="3"/>
  <c r="E109" i="3"/>
  <c r="E322" i="3"/>
  <c r="E431" i="3"/>
  <c r="E514" i="3"/>
  <c r="E387" i="3"/>
  <c r="E69" i="3"/>
  <c r="E445" i="3"/>
  <c r="E191" i="3"/>
  <c r="E385" i="3"/>
  <c r="E200" i="3"/>
  <c r="E296" i="3"/>
  <c r="AY6" i="3"/>
  <c r="E118" i="3"/>
  <c r="E139" i="3"/>
  <c r="E233" i="3"/>
  <c r="AP6" i="3"/>
  <c r="E417" i="3"/>
  <c r="E67" i="3"/>
  <c r="E174" i="3"/>
  <c r="E405" i="3"/>
  <c r="E115" i="3"/>
  <c r="E158" i="3"/>
  <c r="E422" i="3"/>
  <c r="E276" i="3"/>
  <c r="E234" i="3"/>
  <c r="E62" i="3"/>
  <c r="E58" i="3"/>
  <c r="E446" i="3"/>
  <c r="E584" i="3"/>
  <c r="E136" i="3"/>
  <c r="E168" i="3"/>
  <c r="E547" i="3"/>
  <c r="E328" i="3"/>
  <c r="E304" i="3"/>
  <c r="E434" i="3"/>
  <c r="E203" i="3"/>
  <c r="T6" i="3"/>
  <c r="E391" i="3"/>
  <c r="E349" i="3"/>
  <c r="E502" i="3"/>
  <c r="E309" i="3"/>
  <c r="E308" i="3"/>
  <c r="E13" i="3"/>
  <c r="E190" i="3"/>
  <c r="E223" i="3"/>
  <c r="E376" i="3"/>
  <c r="E333" i="3"/>
  <c r="E299" i="3"/>
  <c r="E50" i="3"/>
  <c r="E90" i="3"/>
  <c r="E416" i="3"/>
  <c r="E464" i="3"/>
  <c r="E462" i="3"/>
  <c r="E98" i="3"/>
  <c r="E529" i="3"/>
  <c r="E397" i="3"/>
  <c r="E126" i="3"/>
  <c r="E574" i="3"/>
  <c r="E565" i="3"/>
  <c r="E238" i="3"/>
  <c r="E496" i="3"/>
  <c r="AG6" i="3"/>
  <c r="E316" i="3"/>
  <c r="N6" i="3"/>
  <c r="E559" i="3"/>
  <c r="E114" i="3"/>
  <c r="E245" i="3"/>
  <c r="E453" i="3"/>
  <c r="E573" i="3"/>
  <c r="E72" i="3"/>
  <c r="E549" i="3"/>
  <c r="E477" i="3"/>
  <c r="E210" i="3"/>
  <c r="E343" i="3"/>
  <c r="E410" i="3"/>
  <c r="AR6" i="3"/>
  <c r="E216" i="3"/>
  <c r="E361" i="3"/>
  <c r="E301" i="3"/>
  <c r="E347" i="3"/>
  <c r="AK6" i="3"/>
  <c r="E560" i="3"/>
  <c r="E468" i="3"/>
  <c r="E214" i="3"/>
  <c r="E368" i="3"/>
  <c r="Z6" i="3"/>
  <c r="E345" i="3"/>
  <c r="E28" i="3"/>
  <c r="E273" i="3"/>
  <c r="E217" i="3"/>
  <c r="AJ6" i="3"/>
  <c r="E247" i="3"/>
  <c r="E570" i="3"/>
  <c r="E335" i="3"/>
  <c r="E278" i="3"/>
  <c r="E535" i="3"/>
  <c r="E263" i="3"/>
  <c r="E246" i="3"/>
  <c r="E148" i="3"/>
  <c r="E275" i="3"/>
  <c r="E240" i="3"/>
  <c r="E94" i="3"/>
  <c r="E369" i="3"/>
  <c r="E378" i="3"/>
  <c r="E371" i="3"/>
  <c r="E212" i="3"/>
  <c r="E241" i="3"/>
  <c r="E63" i="3"/>
  <c r="E34" i="3"/>
  <c r="E408" i="3"/>
  <c r="E428" i="3"/>
  <c r="E16" i="3"/>
  <c r="AH6" i="3"/>
  <c r="L6" i="3"/>
  <c r="E392" i="3"/>
  <c r="E365" i="3"/>
  <c r="E24" i="3"/>
  <c r="E48" i="3"/>
  <c r="E374" i="3"/>
  <c r="E87" i="3"/>
  <c r="E224" i="3"/>
  <c r="E14" i="3"/>
  <c r="E283" i="3"/>
  <c r="E580" i="3"/>
  <c r="E302" i="3"/>
  <c r="E92" i="3"/>
  <c r="E163" i="3"/>
  <c r="E112" i="3"/>
  <c r="E220" i="3"/>
  <c r="E409" i="3"/>
  <c r="E248" i="3"/>
  <c r="E242" i="3"/>
  <c r="E161" i="3"/>
  <c r="E201" i="3"/>
  <c r="E70" i="3"/>
  <c r="E315" i="3"/>
  <c r="E77" i="3"/>
  <c r="E538" i="3"/>
  <c r="E505" i="3"/>
  <c r="E85" i="3"/>
  <c r="E239" i="3"/>
  <c r="E128" i="3"/>
  <c r="E196" i="3"/>
  <c r="E436" i="3"/>
  <c r="E339" i="3"/>
  <c r="E324" i="3"/>
  <c r="E554" i="3"/>
  <c r="E119" i="3"/>
  <c r="E563" i="3"/>
  <c r="E509" i="3"/>
  <c r="E557" i="3"/>
  <c r="E454" i="3"/>
  <c r="E586" i="3"/>
  <c r="E337" i="3"/>
  <c r="E269" i="3"/>
  <c r="E382" i="3"/>
  <c r="E334" i="3"/>
  <c r="E213" i="3"/>
  <c r="E288" i="3"/>
  <c r="E520" i="3"/>
  <c r="E372" i="3"/>
  <c r="E470" i="3"/>
  <c r="C9" i="69"/>
  <c r="C8" i="69" s="1"/>
  <c r="D19" i="69"/>
  <c r="D37" i="69" s="1"/>
  <c r="C37" i="69" s="1"/>
  <c r="B14" i="74"/>
  <c r="B1" i="74" s="1"/>
  <c r="C34" i="34"/>
  <c r="C34" i="69"/>
  <c r="C35" i="69" s="1"/>
  <c r="C34" i="68"/>
  <c r="C35" i="68" s="1"/>
  <c r="F11" i="49"/>
  <c r="H11" i="49" s="1"/>
  <c r="K16" i="1"/>
  <c r="H26" i="43"/>
  <c r="F14" i="49"/>
  <c r="H14" i="49" s="1"/>
  <c r="F4" i="49"/>
  <c r="H4" i="49" s="1"/>
  <c r="F13" i="49"/>
  <c r="H13" i="49" s="1"/>
  <c r="B6" i="49"/>
  <c r="D6" i="49" s="1"/>
  <c r="F10" i="49"/>
  <c r="H10" i="49" s="1"/>
  <c r="C29" i="68"/>
  <c r="D27" i="68" s="1"/>
  <c r="F8" i="49"/>
  <c r="H8" i="49" s="1"/>
  <c r="C47" i="68"/>
  <c r="D45" i="68" s="1"/>
  <c r="D19" i="68"/>
  <c r="D37" i="68" s="1"/>
  <c r="C37" i="68" s="1"/>
  <c r="F12" i="49"/>
  <c r="H12" i="49" s="1"/>
  <c r="F6" i="49"/>
  <c r="H6" i="49" s="1"/>
  <c r="C14" i="12"/>
  <c r="C38" i="68"/>
  <c r="F7" i="49"/>
  <c r="H7" i="49" s="1"/>
  <c r="B14" i="49"/>
  <c r="D14" i="49" s="1"/>
  <c r="B13" i="49"/>
  <c r="D13" i="49" s="1"/>
  <c r="C47" i="69"/>
  <c r="D45" i="69" s="1"/>
  <c r="B12" i="49"/>
  <c r="D12" i="49" s="1"/>
  <c r="B9" i="49"/>
  <c r="D9" i="49" s="1"/>
  <c r="F9" i="49"/>
  <c r="H9" i="49" s="1"/>
  <c r="F5" i="49"/>
  <c r="H5" i="49" s="1"/>
  <c r="B10" i="49"/>
  <c r="D10" i="49" s="1"/>
  <c r="B5" i="49"/>
  <c r="D5" i="49" s="1"/>
  <c r="B12" i="70"/>
  <c r="B9" i="70"/>
  <c r="B10" i="70"/>
  <c r="C34" i="15"/>
  <c r="F63" i="15"/>
  <c r="C62" i="15" s="1"/>
  <c r="B8" i="70"/>
  <c r="B7" i="70"/>
  <c r="J20" i="15"/>
  <c r="B11" i="70"/>
  <c r="J53" i="15"/>
  <c r="L56" i="15" s="1"/>
  <c r="J57" i="15"/>
  <c r="J55" i="15" s="1"/>
  <c r="J58" i="15" s="1"/>
  <c r="Q50" i="15" s="1"/>
  <c r="I54" i="15"/>
  <c r="C27" i="15"/>
  <c r="F69" i="15"/>
  <c r="F64" i="15"/>
  <c r="F68" i="67"/>
  <c r="C27" i="67"/>
  <c r="C6" i="67"/>
  <c r="Q71" i="15"/>
  <c r="Q71" i="67"/>
  <c r="B13" i="70"/>
  <c r="L59" i="15"/>
  <c r="L58" i="15"/>
  <c r="N59" i="15"/>
  <c r="M59" i="15"/>
  <c r="M7" i="15"/>
  <c r="J6" i="15" s="1"/>
  <c r="F50" i="15"/>
  <c r="F66" i="67"/>
  <c r="G1" i="73"/>
  <c r="B40" i="1" s="1"/>
  <c r="C6" i="15"/>
  <c r="F68" i="15"/>
  <c r="F65" i="15"/>
  <c r="F71" i="15"/>
  <c r="F51" i="15"/>
  <c r="M7" i="67"/>
  <c r="J6" i="67" s="1"/>
  <c r="F50" i="67"/>
  <c r="F66" i="15"/>
  <c r="F65" i="67"/>
  <c r="F64" i="67"/>
  <c r="F71" i="67"/>
  <c r="I1" i="73"/>
  <c r="B39" i="1" s="1"/>
  <c r="F51" i="67"/>
  <c r="C18" i="12"/>
  <c r="B8" i="49"/>
  <c r="D8" i="49" s="1"/>
  <c r="B4" i="49"/>
  <c r="D4" i="49" s="1"/>
  <c r="B11" i="49"/>
  <c r="D11" i="49" s="1"/>
  <c r="B7" i="49"/>
  <c r="D7" i="49" s="1"/>
  <c r="L48" i="67"/>
  <c r="C14" i="15"/>
  <c r="C16" i="67"/>
  <c r="C14" i="67"/>
  <c r="C17" i="67"/>
  <c r="C17" i="15"/>
  <c r="C16" i="15"/>
  <c r="C38" i="69" l="1"/>
  <c r="C33" i="69" s="1"/>
  <c r="C39" i="69" s="1"/>
  <c r="L57" i="67"/>
  <c r="L58" i="67"/>
  <c r="Q60" i="67" s="1"/>
  <c r="L60" i="67"/>
  <c r="C7" i="34"/>
  <c r="C7" i="33"/>
  <c r="C58" i="33" s="1"/>
  <c r="C7" i="40"/>
  <c r="C63" i="40" s="1"/>
  <c r="C7" i="36"/>
  <c r="C46" i="36" s="1"/>
  <c r="M47" i="9"/>
  <c r="J51" i="67"/>
  <c r="G23" i="43"/>
  <c r="C7" i="21"/>
  <c r="C58" i="21" s="1"/>
  <c r="C7" i="35"/>
  <c r="C48" i="35" s="1"/>
  <c r="C7" i="37"/>
  <c r="C52" i="37" s="1"/>
  <c r="C42" i="1"/>
  <c r="C7" i="39"/>
  <c r="C67" i="39" s="1"/>
  <c r="G6" i="1"/>
  <c r="G16" i="1" s="1"/>
  <c r="I24" i="43"/>
  <c r="C24" i="43" s="1"/>
  <c r="C15" i="15"/>
  <c r="C19" i="15" s="1"/>
  <c r="C18" i="15"/>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66" i="3"/>
  <c r="AY51"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494" i="3"/>
  <c r="AY65" i="3"/>
  <c r="AY189" i="3"/>
  <c r="AY287" i="3"/>
  <c r="AY380" i="3"/>
  <c r="AY313" i="3"/>
  <c r="AY471" i="3"/>
  <c r="AY426" i="3"/>
  <c r="AY579" i="3"/>
  <c r="AY524" i="3"/>
  <c r="AY570" i="3"/>
  <c r="AY34" i="3"/>
  <c r="AY124" i="3"/>
  <c r="AY188" i="3"/>
  <c r="AY111" i="3"/>
  <c r="AY236" i="3"/>
  <c r="AY335" i="3"/>
  <c r="AY196" i="3"/>
  <c r="AY123" i="3"/>
  <c r="AY209"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171" i="3"/>
  <c r="AY387" i="3"/>
  <c r="AY526" i="3"/>
  <c r="AY311" i="3"/>
  <c r="AY562" i="3"/>
  <c r="AY85" i="3"/>
  <c r="AY178" i="3"/>
  <c r="AY302" i="3"/>
  <c r="AY211" i="3"/>
  <c r="AY57" i="3"/>
  <c r="AY279" i="3"/>
  <c r="AY325" i="3"/>
  <c r="AY422" i="3"/>
  <c r="BN6" i="3"/>
  <c r="AY532" i="3"/>
  <c r="AY81" i="3"/>
  <c r="AY31" i="3"/>
  <c r="AY489" i="3"/>
  <c r="AY229" i="3"/>
  <c r="AY207" i="3"/>
  <c r="AY115" i="3"/>
  <c r="AY152" i="3"/>
  <c r="AY168" i="3"/>
  <c r="AY225" i="3"/>
  <c r="AY303" i="3"/>
  <c r="AY139" i="3"/>
  <c r="AY261" i="3"/>
  <c r="AY363"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43" i="3"/>
  <c r="AY519" i="3"/>
  <c r="AY48" i="3"/>
  <c r="AY137" i="3"/>
  <c r="AY266" i="3"/>
  <c r="AY364" i="3"/>
  <c r="AY312" i="3"/>
  <c r="AY453" i="3"/>
  <c r="AY439" i="3"/>
  <c r="AY14" i="3"/>
  <c r="AY87"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84" i="3"/>
  <c r="AY101" i="3"/>
  <c r="AY194" i="3"/>
  <c r="AY129" i="3"/>
  <c r="AY234" i="3"/>
  <c r="AY329" i="3"/>
  <c r="AY487" i="3"/>
  <c r="AY458" i="3"/>
  <c r="AY407" i="3"/>
  <c r="D3" i="6"/>
  <c r="AY542" i="3"/>
  <c r="AY99" i="3"/>
  <c r="AY35" i="3"/>
  <c r="AY135" i="3"/>
  <c r="AY232" i="3"/>
  <c r="AY331" i="3"/>
  <c r="AY456" i="3"/>
  <c r="AY560" i="3"/>
  <c r="AY86" i="3"/>
  <c r="AY184" i="3"/>
  <c r="AY277" i="3"/>
  <c r="AY540" i="3"/>
  <c r="AY368" i="3"/>
  <c r="AY419" i="3"/>
  <c r="AY158" i="3"/>
  <c r="AY468" i="3"/>
  <c r="AY509" i="3"/>
  <c r="AY63" i="3"/>
  <c r="AY167" i="3"/>
  <c r="AY221" i="3"/>
  <c r="AY469" i="3"/>
  <c r="AY558" i="3"/>
  <c r="AY55" i="3"/>
  <c r="AY159" i="3"/>
  <c r="AY224" i="3"/>
  <c r="AY323" i="3"/>
  <c r="AY448" i="3"/>
  <c r="AY511" i="3"/>
  <c r="AY205" i="3"/>
  <c r="AY218" i="3"/>
  <c r="AY492" i="3"/>
  <c r="AY399" i="3"/>
  <c r="AY530" i="3"/>
  <c r="AY203" i="3"/>
  <c r="AY216" i="3"/>
  <c r="AY440" i="3"/>
  <c r="AY39" i="3"/>
  <c r="AY288" i="3"/>
  <c r="AY322" i="3"/>
  <c r="AY567" i="3"/>
  <c r="AY153" i="3"/>
  <c r="AY396" i="3"/>
  <c r="AY320" i="3"/>
  <c r="AY434" i="3"/>
  <c r="AY538" i="3"/>
  <c r="AY545" i="3"/>
  <c r="AY62" i="3"/>
  <c r="AY301" i="3"/>
  <c r="AY359" i="3"/>
  <c r="AY408" i="3"/>
  <c r="AY107" i="3"/>
  <c r="AY164" i="3"/>
  <c r="AY240" i="3"/>
  <c r="AY477" i="3"/>
  <c r="AY566" i="3"/>
  <c r="AY52" i="3"/>
  <c r="AY29" i="3"/>
  <c r="AY520" i="3"/>
  <c r="AY251" i="3"/>
  <c r="AY410" i="3"/>
  <c r="AY531" i="3"/>
  <c r="AY46" i="3"/>
  <c r="AY285" i="3"/>
  <c r="AY378" i="3"/>
  <c r="AY466" i="3"/>
  <c r="AY512" i="3"/>
  <c r="AY38" i="3"/>
  <c r="AY128" i="3"/>
  <c r="AY213" i="3"/>
  <c r="AY338" i="3"/>
  <c r="AY429" i="3"/>
  <c r="AY504" i="3"/>
  <c r="AY142" i="3"/>
  <c r="AY352" i="3"/>
  <c r="AY461" i="3"/>
  <c r="AY17" i="3"/>
  <c r="AY563" i="3"/>
  <c r="AY140" i="3"/>
  <c r="AY383" i="3"/>
  <c r="AY13" i="3"/>
  <c r="AY22" i="3"/>
  <c r="AY272" i="3"/>
  <c r="AY432" i="3"/>
  <c r="AY64" i="3"/>
  <c r="AY113" i="3"/>
  <c r="AY361" i="3"/>
  <c r="AY479" i="3"/>
  <c r="AY402" i="3"/>
  <c r="AY522" i="3"/>
  <c r="BP6" i="3"/>
  <c r="AY19" i="3"/>
  <c r="AY265" i="3"/>
  <c r="AY315" i="3"/>
  <c r="AY500" i="3"/>
  <c r="AY71" i="3"/>
  <c r="AY143" i="3"/>
  <c r="AY386" i="3"/>
  <c r="AY443" i="3"/>
  <c r="BT6" i="3"/>
  <c r="AY173" i="3"/>
  <c r="AY258" i="3"/>
  <c r="AY582" i="3"/>
  <c r="AY369" i="3"/>
  <c r="AY506" i="3"/>
  <c r="AY578" i="3"/>
  <c r="AY192" i="3"/>
  <c r="AY280" i="3"/>
  <c r="AY362" i="3"/>
  <c r="AY437" i="3"/>
  <c r="BL6" i="3"/>
  <c r="AY27" i="3"/>
  <c r="AY273" i="3"/>
  <c r="AY391" i="3"/>
  <c r="AY490" i="3"/>
  <c r="AY550" i="3"/>
  <c r="AY586" i="3"/>
  <c r="AY298" i="3"/>
  <c r="AY321" i="3"/>
  <c r="AY450" i="3"/>
  <c r="AY575" i="3"/>
  <c r="AY110" i="3"/>
  <c r="AY120" i="3"/>
  <c r="AY330" i="3"/>
  <c r="AY528" i="3"/>
  <c r="AY195" i="3"/>
  <c r="AY375" i="3"/>
  <c r="AY413" i="3"/>
  <c r="AY21" i="3"/>
  <c r="AY267" i="3"/>
  <c r="AY337" i="3"/>
  <c r="AY476" i="3"/>
  <c r="AY415" i="3"/>
  <c r="AY515" i="3"/>
  <c r="AY493" i="3"/>
  <c r="AY172" i="3"/>
  <c r="AY248" i="3"/>
  <c r="AY485" i="3"/>
  <c r="AY547" i="3"/>
  <c r="AY54" i="3"/>
  <c r="AY293" i="3"/>
  <c r="AY351" i="3"/>
  <c r="AY400" i="3"/>
  <c r="AY478" i="3"/>
  <c r="AY255" i="3"/>
  <c r="AY483" i="3"/>
  <c r="AY80" i="3"/>
  <c r="AY344" i="3"/>
  <c r="AY565" i="3"/>
  <c r="AY94" i="3"/>
  <c r="AY156" i="3"/>
  <c r="AY249" i="3"/>
  <c r="AY346" i="3"/>
  <c r="AY405" i="3"/>
  <c r="AY91" i="3"/>
  <c r="AY148" i="3"/>
  <c r="AY241" i="3"/>
  <c r="AY354" i="3"/>
  <c r="AY459" i="3"/>
  <c r="BD6" i="3"/>
  <c r="AY32" i="3"/>
  <c r="AY235" i="3"/>
  <c r="AY336" i="3"/>
  <c r="AY431" i="3"/>
  <c r="AY537" i="3"/>
  <c r="AY47" i="3"/>
  <c r="AY233" i="3"/>
  <c r="AY482" i="3"/>
  <c r="AY576" i="3"/>
  <c r="AY136" i="3"/>
  <c r="AY339" i="3"/>
  <c r="AY15" i="3"/>
  <c r="AY174" i="3"/>
  <c r="AY250" i="3"/>
  <c r="AY305" i="3"/>
  <c r="AY445" i="3"/>
  <c r="AY505" i="3"/>
  <c r="AY551" i="3"/>
  <c r="AY79" i="3"/>
  <c r="AY151" i="3"/>
  <c r="AY394" i="3"/>
  <c r="AY451" i="3"/>
  <c r="AY568" i="3"/>
  <c r="AY200" i="3"/>
  <c r="AY257" i="3"/>
  <c r="AY307" i="3"/>
  <c r="AY521" i="3"/>
  <c r="F10" i="39"/>
  <c r="J10" i="39"/>
  <c r="J10" i="40"/>
  <c r="H10" i="39"/>
  <c r="F10" i="40"/>
  <c r="H10" i="40"/>
  <c r="F34" i="34"/>
  <c r="H34" i="34"/>
  <c r="J34" i="34"/>
  <c r="AC6" i="3"/>
  <c r="H6" i="3"/>
  <c r="E6" i="3" s="1"/>
  <c r="C19" i="68"/>
  <c r="C20" i="68" s="1"/>
  <c r="C28" i="68" s="1"/>
  <c r="C27" i="68" s="1"/>
  <c r="C49" i="15"/>
  <c r="C61" i="15" s="1"/>
  <c r="C15" i="67"/>
  <c r="C18" i="67"/>
  <c r="J18" i="67"/>
  <c r="J19" i="67"/>
  <c r="C49" i="67"/>
  <c r="Q57" i="67"/>
  <c r="Q66" i="67"/>
  <c r="F11" i="67"/>
  <c r="C53" i="67" s="1"/>
  <c r="M11" i="67"/>
  <c r="J10" i="67" s="1"/>
  <c r="J5" i="67" s="1"/>
  <c r="F11" i="15"/>
  <c r="M11" i="15"/>
  <c r="J10" i="15" s="1"/>
  <c r="J5" i="15" s="1"/>
  <c r="C32" i="15"/>
  <c r="C33" i="15"/>
  <c r="F25" i="12"/>
  <c r="F24" i="67"/>
  <c r="C24" i="67" s="1"/>
  <c r="F22" i="11"/>
  <c r="F22" i="69"/>
  <c r="F22" i="68"/>
  <c r="F24" i="15"/>
  <c r="C24" i="15" s="1"/>
  <c r="L36" i="43"/>
  <c r="Q74" i="15"/>
  <c r="Q61" i="15"/>
  <c r="Q52" i="15"/>
  <c r="F1" i="15"/>
  <c r="J18" i="15"/>
  <c r="J19" i="15"/>
  <c r="C32" i="67"/>
  <c r="C33" i="67"/>
  <c r="Q73" i="67"/>
  <c r="Q73" i="15"/>
  <c r="Q60" i="15"/>
  <c r="C19" i="67" l="1"/>
  <c r="C20" i="67" s="1"/>
  <c r="C23" i="67" s="1"/>
  <c r="D52" i="37"/>
  <c r="E52" i="37" s="1"/>
  <c r="F52" i="37" s="1"/>
  <c r="G52" i="37" s="1"/>
  <c r="H52" i="37" s="1"/>
  <c r="I52" i="37" s="1"/>
  <c r="J52" i="37" s="1"/>
  <c r="K52" i="37" s="1"/>
  <c r="L52" i="37" s="1"/>
  <c r="M52" i="37" s="1"/>
  <c r="N52" i="37" s="1"/>
  <c r="O52" i="37" s="1"/>
  <c r="F7" i="37"/>
  <c r="J7" i="37"/>
  <c r="M59" i="67"/>
  <c r="N59" i="67"/>
  <c r="J57" i="67"/>
  <c r="J55" i="67" s="1"/>
  <c r="J58" i="67" s="1"/>
  <c r="Q50" i="67" s="1"/>
  <c r="I54" i="67"/>
  <c r="L59" i="67"/>
  <c r="J53" i="67"/>
  <c r="J7" i="33"/>
  <c r="D58" i="33"/>
  <c r="E58" i="33" s="1"/>
  <c r="F58" i="33" s="1"/>
  <c r="G58" i="33" s="1"/>
  <c r="H58" i="33" s="1"/>
  <c r="I58" i="33" s="1"/>
  <c r="J58" i="33" s="1"/>
  <c r="K58" i="33" s="1"/>
  <c r="L58" i="33" s="1"/>
  <c r="M58" i="33" s="1"/>
  <c r="N58" i="33" s="1"/>
  <c r="O58" i="33" s="1"/>
  <c r="H7" i="33"/>
  <c r="F7" i="33"/>
  <c r="L56" i="67"/>
  <c r="D48" i="35"/>
  <c r="E48" i="35" s="1"/>
  <c r="F48" i="35" s="1"/>
  <c r="G48" i="35" s="1"/>
  <c r="H48" i="35" s="1"/>
  <c r="I48" i="35" s="1"/>
  <c r="J48" i="35" s="1"/>
  <c r="K48" i="35" s="1"/>
  <c r="L48" i="35" s="1"/>
  <c r="M48" i="35" s="1"/>
  <c r="N48" i="35" s="1"/>
  <c r="O48" i="35" s="1"/>
  <c r="J7" i="35"/>
  <c r="F7" i="35"/>
  <c r="I7" i="34"/>
  <c r="C59" i="34"/>
  <c r="D59" i="34" s="1"/>
  <c r="E59" i="34" s="1"/>
  <c r="F59" i="34" s="1"/>
  <c r="G59" i="34" s="1"/>
  <c r="H59" i="34" s="1"/>
  <c r="I59" i="34" s="1"/>
  <c r="J59" i="34" s="1"/>
  <c r="K59" i="34" s="1"/>
  <c r="L59" i="34" s="1"/>
  <c r="M59" i="34" s="1"/>
  <c r="N59" i="34" s="1"/>
  <c r="O59" i="34" s="1"/>
  <c r="G7" i="34"/>
  <c r="E7" i="34"/>
  <c r="C69" i="39"/>
  <c r="D67" i="39"/>
  <c r="J7" i="21"/>
  <c r="D58" i="21"/>
  <c r="E58" i="21" s="1"/>
  <c r="F58" i="21" s="1"/>
  <c r="G58" i="21" s="1"/>
  <c r="H58" i="21" s="1"/>
  <c r="I58" i="21" s="1"/>
  <c r="J58" i="21" s="1"/>
  <c r="K58" i="21" s="1"/>
  <c r="L58" i="21" s="1"/>
  <c r="M58" i="21" s="1"/>
  <c r="N58" i="21" s="1"/>
  <c r="O58" i="21" s="1"/>
  <c r="F7" i="21"/>
  <c r="H7" i="21"/>
  <c r="H7" i="36"/>
  <c r="D46" i="36"/>
  <c r="E46" i="36" s="1"/>
  <c r="F46" i="36" s="1"/>
  <c r="G46" i="36" s="1"/>
  <c r="H46" i="36" s="1"/>
  <c r="I46" i="36" s="1"/>
  <c r="J46" i="36" s="1"/>
  <c r="K46" i="36" s="1"/>
  <c r="L46" i="36" s="1"/>
  <c r="M46" i="36" s="1"/>
  <c r="N46" i="36" s="1"/>
  <c r="O46" i="36" s="1"/>
  <c r="F7" i="36"/>
  <c r="J7" i="36"/>
  <c r="C28" i="67"/>
  <c r="C77" i="9"/>
  <c r="C74" i="9" s="1"/>
  <c r="C30" i="68"/>
  <c r="C36" i="11"/>
  <c r="C13" i="12"/>
  <c r="C16" i="12" s="1"/>
  <c r="C21" i="12" s="1"/>
  <c r="C22" i="12" s="1"/>
  <c r="C31" i="12"/>
  <c r="C48" i="69"/>
  <c r="C24" i="12"/>
  <c r="C29" i="12" s="1"/>
  <c r="D28" i="12" s="1"/>
  <c r="C28" i="15"/>
  <c r="C48" i="68"/>
  <c r="C30" i="69"/>
  <c r="C36" i="68"/>
  <c r="C33" i="68" s="1"/>
  <c r="C39" i="68" s="1"/>
  <c r="C46" i="68" s="1"/>
  <c r="C45" i="68" s="1"/>
  <c r="C34" i="11"/>
  <c r="C23" i="43"/>
  <c r="O23" i="43"/>
  <c r="P29" i="43"/>
  <c r="P28" i="43"/>
  <c r="B66" i="40" s="1"/>
  <c r="P27" i="43"/>
  <c r="B70" i="39" s="1"/>
  <c r="A1" i="79"/>
  <c r="P26" i="43"/>
  <c r="P25" i="43"/>
  <c r="M24" i="43"/>
  <c r="D63" i="40"/>
  <c r="C65" i="40"/>
  <c r="AA34" i="34"/>
  <c r="S34" i="34"/>
  <c r="AC10" i="40"/>
  <c r="W10" i="40"/>
  <c r="AB10" i="40"/>
  <c r="U10" i="40"/>
  <c r="W10" i="39"/>
  <c r="AC10" i="39"/>
  <c r="W34" i="34"/>
  <c r="AC34" i="34"/>
  <c r="S10" i="40"/>
  <c r="AA10" i="40"/>
  <c r="AA10" i="39"/>
  <c r="S10" i="39"/>
  <c r="D21" i="6"/>
  <c r="R21" i="6" s="1"/>
  <c r="M19" i="9"/>
  <c r="C118" i="9" s="1"/>
  <c r="D8" i="6"/>
  <c r="D10" i="6"/>
  <c r="H25" i="6"/>
  <c r="C18" i="4"/>
  <c r="D11" i="6"/>
  <c r="E61" i="40"/>
  <c r="D25" i="6"/>
  <c r="R25" i="6" s="1"/>
  <c r="D24" i="6"/>
  <c r="D14" i="6"/>
  <c r="H19" i="6"/>
  <c r="H22" i="6"/>
  <c r="D23" i="6"/>
  <c r="D13" i="6"/>
  <c r="H26" i="6"/>
  <c r="D15" i="6"/>
  <c r="D20" i="6"/>
  <c r="D6" i="6"/>
  <c r="L19" i="9"/>
  <c r="H21" i="6"/>
  <c r="D5" i="6"/>
  <c r="D28" i="6"/>
  <c r="D30" i="6" s="1"/>
  <c r="H23" i="6"/>
  <c r="D26" i="6"/>
  <c r="H24" i="6"/>
  <c r="D22" i="6"/>
  <c r="R22" i="6" s="1"/>
  <c r="D19" i="6"/>
  <c r="D9" i="6"/>
  <c r="D29" i="6"/>
  <c r="D12" i="6"/>
  <c r="H20" i="6"/>
  <c r="AB34" i="34"/>
  <c r="U34" i="34"/>
  <c r="U10" i="39"/>
  <c r="AB10" i="39"/>
  <c r="J24" i="15"/>
  <c r="J26" i="15"/>
  <c r="J29" i="15" s="1"/>
  <c r="C24" i="69"/>
  <c r="C44" i="69"/>
  <c r="D41" i="69" s="1"/>
  <c r="F41" i="69"/>
  <c r="C26" i="69"/>
  <c r="D22" i="69" s="1"/>
  <c r="J26" i="67"/>
  <c r="J24" i="67"/>
  <c r="C43" i="69"/>
  <c r="M36" i="43"/>
  <c r="O36" i="43"/>
  <c r="P36" i="43"/>
  <c r="L37" i="43"/>
  <c r="Q36" i="43"/>
  <c r="N36" i="43"/>
  <c r="C26" i="11"/>
  <c r="D22" i="11" s="1"/>
  <c r="C44" i="11"/>
  <c r="D41" i="11" s="1"/>
  <c r="C25" i="11"/>
  <c r="C23" i="11"/>
  <c r="C24" i="11"/>
  <c r="C48" i="67"/>
  <c r="C61" i="67"/>
  <c r="C31" i="15"/>
  <c r="C10" i="15"/>
  <c r="C5" i="15" s="1"/>
  <c r="C53" i="15"/>
  <c r="C48" i="15" s="1"/>
  <c r="C42" i="69"/>
  <c r="C10" i="67"/>
  <c r="C5" i="67" s="1"/>
  <c r="J17" i="15"/>
  <c r="C26" i="68"/>
  <c r="D22" i="68" s="1"/>
  <c r="C44" i="68"/>
  <c r="D41" i="68" s="1"/>
  <c r="F41" i="68"/>
  <c r="C25" i="68"/>
  <c r="C23" i="68"/>
  <c r="C24" i="68"/>
  <c r="C46" i="69"/>
  <c r="C45" i="69" s="1"/>
  <c r="C20" i="15"/>
  <c r="C23" i="15" s="1"/>
  <c r="C30" i="12" l="1"/>
  <c r="C28" i="12" s="1"/>
  <c r="C43" i="68"/>
  <c r="C41" i="68" s="1"/>
  <c r="C49" i="68" s="1"/>
  <c r="C51" i="68" s="1"/>
  <c r="C27" i="12"/>
  <c r="C25" i="12" s="1"/>
  <c r="C42" i="68"/>
  <c r="D65" i="40"/>
  <c r="E63" i="40"/>
  <c r="T15" i="43"/>
  <c r="V15" i="43" s="1"/>
  <c r="T11" i="43"/>
  <c r="V11" i="43" s="1"/>
  <c r="T7" i="43"/>
  <c r="V7" i="43" s="1"/>
  <c r="T14" i="43"/>
  <c r="V14" i="43" s="1"/>
  <c r="T10" i="43"/>
  <c r="V10" i="43" s="1"/>
  <c r="T4" i="43"/>
  <c r="V4" i="43" s="1"/>
  <c r="T2" i="43"/>
  <c r="V2" i="43" s="1"/>
  <c r="T5" i="43"/>
  <c r="V5" i="43" s="1"/>
  <c r="C41" i="43"/>
  <c r="C38" i="43"/>
  <c r="C39" i="43"/>
  <c r="T13" i="43"/>
  <c r="V13" i="43" s="1"/>
  <c r="T9" i="43"/>
  <c r="V9" i="43" s="1"/>
  <c r="T16" i="43"/>
  <c r="V16" i="43" s="1"/>
  <c r="T12" i="43"/>
  <c r="V12" i="43" s="1"/>
  <c r="T8" i="43"/>
  <c r="V8" i="43" s="1"/>
  <c r="T3" i="43"/>
  <c r="V3" i="43" s="1"/>
  <c r="T6" i="43"/>
  <c r="V6" i="43" s="1"/>
  <c r="C40" i="43"/>
  <c r="C42" i="43"/>
  <c r="C37" i="43"/>
  <c r="C33" i="43"/>
  <c r="F7" i="34"/>
  <c r="H7" i="35"/>
  <c r="C26" i="12"/>
  <c r="D25" i="12" s="1"/>
  <c r="H7" i="37"/>
  <c r="C38" i="11"/>
  <c r="C35" i="11"/>
  <c r="AB7" i="36"/>
  <c r="T36" i="36" s="1"/>
  <c r="G36" i="36" s="1"/>
  <c r="U7" i="36"/>
  <c r="W7" i="21"/>
  <c r="AC7" i="21"/>
  <c r="V48" i="21" s="1"/>
  <c r="I48" i="21" s="1"/>
  <c r="H7" i="34"/>
  <c r="S7" i="35"/>
  <c r="AA7" i="35"/>
  <c r="R38" i="35" s="1"/>
  <c r="W7" i="33"/>
  <c r="AC7" i="33"/>
  <c r="V48" i="33" s="1"/>
  <c r="I48" i="33" s="1"/>
  <c r="AC7" i="37"/>
  <c r="V42" i="37" s="1"/>
  <c r="I42" i="37" s="1"/>
  <c r="W7" i="37"/>
  <c r="W7" i="36"/>
  <c r="AC7" i="36"/>
  <c r="V36" i="36" s="1"/>
  <c r="I36" i="36" s="1"/>
  <c r="AB7" i="21"/>
  <c r="T48" i="21" s="1"/>
  <c r="G48" i="21" s="1"/>
  <c r="U7" i="21"/>
  <c r="D69" i="39"/>
  <c r="E67" i="39"/>
  <c r="W7" i="35"/>
  <c r="AC7" i="35"/>
  <c r="V38" i="35" s="1"/>
  <c r="I38" i="35" s="1"/>
  <c r="S7" i="33"/>
  <c r="AA7" i="33"/>
  <c r="R48" i="33" s="1"/>
  <c r="Q52" i="67"/>
  <c r="F1" i="67"/>
  <c r="AA7" i="37"/>
  <c r="R42" i="37" s="1"/>
  <c r="S7" i="37"/>
  <c r="S7" i="36"/>
  <c r="AA7" i="36"/>
  <c r="R36" i="36" s="1"/>
  <c r="S7" i="21"/>
  <c r="AA7" i="21"/>
  <c r="R48" i="21" s="1"/>
  <c r="J7" i="34"/>
  <c r="U7" i="33"/>
  <c r="AB7" i="33"/>
  <c r="T48" i="33" s="1"/>
  <c r="G48" i="33" s="1"/>
  <c r="Q61" i="67"/>
  <c r="Q74" i="67"/>
  <c r="R20" i="6"/>
  <c r="D16" i="6"/>
  <c r="R26" i="6"/>
  <c r="R23" i="6"/>
  <c r="R24" i="6"/>
  <c r="C4" i="52"/>
  <c r="B45" i="72" s="1"/>
  <c r="A7" i="51"/>
  <c r="B7" i="72" s="1"/>
  <c r="A10" i="51"/>
  <c r="B9" i="72" s="1"/>
  <c r="D27" i="6"/>
  <c r="D31" i="6" s="1"/>
  <c r="R19" i="6"/>
  <c r="H27" i="6"/>
  <c r="C26" i="15"/>
  <c r="C29" i="15" s="1"/>
  <c r="C22" i="68"/>
  <c r="C31" i="68" s="1"/>
  <c r="C41" i="69"/>
  <c r="C49" i="69" s="1"/>
  <c r="C51" i="69" s="1"/>
  <c r="C26" i="67"/>
  <c r="C60" i="15"/>
  <c r="C59" i="15" s="1"/>
  <c r="C66" i="15"/>
  <c r="C29" i="67"/>
  <c r="C38" i="67"/>
  <c r="C38" i="15"/>
  <c r="C66" i="67"/>
  <c r="C60" i="67"/>
  <c r="C22" i="11"/>
  <c r="C31" i="11" s="1"/>
  <c r="P37" i="43"/>
  <c r="N37" i="43"/>
  <c r="M37" i="43"/>
  <c r="Q37" i="43"/>
  <c r="O37" i="43"/>
  <c r="AE6" i="1"/>
  <c r="F41" i="67" s="1"/>
  <c r="C32" i="12" l="1"/>
  <c r="B2" i="12" s="1"/>
  <c r="B3" i="12" s="1"/>
  <c r="F69" i="67"/>
  <c r="J29" i="67"/>
  <c r="G52" i="33"/>
  <c r="H52" i="33" s="1"/>
  <c r="G53" i="33"/>
  <c r="H53" i="33" s="1"/>
  <c r="G52" i="21"/>
  <c r="H52" i="21" s="1"/>
  <c r="G53" i="21"/>
  <c r="H53" i="21" s="1"/>
  <c r="I46" i="37"/>
  <c r="J46" i="37" s="1"/>
  <c r="S7" i="34"/>
  <c r="AA7" i="34"/>
  <c r="R49" i="34" s="1"/>
  <c r="E40" i="43"/>
  <c r="G40" i="43"/>
  <c r="I40" i="43" s="1"/>
  <c r="G39" i="43"/>
  <c r="I39" i="43" s="1"/>
  <c r="E39" i="43"/>
  <c r="R49" i="21"/>
  <c r="E48" i="21"/>
  <c r="R49" i="33"/>
  <c r="E48" i="33"/>
  <c r="E69" i="39"/>
  <c r="F67" i="39"/>
  <c r="I40" i="36"/>
  <c r="J40" i="36" s="1"/>
  <c r="I52" i="33"/>
  <c r="J52" i="33" s="1"/>
  <c r="AB7" i="34"/>
  <c r="T49" i="34" s="1"/>
  <c r="G49" i="34" s="1"/>
  <c r="U7" i="34"/>
  <c r="G40" i="36"/>
  <c r="H40" i="36" s="1"/>
  <c r="G41" i="36"/>
  <c r="H41" i="36" s="1"/>
  <c r="AB7" i="37"/>
  <c r="T42" i="37" s="1"/>
  <c r="G42" i="37" s="1"/>
  <c r="U7" i="37"/>
  <c r="C6" i="69"/>
  <c r="C34" i="43"/>
  <c r="E34" i="43" s="1"/>
  <c r="E33" i="43"/>
  <c r="G38" i="43"/>
  <c r="I38" i="43" s="1"/>
  <c r="E38" i="43"/>
  <c r="E65" i="40"/>
  <c r="F63" i="40"/>
  <c r="W7" i="34"/>
  <c r="AC7" i="34"/>
  <c r="V49" i="34" s="1"/>
  <c r="I49" i="34" s="1"/>
  <c r="E42" i="37"/>
  <c r="R43" i="37"/>
  <c r="I52" i="21"/>
  <c r="J52" i="21" s="1"/>
  <c r="E37" i="43"/>
  <c r="G37" i="43"/>
  <c r="I37" i="43" s="1"/>
  <c r="G41" i="43"/>
  <c r="I41" i="43" s="1"/>
  <c r="E41" i="43"/>
  <c r="R37" i="36"/>
  <c r="E36" i="36"/>
  <c r="I41" i="36" s="1"/>
  <c r="J41" i="36" s="1"/>
  <c r="I42" i="35"/>
  <c r="J42" i="35" s="1"/>
  <c r="E38" i="35"/>
  <c r="I43" i="35" s="1"/>
  <c r="J43" i="35" s="1"/>
  <c r="R39" i="35"/>
  <c r="C33" i="11"/>
  <c r="U7" i="35"/>
  <c r="AB7" i="35"/>
  <c r="T38" i="35" s="1"/>
  <c r="G38" i="35" s="1"/>
  <c r="E42" i="43"/>
  <c r="G42" i="43"/>
  <c r="I42" i="43" s="1"/>
  <c r="R6" i="1"/>
  <c r="R27" i="6"/>
  <c r="I5" i="6"/>
  <c r="I6" i="6"/>
  <c r="J14" i="15"/>
  <c r="J13" i="15" s="1"/>
  <c r="J23" i="15" s="1"/>
  <c r="C57" i="15"/>
  <c r="C64" i="15" s="1"/>
  <c r="C36" i="15"/>
  <c r="C13" i="15"/>
  <c r="C56" i="15" s="1"/>
  <c r="C65" i="15" s="1"/>
  <c r="J59" i="15"/>
  <c r="J60" i="15" s="1"/>
  <c r="L46" i="15" s="1"/>
  <c r="Q49" i="15"/>
  <c r="C36" i="67"/>
  <c r="C13" i="67"/>
  <c r="Q49" i="67"/>
  <c r="C57" i="67"/>
  <c r="C64" i="67" s="1"/>
  <c r="J14" i="67"/>
  <c r="J59" i="67"/>
  <c r="J60" i="67" s="1"/>
  <c r="C52" i="68"/>
  <c r="B2" i="68" s="1"/>
  <c r="B3" i="68" s="1"/>
  <c r="F35" i="67"/>
  <c r="M21" i="67"/>
  <c r="C58" i="15" l="1"/>
  <c r="C67" i="15" s="1"/>
  <c r="C68" i="15" s="1"/>
  <c r="C71" i="15" s="1"/>
  <c r="J22" i="15"/>
  <c r="J16" i="15" s="1"/>
  <c r="J25" i="15" s="1"/>
  <c r="Q70" i="15"/>
  <c r="Q48" i="15"/>
  <c r="C46" i="11"/>
  <c r="C45" i="11" s="1"/>
  <c r="C39" i="11"/>
  <c r="C43" i="11" s="1"/>
  <c r="C42" i="11"/>
  <c r="C37" i="15"/>
  <c r="C30" i="15" s="1"/>
  <c r="C39" i="15" s="1"/>
  <c r="C40" i="15" s="1"/>
  <c r="E53" i="33"/>
  <c r="F53" i="33" s="1"/>
  <c r="E52" i="33"/>
  <c r="F52" i="33" s="1"/>
  <c r="C75" i="15"/>
  <c r="E46" i="37"/>
  <c r="F46" i="37" s="1"/>
  <c r="E47" i="37"/>
  <c r="F47" i="37" s="1"/>
  <c r="G63" i="40"/>
  <c r="F65" i="40"/>
  <c r="C30" i="43"/>
  <c r="G46" i="37"/>
  <c r="H46" i="37" s="1"/>
  <c r="G47" i="37"/>
  <c r="H47" i="37" s="1"/>
  <c r="G54" i="34"/>
  <c r="H54" i="34" s="1"/>
  <c r="G53" i="34"/>
  <c r="H53" i="34" s="1"/>
  <c r="C49" i="33"/>
  <c r="C48" i="33"/>
  <c r="R50" i="34"/>
  <c r="E49" i="34"/>
  <c r="I54" i="34" s="1"/>
  <c r="J54" i="34" s="1"/>
  <c r="I53" i="34"/>
  <c r="J53" i="34" s="1"/>
  <c r="C31" i="43"/>
  <c r="G67" i="39"/>
  <c r="F69" i="39"/>
  <c r="E52" i="21"/>
  <c r="F52" i="21" s="1"/>
  <c r="E53" i="21"/>
  <c r="F53" i="21" s="1"/>
  <c r="C38" i="35"/>
  <c r="C39" i="35"/>
  <c r="M3" i="35" s="1"/>
  <c r="E40" i="36"/>
  <c r="F40" i="36" s="1"/>
  <c r="E41" i="36"/>
  <c r="F41" i="36" s="1"/>
  <c r="I53" i="21"/>
  <c r="J53" i="21" s="1"/>
  <c r="C7" i="69"/>
  <c r="C5" i="69"/>
  <c r="I53" i="33"/>
  <c r="J53" i="33" s="1"/>
  <c r="C48" i="21"/>
  <c r="C49" i="21"/>
  <c r="I47" i="37"/>
  <c r="J47" i="37" s="1"/>
  <c r="G42" i="35"/>
  <c r="H42" i="35" s="1"/>
  <c r="G43" i="35"/>
  <c r="H43" i="35" s="1"/>
  <c r="E42" i="35"/>
  <c r="F42" i="35" s="1"/>
  <c r="E43" i="35"/>
  <c r="F43" i="35" s="1"/>
  <c r="C36" i="36"/>
  <c r="C37" i="36"/>
  <c r="C43" i="37"/>
  <c r="C42" i="37"/>
  <c r="J20" i="67"/>
  <c r="J17" i="67" s="1"/>
  <c r="C34" i="67"/>
  <c r="C31" i="67" s="1"/>
  <c r="F63" i="67"/>
  <c r="C62" i="67" s="1"/>
  <c r="C59" i="67" s="1"/>
  <c r="R16" i="1"/>
  <c r="Q48" i="67"/>
  <c r="L46" i="67"/>
  <c r="C37" i="67"/>
  <c r="C75" i="67"/>
  <c r="Q70" i="67"/>
  <c r="C56" i="67"/>
  <c r="C65" i="67" s="1"/>
  <c r="J22" i="67"/>
  <c r="J13" i="67"/>
  <c r="J23" i="67" s="1"/>
  <c r="C57" i="68"/>
  <c r="C56" i="68" s="1"/>
  <c r="E6" i="76"/>
  <c r="L51" i="15"/>
  <c r="C30" i="67" l="1"/>
  <c r="C39" i="67" s="1"/>
  <c r="C80" i="67" s="1"/>
  <c r="C79" i="67" s="1"/>
  <c r="C46" i="15"/>
  <c r="C41" i="11"/>
  <c r="C49" i="11" s="1"/>
  <c r="C51" i="11" s="1"/>
  <c r="C52" i="11" s="1"/>
  <c r="B2" i="11" s="1"/>
  <c r="B3" i="11" s="1"/>
  <c r="E2" i="76"/>
  <c r="C20" i="69"/>
  <c r="C23" i="69"/>
  <c r="C49" i="34"/>
  <c r="C50" i="34"/>
  <c r="G65" i="40"/>
  <c r="H63" i="40"/>
  <c r="H67" i="39"/>
  <c r="G69" i="39"/>
  <c r="E53" i="34"/>
  <c r="F53" i="34" s="1"/>
  <c r="E54" i="34"/>
  <c r="F54" i="34" s="1"/>
  <c r="B2" i="43"/>
  <c r="C58" i="67"/>
  <c r="C67" i="67" s="1"/>
  <c r="C68" i="67" s="1"/>
  <c r="C71" i="67" s="1"/>
  <c r="Q69" i="15"/>
  <c r="Q68" i="15" s="1"/>
  <c r="C80" i="15"/>
  <c r="C79" i="15" s="1"/>
  <c r="J16" i="67"/>
  <c r="J25" i="67" s="1"/>
  <c r="Q67" i="15"/>
  <c r="L57" i="15"/>
  <c r="L60" i="15" s="1"/>
  <c r="C40" i="67"/>
  <c r="Q69" i="67"/>
  <c r="Q68" i="67" s="1"/>
  <c r="Q47" i="15"/>
  <c r="Q53" i="15" s="1"/>
  <c r="C43" i="15"/>
  <c r="Q65" i="15"/>
  <c r="Q56" i="15"/>
  <c r="B2" i="15"/>
  <c r="B3" i="15" s="1"/>
  <c r="C83" i="15"/>
  <c r="C82" i="15" s="1"/>
  <c r="B6" i="76"/>
  <c r="L51" i="67"/>
  <c r="B2" i="76" l="1"/>
  <c r="B3" i="76" s="1"/>
  <c r="B3" i="43"/>
  <c r="B2" i="34"/>
  <c r="B3" i="34"/>
  <c r="I63" i="40"/>
  <c r="H65" i="40"/>
  <c r="C28" i="69"/>
  <c r="C27" i="69" s="1"/>
  <c r="C25" i="69"/>
  <c r="C22" i="69" s="1"/>
  <c r="H69" i="39"/>
  <c r="I67" i="39"/>
  <c r="C56" i="11"/>
  <c r="C57" i="11" s="1"/>
  <c r="Q67" i="67"/>
  <c r="D2" i="67"/>
  <c r="Q65" i="67"/>
  <c r="Q75" i="67" s="1"/>
  <c r="Q56" i="67"/>
  <c r="Q62" i="67" s="1"/>
  <c r="Q47" i="67"/>
  <c r="Q53" i="67" s="1"/>
  <c r="C43" i="67"/>
  <c r="C83" i="67"/>
  <c r="C82" i="67" s="1"/>
  <c r="Q66" i="15"/>
  <c r="Q75" i="15" s="1"/>
  <c r="Q57" i="15"/>
  <c r="Q62" i="15" s="1"/>
  <c r="C45" i="67"/>
  <c r="C46" i="67" s="1"/>
  <c r="C31" i="69" l="1"/>
  <c r="C52" i="69" s="1"/>
  <c r="B2" i="69" s="1"/>
  <c r="I69" i="39"/>
  <c r="J67" i="39"/>
  <c r="I65" i="40"/>
  <c r="J63" i="40"/>
  <c r="B3" i="67"/>
  <c r="B2" i="67"/>
  <c r="C19" i="9"/>
  <c r="D19" i="9"/>
  <c r="D20" i="9"/>
  <c r="D34" i="9"/>
  <c r="AO6" i="1"/>
  <c r="D35" i="9"/>
  <c r="C57" i="69" l="1"/>
  <c r="C56" i="69" s="1"/>
  <c r="C21" i="9"/>
  <c r="C102" i="9"/>
  <c r="B3" i="69"/>
  <c r="J65" i="40"/>
  <c r="K63" i="40"/>
  <c r="J69" i="39"/>
  <c r="K67" i="39"/>
  <c r="D102" i="9"/>
  <c r="D21" i="9"/>
  <c r="D22" i="9"/>
  <c r="G19" i="9"/>
  <c r="G21" i="9" s="1"/>
  <c r="B6" i="70"/>
  <c r="B2" i="70" s="1"/>
  <c r="B3" i="70" s="1"/>
  <c r="D103" i="9"/>
  <c r="C20" i="9"/>
  <c r="C103" i="9" l="1"/>
  <c r="G20" i="9"/>
  <c r="R24" i="31" s="1"/>
  <c r="S24" i="31" s="1"/>
  <c r="S22" i="31" s="1"/>
  <c r="K65" i="40"/>
  <c r="L63" i="40"/>
  <c r="K69" i="39"/>
  <c r="L67" i="39"/>
  <c r="D14" i="74"/>
  <c r="C32" i="9" l="1"/>
  <c r="M63" i="40"/>
  <c r="L65" i="40"/>
  <c r="M67" i="39"/>
  <c r="L69" i="39"/>
  <c r="B5" i="74"/>
  <c r="F14" i="74"/>
  <c r="G14" i="74"/>
  <c r="B6" i="74" s="1"/>
  <c r="C35" i="9"/>
  <c r="G118" i="9" s="1"/>
  <c r="I118" i="9"/>
  <c r="R22" i="31"/>
  <c r="B20" i="31"/>
  <c r="B21" i="31" s="1"/>
  <c r="M69" i="39" l="1"/>
  <c r="N67" i="39"/>
  <c r="N63" i="40"/>
  <c r="M65" i="40"/>
  <c r="G4" i="52"/>
  <c r="B52" i="72" s="1"/>
  <c r="F118" i="9"/>
  <c r="D6" i="74"/>
  <c r="H102" i="9"/>
  <c r="D7" i="53" s="1"/>
  <c r="B21" i="72" s="1"/>
  <c r="C105" i="9"/>
  <c r="H118" i="9"/>
  <c r="I4" i="52"/>
  <c r="E118" i="9"/>
  <c r="C34" i="9"/>
  <c r="D5" i="74"/>
  <c r="O63" i="40" l="1"/>
  <c r="O65" i="40" s="1"/>
  <c r="N65" i="40"/>
  <c r="N69" i="39"/>
  <c r="O67" i="39"/>
  <c r="O69" i="39" s="1"/>
  <c r="C5" i="74"/>
  <c r="E4" i="52"/>
  <c r="B48" i="72" s="1"/>
  <c r="D118" i="9"/>
  <c r="H4" i="52"/>
  <c r="H119" i="9"/>
  <c r="H5" i="52" s="1"/>
  <c r="H101" i="9"/>
  <c r="C104" i="9"/>
  <c r="F4" i="52"/>
  <c r="B51" i="72" s="1"/>
  <c r="F119" i="9"/>
  <c r="F5" i="52" s="1"/>
  <c r="B53" i="72" s="1"/>
  <c r="H7" i="39" l="1"/>
  <c r="F7" i="39"/>
  <c r="J7" i="39"/>
  <c r="F7" i="40"/>
  <c r="J7" i="40"/>
  <c r="H7" i="40"/>
  <c r="D45" i="9"/>
  <c r="H107" i="9"/>
  <c r="D5" i="53"/>
  <c r="M48" i="9"/>
  <c r="D119" i="9"/>
  <c r="D5" i="52" s="1"/>
  <c r="B49" i="72" s="1"/>
  <c r="D4" i="52"/>
  <c r="B47" i="72" s="1"/>
  <c r="U7" i="40" l="1"/>
  <c r="AB7" i="40"/>
  <c r="T42" i="40" s="1"/>
  <c r="G42" i="40" s="1"/>
  <c r="AA7" i="40"/>
  <c r="R42" i="40" s="1"/>
  <c r="S7" i="40"/>
  <c r="W7" i="39"/>
  <c r="AC7" i="39"/>
  <c r="V47" i="39" s="1"/>
  <c r="I47" i="39" s="1"/>
  <c r="S7" i="39"/>
  <c r="AA7" i="39"/>
  <c r="R47" i="39" s="1"/>
  <c r="AC7" i="40"/>
  <c r="V42" i="40" s="1"/>
  <c r="I42" i="40" s="1"/>
  <c r="W7" i="40"/>
  <c r="AB7" i="39"/>
  <c r="T47" i="39" s="1"/>
  <c r="G47" i="39" s="1"/>
  <c r="U7" i="39"/>
  <c r="D53" i="9"/>
  <c r="C78" i="9"/>
  <c r="C73" i="9" s="1"/>
  <c r="C72" i="9"/>
  <c r="C85" i="9"/>
  <c r="C64" i="9"/>
  <c r="C63" i="9" s="1"/>
  <c r="C67" i="9" s="1"/>
  <c r="D55" i="9"/>
  <c r="M53" i="9" s="1"/>
  <c r="C93" i="9"/>
  <c r="C86" i="9" s="1"/>
  <c r="D52" i="9"/>
  <c r="B20" i="72"/>
  <c r="D6" i="53"/>
  <c r="B22" i="72" s="1"/>
  <c r="M49" i="9"/>
  <c r="D122" i="9"/>
  <c r="H108" i="9"/>
  <c r="D13" i="53"/>
  <c r="I51" i="39" l="1"/>
  <c r="J51" i="39" s="1"/>
  <c r="G47" i="40"/>
  <c r="H47" i="40" s="1"/>
  <c r="G46" i="40"/>
  <c r="H46" i="40" s="1"/>
  <c r="I46" i="40"/>
  <c r="J46" i="40" s="1"/>
  <c r="R48" i="39"/>
  <c r="E47" i="39"/>
  <c r="C79" i="9"/>
  <c r="C80" i="9" s="1"/>
  <c r="E80" i="9" s="1"/>
  <c r="E81" i="9" s="1"/>
  <c r="G52" i="39"/>
  <c r="H52" i="39" s="1"/>
  <c r="G51" i="39"/>
  <c r="H51" i="39" s="1"/>
  <c r="R43" i="40"/>
  <c r="E42" i="40"/>
  <c r="I47" i="40" s="1"/>
  <c r="J47" i="40" s="1"/>
  <c r="D15" i="53"/>
  <c r="B31" i="72" s="1"/>
  <c r="C6" i="74"/>
  <c r="C68" i="9"/>
  <c r="D54" i="9" s="1"/>
  <c r="D59" i="9"/>
  <c r="M55" i="9" s="1"/>
  <c r="D8" i="52"/>
  <c r="D123" i="9"/>
  <c r="D9" i="52" s="1"/>
  <c r="C95" i="9"/>
  <c r="L65" i="9"/>
  <c r="M65" i="9" s="1"/>
  <c r="L63" i="9"/>
  <c r="M63" i="9" s="1"/>
  <c r="L64" i="9"/>
  <c r="M64" i="9" s="1"/>
  <c r="L66" i="9"/>
  <c r="M66" i="9" s="1"/>
  <c r="L68" i="9"/>
  <c r="M68" i="9" s="1"/>
  <c r="L67" i="9"/>
  <c r="M67" i="9" s="1"/>
  <c r="B30" i="72"/>
  <c r="D14" i="53"/>
  <c r="B32" i="72" s="1"/>
  <c r="C48" i="39" l="1"/>
  <c r="C47" i="39"/>
  <c r="C43" i="40"/>
  <c r="C42" i="40"/>
  <c r="E51" i="39"/>
  <c r="F51" i="39" s="1"/>
  <c r="E52" i="39"/>
  <c r="F52" i="39" s="1"/>
  <c r="E46" i="40"/>
  <c r="F46" i="40" s="1"/>
  <c r="E47" i="40"/>
  <c r="F47" i="40" s="1"/>
  <c r="I52" i="39"/>
  <c r="J52" i="39" s="1"/>
  <c r="C96" i="9"/>
  <c r="E96" i="9" s="1"/>
  <c r="E97" i="9" s="1"/>
  <c r="C81" i="9"/>
  <c r="M69" i="9"/>
  <c r="N69" i="9" s="1"/>
  <c r="B59" i="40" l="1"/>
  <c r="F59" i="40" s="1"/>
  <c r="B52" i="40"/>
  <c r="F52" i="40" s="1"/>
  <c r="B56" i="40"/>
  <c r="F56" i="40" s="1"/>
  <c r="B51" i="40"/>
  <c r="F51" i="40" s="1"/>
  <c r="B57" i="40"/>
  <c r="F57" i="40" s="1"/>
  <c r="B53" i="40"/>
  <c r="F53" i="40" s="1"/>
  <c r="B54" i="40"/>
  <c r="F54" i="40" s="1"/>
  <c r="B58" i="40"/>
  <c r="F58" i="40" s="1"/>
  <c r="B60" i="40"/>
  <c r="F60" i="40" s="1"/>
  <c r="F61" i="40"/>
  <c r="B2" i="40" s="1"/>
  <c r="B3" i="40" s="1"/>
  <c r="B64" i="39"/>
  <c r="F64" i="39" s="1"/>
  <c r="B56" i="39"/>
  <c r="F56" i="39" s="1"/>
  <c r="F65" i="39" s="1"/>
  <c r="B2" i="39" s="1"/>
  <c r="B3" i="39" s="1"/>
  <c r="B62" i="39"/>
  <c r="F62" i="39" s="1"/>
  <c r="B61" i="39"/>
  <c r="F61" i="39" s="1"/>
  <c r="B63" i="39"/>
  <c r="F63" i="39" s="1"/>
  <c r="B58" i="39"/>
  <c r="F58" i="39" s="1"/>
  <c r="B60" i="39"/>
  <c r="F60" i="39" s="1"/>
  <c r="B59" i="39"/>
  <c r="F59" i="39" s="1"/>
  <c r="B57" i="39"/>
  <c r="F57" i="39" s="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<sst xmlns="http://schemas.openxmlformats.org/spreadsheetml/2006/main" count="8003" uniqueCount="3483">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</sst>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3" fillId="0" borderId="0"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503563</xdr:colOff>
      <xdr:row>35</xdr:row>
      <xdr:rowOff>123081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10104763"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估价对象为北京市通州区兴贸三街19号院1号楼4层507办公用房房地产，为所有。根据《国有土地使用证》[]，估价对象（分摊）出让国有建设用地使用权面积为0平方米，建筑面积为89.68平方米。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89.68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2025年10月28日（评估专业人员实地查勘之日）</v>
      </c>
    </row>
    <row r="13" spans="1:2" s="1202" customFormat="1">
      <c r="A13" s="1200" t="s">
        <v>529</v>
      </c>
      <c r="B13" s="1201"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114</v>
      </c>
    </row>
    <row r="21" spans="1:2" s="1202" customFormat="1">
      <c r="A21" s="1200" t="s">
        <v>537</v>
      </c>
      <c r="B21" s="1201">
        <f ca="1">'预评函-2'!D7</f>
        <v>12703</v>
      </c>
    </row>
    <row r="22" spans="1:2" s="1202" customFormat="1">
      <c r="A22" s="1200" t="s">
        <v>538</v>
      </c>
      <c r="B22" s="1201" t="str">
        <f ca="1">'预评函-2'!D6</f>
        <v>壹佰壹拾肆万元整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114</v>
      </c>
    </row>
    <row r="31" spans="1:2" s="1202" customFormat="1">
      <c r="A31" s="1200" t="s">
        <v>576</v>
      </c>
      <c r="B31" s="1201">
        <f ca="1">'预评函-2'!D15</f>
        <v>12703</v>
      </c>
    </row>
    <row r="32" spans="1:2" s="1202" customFormat="1">
      <c r="A32" s="1200" t="s">
        <v>543</v>
      </c>
      <c r="B32" s="1201" t="str">
        <f ca="1">'预评函-2'!D14</f>
        <v>壹佰壹拾肆万元整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89.68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53</v>
      </c>
    </row>
    <row r="48" spans="1:2" s="1202" customFormat="1">
      <c r="A48" s="1200" t="s">
        <v>549</v>
      </c>
      <c r="B48" s="1201">
        <f ca="1">'预评函-3'!E4</f>
        <v>5881</v>
      </c>
    </row>
    <row r="49" spans="1:2" s="1202" customFormat="1">
      <c r="A49" s="1200" t="s">
        <v>550</v>
      </c>
      <c r="B49" s="1201" t="str">
        <f ca="1">'预评函-3'!D5</f>
        <v>伍拾叁万元整</v>
      </c>
    </row>
    <row r="50" spans="1:2" s="1202" customFormat="1">
      <c r="A50" s="1200" t="s">
        <v>574</v>
      </c>
      <c r="B50" s="1201" t="str">
        <f>'预评函-3'!F2</f>
        <v>在建建筑物价值</v>
      </c>
    </row>
    <row r="51" spans="1:2" s="1202" customFormat="1">
      <c r="A51" s="1200" t="s">
        <v>551</v>
      </c>
      <c r="B51" s="1201">
        <f ca="1">'预评函-3'!F4</f>
        <v>61</v>
      </c>
    </row>
    <row r="52" spans="1:2" s="1202" customFormat="1">
      <c r="A52" s="1200" t="s">
        <v>552</v>
      </c>
      <c r="B52" s="1201">
        <f ca="1">'预评函-3'!G4</f>
        <v>6822</v>
      </c>
    </row>
    <row r="53" spans="1:2" s="1202" customFormat="1">
      <c r="A53" s="1200" t="s">
        <v>580</v>
      </c>
      <c r="B53" s="1201" t="str">
        <f ca="1">'预评函-3'!F5</f>
        <v>陆拾壹万元整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3" t="s">
        <v>385</v>
      </c>
      <c r="C54" s="1550" t="s">
        <v>583</v>
      </c>
    </row>
    <row r="55" spans="1:4">
      <c r="A55" s="3526"/>
      <c r="B55" s="1553" t="s">
        <v>386</v>
      </c>
      <c r="C55" s="1550" t="s">
        <v>584</v>
      </c>
    </row>
    <row r="56" spans="1:4">
      <c r="A56" s="3526"/>
      <c r="B56" s="1553" t="s">
        <v>387</v>
      </c>
      <c r="C56" s="1550" t="s">
        <v>588</v>
      </c>
    </row>
    <row r="57" spans="1:4">
      <c r="A57" s="352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7" t="s">
        <v>2579</v>
      </c>
      <c r="J2" s="3527"/>
      <c r="K2" s="3527"/>
      <c r="L2" s="3527"/>
      <c r="M2" s="3527"/>
      <c r="N2" s="3527"/>
      <c r="O2" s="3527"/>
      <c r="P2" s="3527"/>
      <c r="Q2" s="3527"/>
      <c r="R2" s="3527"/>
    </row>
    <row r="3" spans="1:18">
      <c r="A3" s="3018" t="s">
        <v>2500</v>
      </c>
      <c r="B3" s="3019">
        <f>项目基本情况!D3</f>
        <v>45958</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1.1399999999999999</v>
      </c>
      <c r="D5" s="3023">
        <f>IF(ISERROR(ROUND(POWER(1+E5,A5-C5)*(POWER(1+E5,C5)-1)/(POWER(1+E5,A5)-1),3)),0,ROUND(POWER(1+E5,A5-C5)*(POWER(1+E5,C5)-1)/(POWER(1+E5,A5)-1),4))</f>
        <v>5.5199999999999999E-2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11.15</v>
      </c>
      <c r="D6" s="3023">
        <f>IF(ISERROR(ROUND(POWER(1+E6,A6-C6)*(POWER(1+E6,C6)-1)/(POWER(1+E6,A6)-1),3)),0,ROUND(POWER(1+E6,A6-C6)*(POWER(1+E6,C6)-1)/(POWER(1+E6,A6)-1),4))</f>
        <v>0.41220000000000001</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31.16</v>
      </c>
      <c r="D7" s="3023">
        <f>IF(ISERROR(ROUND(POWER(1+E7,A7-C7)*(POWER(1+E7,C7)-1)/(POWER(1+E7,A7)-1),3)),0,ROUND(POWER(1+E7,A7-C7)*(POWER(1+E7,C7)-1)/(POWER(1+E7,A7)-1),4))</f>
        <v>0.75380000000000003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8" sqref="G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8"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29"/>
      <c r="D1" s="3529"/>
      <c r="E1" s="3529"/>
      <c r="F1" s="3529"/>
      <c r="G1" s="3529"/>
      <c r="H1" s="3529"/>
      <c r="I1" s="353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45958</v>
      </c>
      <c r="C3" s="2373" t="s">
        <v>2170</v>
      </c>
      <c r="D3" s="2372">
        <f>B3</f>
        <v>45958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1"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2"/>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484"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855">
        <v>59068</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35.909999999999997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38"/>
      <c r="C16" s="3539"/>
      <c r="D16" s="3540"/>
      <c r="E16" s="2412" t="s">
        <v>2193</v>
      </c>
      <c r="F16" s="3541"/>
      <c r="G16" s="3542"/>
      <c r="H16" s="3542"/>
      <c r="I16" s="3543"/>
      <c r="J16" s="2438"/>
      <c r="K16" s="2616"/>
      <c r="L16" s="2450"/>
      <c r="M16" s="2450"/>
      <c r="N16" s="2508"/>
      <c r="O16" s="2450"/>
      <c r="P16" s="2508"/>
      <c r="Q16" s="2438"/>
      <c r="R16" s="2438"/>
    </row>
    <row r="17" spans="1:28">
      <c r="A17" s="313" t="s">
        <v>2194</v>
      </c>
      <c r="B17" s="302" t="s">
        <v>2195</v>
      </c>
      <c r="C17" s="8">
        <f>'数据-汇总表'!E3</f>
        <v>89.68</v>
      </c>
      <c r="D17" s="2321" t="s">
        <v>2196</v>
      </c>
      <c r="E17" s="3544" t="s">
        <v>2197</v>
      </c>
      <c r="F17" s="3545"/>
      <c r="G17" s="3545"/>
      <c r="H17" s="3545"/>
      <c r="I17" s="354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7" t="s">
        <v>2201</v>
      </c>
      <c r="F18" s="3548"/>
      <c r="G18" s="3548"/>
      <c r="H18" s="3548"/>
      <c r="I18" s="354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4" t="s">
        <v>2205</v>
      </c>
      <c r="C20" s="3535"/>
      <c r="D20" s="3536" t="s">
        <v>2206</v>
      </c>
      <c r="E20" s="3537"/>
      <c r="F20" s="2646" t="s">
        <v>1056</v>
      </c>
      <c r="G20" s="2663"/>
      <c r="H20" s="2663"/>
      <c r="I20" s="2663"/>
      <c r="J20" s="2438"/>
      <c r="K20" s="353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1"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2"/>
      <c r="B30" s="302" t="s">
        <v>2217</v>
      </c>
      <c r="C30" s="3553"/>
      <c r="D30" s="3554"/>
      <c r="E30" s="2663"/>
      <c r="F30" s="2663"/>
      <c r="G30" s="2663"/>
      <c r="H30" s="2663"/>
      <c r="I30" s="2663"/>
      <c r="J30" s="2438"/>
      <c r="K30" s="2615"/>
      <c r="L30" s="2612"/>
      <c r="M30" s="2612"/>
      <c r="N30" s="2438"/>
      <c r="O30" s="2449"/>
      <c r="P30" s="2438"/>
      <c r="Q30" s="2438"/>
      <c r="R30" s="2438"/>
      <c r="S30" s="2438"/>
      <c r="T30" s="2438"/>
      <c r="U30" s="2438"/>
      <c r="V30" s="2438"/>
    </row>
    <row r="31" spans="1:28">
      <c r="A31" s="3555"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0" t="s">
        <v>2227</v>
      </c>
      <c r="T34" s="2427" t="str">
        <f>NUMBERSTRING(7-K34,1)&amp;"通"</f>
        <v>七通</v>
      </c>
      <c r="U34" s="2438"/>
      <c r="V34" s="2438"/>
    </row>
    <row r="35" spans="1:30">
      <c r="A35" s="2428"/>
      <c r="B35" s="3557" t="s">
        <v>2228</v>
      </c>
      <c r="C35" s="3557"/>
      <c r="D35" s="3557"/>
      <c r="E35" s="355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89.68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89.68</v>
      </c>
      <c r="H5" s="13">
        <f t="shared" ref="H5:AT5" si="0">SUM(H13:H656)</f>
        <v>89.68</v>
      </c>
      <c r="I5" s="13">
        <f t="shared" si="0"/>
        <v>89.68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89.68</v>
      </c>
      <c r="BA5" s="15">
        <f t="shared" si="1"/>
        <v>89.68</v>
      </c>
      <c r="BB5" s="15">
        <f t="shared" si="1"/>
        <v>89.68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89.68</v>
      </c>
      <c r="H13" s="17">
        <f>SUMIF(I$12:AB$12,"总值",I13:AB13)</f>
        <v>89.68</v>
      </c>
      <c r="I13" s="1625">
        <v>89.68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89.68</v>
      </c>
      <c r="BA13" s="13">
        <f>SUM(BB13:BK13)</f>
        <v>89.68</v>
      </c>
      <c r="BB13" s="13">
        <f>IF($D13="是",I13-J13,0)</f>
        <v>89.68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7" t="s">
        <v>1131</v>
      </c>
      <c r="B2" s="3567"/>
      <c r="C2" s="3567"/>
      <c r="D2" s="795" t="s">
        <v>1107</v>
      </c>
      <c r="E2" s="1638" t="s">
        <v>1108</v>
      </c>
      <c r="F2" s="2658"/>
      <c r="G2" s="2649"/>
      <c r="H2" s="2650"/>
      <c r="I2" s="2324" t="s">
        <v>1132</v>
      </c>
      <c r="J2" s="2658"/>
      <c r="K2" s="2658"/>
      <c r="L2" s="2658"/>
      <c r="M2" s="2658"/>
      <c r="N2" s="2660"/>
      <c r="O2" s="2658"/>
      <c r="P2" s="2658"/>
    </row>
    <row r="3" spans="1:16" ht="15.75" thickBot="1">
      <c r="A3" s="3568" t="s">
        <v>1105</v>
      </c>
      <c r="B3" s="3568"/>
      <c r="C3" s="3568"/>
      <c r="D3" s="43">
        <f>'数据-基础表'!AY6</f>
        <v>0</v>
      </c>
      <c r="E3" s="43">
        <f>'数据-基础表'!AZ5</f>
        <v>89.68</v>
      </c>
      <c r="F3" s="2658"/>
      <c r="G3" s="1144"/>
      <c r="H3" s="1025" t="s">
        <v>1106</v>
      </c>
      <c r="I3" s="854" t="e">
        <f>ROUND('数据-基础表'!B3/'数据-基础表'!A3,2)</f>
        <v>#DIV/0!</v>
      </c>
      <c r="J3" s="2658"/>
      <c r="K3" s="2658"/>
      <c r="L3" s="2658"/>
      <c r="M3" s="2658"/>
      <c r="N3" s="2660"/>
      <c r="O3" s="2658"/>
      <c r="P3" s="2658"/>
    </row>
    <row r="4" spans="1:16" ht="15">
      <c r="A4" s="3569"/>
      <c r="B4" s="3570"/>
      <c r="C4" s="357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2" t="s">
        <v>1110</v>
      </c>
      <c r="C5" s="357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2" t="s">
        <v>1111</v>
      </c>
      <c r="C6" s="3572"/>
      <c r="D6" s="45">
        <f>ROUND($D$3*E6/$E$3,2)</f>
        <v>0</v>
      </c>
      <c r="E6" s="46">
        <f>E3-E5</f>
        <v>89.68</v>
      </c>
      <c r="F6" s="2658"/>
      <c r="G6" s="2652" t="s">
        <v>1112</v>
      </c>
      <c r="H6" s="1145" t="s">
        <v>1113</v>
      </c>
      <c r="I6" s="2653" t="e">
        <f>ROUND(F31/D31,2)</f>
        <v>#DIV/0!</v>
      </c>
      <c r="J6" s="2658"/>
      <c r="K6" s="2658"/>
      <c r="L6" s="2658"/>
      <c r="M6" s="2658"/>
      <c r="N6" s="2658"/>
      <c r="O6" s="2658"/>
      <c r="P6" s="2658"/>
    </row>
    <row r="7" spans="1:16" ht="15.75" thickBot="1">
      <c r="A7" s="3564"/>
      <c r="B7" s="3565"/>
      <c r="C7" s="3566"/>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89.68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89.68</v>
      </c>
      <c r="F16" s="2658"/>
      <c r="G16" s="2659"/>
      <c r="H16" s="1647" t="s">
        <v>1135</v>
      </c>
      <c r="I16" s="1648"/>
      <c r="J16" s="1138"/>
      <c r="K16" s="3561" t="s">
        <v>1135</v>
      </c>
      <c r="L16" s="3562"/>
      <c r="M16" s="3562"/>
      <c r="N16" s="3562"/>
      <c r="O16" s="3562"/>
      <c r="P16" s="3563"/>
    </row>
    <row r="17" spans="1:19" ht="15">
      <c r="A17" s="1649" t="s">
        <v>1136</v>
      </c>
      <c r="B17" s="1650" t="s">
        <v>1137</v>
      </c>
      <c r="C17" s="1651" t="s">
        <v>1138</v>
      </c>
      <c r="D17" s="1652" t="s">
        <v>1126</v>
      </c>
      <c r="E17" s="1653" t="s">
        <v>1127</v>
      </c>
      <c r="F17" s="1654"/>
      <c r="G17" s="1655"/>
      <c r="H17" s="1656" t="s">
        <v>1139</v>
      </c>
      <c r="I17" s="1657" t="s">
        <v>1124</v>
      </c>
      <c r="J17" s="1138"/>
      <c r="K17" s="3558" t="s">
        <v>1140</v>
      </c>
      <c r="L17" s="3559"/>
      <c r="M17" s="3560"/>
      <c r="N17" s="3558" t="s">
        <v>1141</v>
      </c>
      <c r="O17" s="3559"/>
      <c r="P17" s="356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89.68</v>
      </c>
      <c r="F19" s="2793">
        <f>'数据-基础表'!I13</f>
        <v>89.68</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89.68</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89.68</v>
      </c>
      <c r="F27" s="1139">
        <f>IF(SUM(F19:F26)=E8,SUM(F19:F26),"地上面积有误")</f>
        <v>89.68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89.68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89.68</v>
      </c>
      <c r="F31" s="676">
        <f>F27+F30</f>
        <v>89.68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20"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59068</v>
      </c>
      <c r="F6" s="64">
        <f>SUMIF(项目基本情况!C$12:I$12,C6,项目基本情况!C$15:I$15)</f>
        <v>35.909999999999997</v>
      </c>
      <c r="G6" s="65">
        <f>IF(ISERROR(ROUND(POWER(1+H6,D6-F6)*(POWER(1+H6,F6)-1)/(POWER(1+H6,D6)-1),3)),0,ROUND(POWER(1+H6,D6-F6)*(POWER(1+H6,F6)-1)/(POWER(1+H6,D6)-1),3))</f>
        <v>0.90600000000000003</v>
      </c>
      <c r="H6" s="731">
        <v>0.05</v>
      </c>
      <c r="I6" s="731">
        <v>5.5E-2</v>
      </c>
      <c r="J6" s="66">
        <v>7.0000000000000007E-2</v>
      </c>
      <c r="K6" s="1029">
        <f>SUMIF('数据-汇总表'!C$19:C$33,A6,'数据-汇总表'!E$19:E$33)</f>
        <v>89.68</v>
      </c>
      <c r="L6" s="732">
        <v>4000</v>
      </c>
      <c r="M6" s="67">
        <f t="shared" ref="M6:M14" si="0">ROUND(K6*L6/10000,0)</f>
        <v>36</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35.909999999999997</v>
      </c>
      <c r="AF6" s="1347"/>
      <c r="AG6" s="138">
        <f>IF(AF6="",0,AE6-AF6)</f>
        <v>0</v>
      </c>
      <c r="AH6" s="74"/>
      <c r="AI6" s="76">
        <v>365</v>
      </c>
      <c r="AJ6" s="77"/>
      <c r="AK6" s="78">
        <v>3.0000000000000001E-3</v>
      </c>
      <c r="AL6" s="79">
        <v>1E-3</v>
      </c>
      <c r="AM6" s="80">
        <v>0.01</v>
      </c>
      <c r="AN6" s="1714" t="s">
        <v>3426</v>
      </c>
      <c r="AO6" s="52">
        <f ca="1">SUMIF(INDIRECT("'"&amp;AN6&amp;"'"&amp;"!A:A"),"总价",INDIRECT("'"&amp;AN6&amp;"'"&amp;"!B:B"))</f>
        <v>80.404200000000003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0.90600000000000003</v>
      </c>
      <c r="H16" s="90">
        <f>ROUND(SUMPRODUCT(H6:H13,K6:K13)/SUMPRODUCT((H6:H13&gt;0)*(K6:K13)),3)</f>
        <v>0.05</v>
      </c>
      <c r="I16" s="91"/>
      <c r="J16" s="91"/>
      <c r="K16" s="92">
        <f>SUM(K6:K15)</f>
        <v>89.68</v>
      </c>
      <c r="L16" s="93">
        <f>ROUND(M16*10000/SUM(K6:K14),0)</f>
        <v>4014</v>
      </c>
      <c r="M16" s="93">
        <f>SUM(M6:M14)</f>
        <v>36</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3" t="s">
        <v>3460</v>
      </c>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1.7936000000000001</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3" t="s">
        <v>2285</v>
      </c>
      <c r="B1" s="3574"/>
      <c r="C1" s="3574"/>
      <c r="D1" s="3574"/>
      <c r="E1" s="3574"/>
      <c r="F1" s="3574"/>
      <c r="G1" s="357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7" sqref="G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89.68</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SUM(D14:D23)</f>
        <v>112.1</v>
      </c>
      <c r="C5" s="2511">
        <f ca="1">IF(B5=D14,结果表!H102,ROUND(B5*10000/$B$1,0))</f>
        <v>12703</v>
      </c>
      <c r="D5" s="2511" t="e">
        <f>ROUND(B5*10000/$B$2,0)</f>
        <v>#DIV/0!</v>
      </c>
      <c r="E5" s="2684"/>
      <c r="F5" s="2685"/>
      <c r="G5" s="2685"/>
      <c r="H5" s="2686"/>
      <c r="I5" s="2686"/>
      <c r="J5" s="2686"/>
      <c r="K5" s="2686"/>
    </row>
    <row r="6" spans="1:11" ht="16.5">
      <c r="A6" s="2511" t="s">
        <v>656</v>
      </c>
      <c r="B6" s="2511">
        <f>SUM(G14:G23)</f>
        <v>112.1</v>
      </c>
      <c r="C6" s="2511">
        <f ca="1">IF(B6=G14,结果表!H108,ROUND(B6*10000/$B$1,0))</f>
        <v>12703</v>
      </c>
      <c r="D6" s="2511" t="e">
        <f>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830"/>
      <c r="E11" s="2684"/>
      <c r="F11" s="2685"/>
      <c r="G11" s="2685"/>
      <c r="H11" s="2686"/>
      <c r="I11" s="2686"/>
      <c r="J11" s="2686"/>
      <c r="K11" s="2686"/>
    </row>
    <row r="12" spans="1:11" ht="16.5">
      <c r="A12" s="2684"/>
      <c r="B12" s="2684"/>
      <c r="C12" s="2684"/>
      <c r="D12" s="3485"/>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89.68</v>
      </c>
      <c r="C14" s="2517"/>
      <c r="D14" s="2517">
        <f>ROUND(E14*B14/10000,2)</f>
        <v>112.1</v>
      </c>
      <c r="E14" s="2517">
        <v>12500</v>
      </c>
      <c r="F14" s="2517" t="e">
        <f>ROUND(D14*10000/C14,0)</f>
        <v>#DIV/0!</v>
      </c>
      <c r="G14" s="2517">
        <f>D14</f>
        <v>112.1</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2" t="str">
        <f>项目基本情况!S2</f>
        <v>北京市通州区兴贸三街19号院1号楼4层507办公用房房地产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3" t="s">
        <v>1265</v>
      </c>
      <c r="B4" s="1754" t="s">
        <v>1266</v>
      </c>
      <c r="C4" s="1755" t="s">
        <v>3481</v>
      </c>
      <c r="D4" s="1755" t="s">
        <v>3426</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645">
        <v>25</v>
      </c>
      <c r="C5" s="3648"/>
      <c r="D5" s="3636"/>
      <c r="E5" s="131" t="s">
        <v>1269</v>
      </c>
      <c r="F5" s="1756"/>
      <c r="G5" s="1756"/>
      <c r="H5" s="1756"/>
      <c r="I5" s="1372"/>
    </row>
    <row r="6" spans="1:12" ht="12.75">
      <c r="A6" s="3590"/>
      <c r="B6" s="3645"/>
      <c r="C6" s="3650"/>
      <c r="D6" s="3636"/>
      <c r="E6" s="131" t="s">
        <v>1270</v>
      </c>
      <c r="F6" s="1756"/>
      <c r="G6" s="1756"/>
      <c r="H6" s="1756"/>
      <c r="I6" s="1372"/>
    </row>
    <row r="7" spans="1:12" ht="12.75">
      <c r="A7" s="3590"/>
      <c r="B7" s="3645"/>
      <c r="C7" s="3649"/>
      <c r="D7" s="3636"/>
      <c r="E7" s="131" t="s">
        <v>1271</v>
      </c>
      <c r="F7" s="1756"/>
      <c r="G7" s="1756"/>
      <c r="H7" s="1756"/>
      <c r="I7" s="1372"/>
    </row>
    <row r="8" spans="1:12" ht="12.75">
      <c r="A8" s="3590" t="s">
        <v>1272</v>
      </c>
      <c r="B8" s="3645">
        <v>15</v>
      </c>
      <c r="C8" s="3648"/>
      <c r="D8" s="3636"/>
      <c r="E8" s="131" t="s">
        <v>1273</v>
      </c>
      <c r="F8" s="1756"/>
      <c r="G8" s="1756"/>
      <c r="H8" s="1756"/>
      <c r="I8" s="1372"/>
    </row>
    <row r="9" spans="1:12" ht="12.75">
      <c r="A9" s="3590"/>
      <c r="B9" s="3645"/>
      <c r="C9" s="3649"/>
      <c r="D9" s="3636"/>
      <c r="E9" s="131" t="s">
        <v>1274</v>
      </c>
      <c r="F9" s="1756"/>
      <c r="G9" s="1756"/>
      <c r="H9" s="1756"/>
      <c r="I9" s="1372"/>
    </row>
    <row r="10" spans="1:12" ht="12.75">
      <c r="A10" s="3590" t="s">
        <v>1275</v>
      </c>
      <c r="B10" s="3645">
        <v>15</v>
      </c>
      <c r="C10" s="3648"/>
      <c r="D10" s="3636"/>
      <c r="E10" s="131" t="s">
        <v>1276</v>
      </c>
      <c r="F10" s="1756"/>
      <c r="G10" s="1756"/>
      <c r="H10" s="1756"/>
      <c r="I10" s="1372"/>
    </row>
    <row r="11" spans="1:12" ht="12.75">
      <c r="A11" s="3590"/>
      <c r="B11" s="3645"/>
      <c r="C11" s="3649"/>
      <c r="D11" s="3636"/>
      <c r="E11" s="131" t="s">
        <v>1277</v>
      </c>
      <c r="F11" s="1756"/>
      <c r="G11" s="1756"/>
      <c r="H11" s="1756"/>
      <c r="I11" s="1372"/>
    </row>
    <row r="12" spans="1:12" ht="12.75">
      <c r="A12" s="3590" t="s">
        <v>1278</v>
      </c>
      <c r="B12" s="3645">
        <v>15</v>
      </c>
      <c r="C12" s="3648"/>
      <c r="D12" s="3636"/>
      <c r="E12" s="131" t="s">
        <v>1279</v>
      </c>
      <c r="F12" s="1756"/>
      <c r="G12" s="1756"/>
      <c r="H12" s="1756"/>
      <c r="I12" s="1372"/>
    </row>
    <row r="13" spans="1:12" ht="12.75">
      <c r="A13" s="3590"/>
      <c r="B13" s="3645"/>
      <c r="C13" s="3649"/>
      <c r="D13" s="3636"/>
      <c r="E13" s="131" t="s">
        <v>1280</v>
      </c>
      <c r="F13" s="1756"/>
      <c r="G13" s="1756"/>
      <c r="H13" s="1756"/>
      <c r="I13" s="1372"/>
    </row>
    <row r="14" spans="1:12" ht="12.75">
      <c r="A14" s="3590" t="s">
        <v>1281</v>
      </c>
      <c r="B14" s="3645">
        <v>30</v>
      </c>
      <c r="C14" s="3648">
        <v>6</v>
      </c>
      <c r="D14" s="3636">
        <v>4</v>
      </c>
      <c r="E14" s="131" t="s">
        <v>1282</v>
      </c>
      <c r="F14" s="1756"/>
      <c r="G14" s="1756"/>
      <c r="H14" s="1756"/>
      <c r="I14" s="1372"/>
    </row>
    <row r="15" spans="1:12" ht="12.75">
      <c r="A15" s="3590"/>
      <c r="B15" s="3645"/>
      <c r="C15" s="3650"/>
      <c r="D15" s="3636"/>
      <c r="E15" s="131" t="s">
        <v>1283</v>
      </c>
      <c r="F15" s="1756"/>
      <c r="G15" s="1756"/>
      <c r="H15" s="1756"/>
      <c r="I15" s="1372"/>
    </row>
    <row r="16" spans="1:12" ht="12.75">
      <c r="A16" s="3590"/>
      <c r="B16" s="3645"/>
      <c r="C16" s="3649"/>
      <c r="D16" s="363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7" t="s">
        <v>2130</v>
      </c>
      <c r="F18" s="3668"/>
      <c r="G18" s="3668"/>
      <c r="H18" s="3668"/>
      <c r="I18" s="3668"/>
      <c r="K18" s="302" t="s">
        <v>1289</v>
      </c>
      <c r="L18" s="302">
        <f>IF(C1="",'数据-汇总表'!E3,SUMIF(项目类型,C1,'数据-汇总表'!E17:E26)+SUMIF(项目类型,C1,'数据-汇总表'!I17:I26))</f>
        <v>89.68</v>
      </c>
      <c r="M18" s="302">
        <f>IF(C1="",'数据-汇总表'!E3,SUMIF(项目类型,C1,'数据-汇总表'!E17:E26))</f>
        <v>89.68</v>
      </c>
    </row>
    <row r="19" spans="1:36" ht="15">
      <c r="A19" s="1760" t="s">
        <v>1290</v>
      </c>
      <c r="B19" s="1761" t="s">
        <v>1291</v>
      </c>
      <c r="C19" s="134">
        <f ca="1">SUMIF(INDIRECT("'"&amp;C4&amp;"'"&amp;"!A:A"),结果表!B19,INDIRECT("'"&amp;C4&amp;"'"&amp;"!B:B"))</f>
        <v>136.26689999999999</v>
      </c>
      <c r="D19" s="135">
        <f ca="1">SUMIF(INDIRECT("'"&amp;D4&amp;"'"&amp;"!A:A"),结果表!B19,INDIRECT("'"&amp;D4&amp;"'"&amp;"!B:B"))</f>
        <v>80.404200000000003</v>
      </c>
      <c r="E19" s="1760" t="s">
        <v>1292</v>
      </c>
      <c r="F19" s="1761" t="s">
        <v>1291</v>
      </c>
      <c r="G19" s="136">
        <f ca="1">ROUND(C19*$C$18+D19*$D$18,0)</f>
        <v>114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15195</v>
      </c>
      <c r="D20" s="138">
        <f ca="1">SUMIF(INDIRECT("'"&amp;D4&amp;"'"&amp;"!A:A"),结果表!B20,INDIRECT("'"&amp;D4&amp;"'"&amp;"!B:B"))</f>
        <v>8966</v>
      </c>
      <c r="E20" s="1763"/>
      <c r="F20" s="1025" t="s">
        <v>1295</v>
      </c>
      <c r="G20" s="139">
        <f ca="1">ROUND(C20*$C$18+D20*$D$18,0)</f>
        <v>12703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0.69477340735931681</v>
      </c>
      <c r="E22" s="129"/>
      <c r="F22" s="129"/>
      <c r="G22" s="129"/>
      <c r="H22" s="129"/>
      <c r="I22" s="129"/>
    </row>
    <row r="23" spans="1:36" ht="13.5" thickBot="1">
      <c r="A23" s="1746"/>
      <c r="B23" s="1746"/>
      <c r="C23" s="1746"/>
      <c r="D23" s="1746"/>
      <c r="E23" s="129"/>
      <c r="F23" s="129"/>
      <c r="G23" s="129"/>
      <c r="H23" s="129"/>
      <c r="I23" s="129"/>
    </row>
    <row r="24" spans="1:36" ht="14.25">
      <c r="A24" s="3660" t="s">
        <v>1299</v>
      </c>
      <c r="B24" s="1761" t="s">
        <v>1291</v>
      </c>
      <c r="C24" s="136">
        <f>IF(B30=0,0,D30)</f>
        <v>0</v>
      </c>
      <c r="D24" s="1768"/>
      <c r="E24" s="129"/>
      <c r="F24" s="129"/>
      <c r="G24" s="129"/>
      <c r="H24" s="129"/>
      <c r="I24" s="129"/>
    </row>
    <row r="25" spans="1:36" ht="14.25">
      <c r="A25" s="366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12703</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5881</v>
      </c>
      <c r="D34" s="860">
        <f ca="1">IF(C33="自定义",ROUND(C34/C32,3),IF(C33="收益比率",SUMIF(INDIRECT("'"&amp;D33&amp;"'"&amp;"!b:b"),"土地收益比率",INDIRECT("'"&amp;D33&amp;"'"&amp;"!c:c")),SUMIF(INDIRECT("'"&amp;D33&amp;"'"&amp;"!b:b"),"土地成本比率",INDIRECT("'"&amp;D33&amp;"'"&amp;"!c:c"))))</f>
        <v>0.46299999999999997</v>
      </c>
      <c r="E34" s="1782" t="s">
        <v>1309</v>
      </c>
      <c r="F34" s="1329"/>
      <c r="G34" s="129"/>
      <c r="H34" s="129"/>
      <c r="I34" s="129"/>
    </row>
    <row r="35" spans="1:15" ht="15.75" thickBot="1">
      <c r="A35" s="1783"/>
      <c r="B35" s="1784" t="s">
        <v>1310</v>
      </c>
      <c r="C35" s="1169">
        <f ca="1">IF(C33="自定义",F35,ROUND(C32*D35,0))</f>
        <v>6822</v>
      </c>
      <c r="D35" s="1170">
        <f ca="1">IF(C33="自定义",ROUND(C35/C32,3),IF(C33="收益比率",SUMIF(INDIRECT("'"&amp;D33&amp;"'"&amp;"!b:b"),"建筑物收益比率",INDIRECT("'"&amp;D33&amp;"'"&amp;"!c:c")),SUMIF(INDIRECT("'"&amp;D33&amp;"'"&amp;"!b:b"),"建筑物成本比率",INDIRECT("'"&amp;D33&amp;"'"&amp;"!c:c"))))</f>
        <v>0.53700000000000003</v>
      </c>
      <c r="E35" s="1785" t="s">
        <v>1311</v>
      </c>
      <c r="F35" s="154"/>
      <c r="G35" s="129"/>
      <c r="H35" s="129"/>
      <c r="I35" s="129"/>
    </row>
    <row r="36" spans="1:15" ht="15.75" thickBot="1">
      <c r="A36" s="3637" t="s">
        <v>1312</v>
      </c>
      <c r="B36" s="1786" t="s">
        <v>1313</v>
      </c>
      <c r="C36" s="145"/>
      <c r="D36" s="1787"/>
      <c r="E36" s="1788"/>
      <c r="F36" s="1789"/>
      <c r="G36" s="129"/>
      <c r="H36" s="129"/>
      <c r="I36" s="129"/>
    </row>
    <row r="37" spans="1:15" ht="15.75" thickBot="1">
      <c r="A37" s="3638"/>
      <c r="B37" s="1673" t="s">
        <v>1314</v>
      </c>
      <c r="C37" s="147"/>
      <c r="D37" s="1138"/>
      <c r="E37" s="1138"/>
      <c r="F37" s="1789"/>
      <c r="G37" s="129"/>
      <c r="H37" s="129"/>
      <c r="I37" s="129"/>
    </row>
    <row r="38" spans="1:15" ht="15.75" thickBot="1">
      <c r="A38" s="363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7" t="s">
        <v>1326</v>
      </c>
      <c r="B45" s="3658"/>
      <c r="C45" s="3659"/>
      <c r="D45" s="155">
        <f ca="1">ROUND(H101*F45,0)</f>
        <v>114</v>
      </c>
      <c r="E45" s="156" t="s">
        <v>1327</v>
      </c>
      <c r="F45" s="157">
        <v>1</v>
      </c>
      <c r="G45" s="158" t="s">
        <v>1328</v>
      </c>
      <c r="H45" s="129"/>
      <c r="I45" s="129"/>
      <c r="J45" s="3577" t="s">
        <v>1329</v>
      </c>
      <c r="K45" s="3577"/>
      <c r="L45" s="3577"/>
      <c r="M45" s="3577"/>
      <c r="N45" s="3577"/>
      <c r="O45" s="3577"/>
    </row>
    <row r="46" spans="1:15" ht="14.25" customHeight="1">
      <c r="A46" s="3654" t="s">
        <v>1330</v>
      </c>
      <c r="B46" s="3655"/>
      <c r="C46" s="3655"/>
      <c r="D46" s="3655"/>
      <c r="E46" s="3655"/>
      <c r="F46" s="3655"/>
      <c r="G46" s="3656"/>
      <c r="H46" s="1805"/>
      <c r="I46" s="159"/>
      <c r="J46" s="2522">
        <v>1</v>
      </c>
      <c r="K46" s="3578" t="s">
        <v>1331</v>
      </c>
      <c r="L46" s="3578"/>
      <c r="M46" s="3579"/>
      <c r="N46" s="3579"/>
      <c r="O46" s="3579"/>
    </row>
    <row r="47" spans="1:15" ht="12" customHeight="1">
      <c r="A47" s="160" t="s">
        <v>1332</v>
      </c>
      <c r="B47" s="161"/>
      <c r="C47" s="162"/>
      <c r="D47" s="1086" t="s">
        <v>1333</v>
      </c>
      <c r="E47" s="302" t="s">
        <v>1334</v>
      </c>
      <c r="F47" s="163" t="s">
        <v>1335</v>
      </c>
      <c r="G47" s="2545" t="s">
        <v>1336</v>
      </c>
      <c r="H47" s="2546"/>
      <c r="I47" s="159"/>
      <c r="J47" s="2522">
        <v>2</v>
      </c>
      <c r="K47" s="3578" t="s">
        <v>1337</v>
      </c>
      <c r="L47" s="3578"/>
      <c r="M47" s="3580">
        <f>'数据-取费表'!B2</f>
        <v>45958</v>
      </c>
      <c r="N47" s="3580"/>
      <c r="O47" s="3580"/>
    </row>
    <row r="48" spans="1:15" ht="25.5">
      <c r="A48" s="3640" t="s">
        <v>1338</v>
      </c>
      <c r="B48" s="3641"/>
      <c r="C48" s="364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78" t="s">
        <v>1340</v>
      </c>
      <c r="L48" s="3578"/>
      <c r="M48" s="3581">
        <f ca="1">H101</f>
        <v>114</v>
      </c>
      <c r="N48" s="3581"/>
      <c r="O48" s="3581"/>
    </row>
    <row r="49" spans="1:35" ht="25.5" customHeight="1">
      <c r="A49" s="2332" t="s">
        <v>1341</v>
      </c>
      <c r="B49" s="3626" t="s">
        <v>1342</v>
      </c>
      <c r="C49" s="3626"/>
      <c r="D49" s="1589">
        <v>0</v>
      </c>
      <c r="E49" s="324" t="s">
        <v>1343</v>
      </c>
      <c r="F49" s="2423" t="s">
        <v>28</v>
      </c>
      <c r="G49" s="3609"/>
      <c r="H49" s="2309" t="s">
        <v>2133</v>
      </c>
      <c r="I49" s="2310"/>
      <c r="J49" s="2522">
        <v>4</v>
      </c>
      <c r="K49" s="3578" t="str">
        <f>IF(项目基本情况!E8="房地产抵押价值","房地产抵押价值","抵押担保权已注销时的房地产抵押价值")</f>
        <v>房地产抵押价值</v>
      </c>
      <c r="L49" s="3578"/>
      <c r="M49" s="3581">
        <f ca="1">IF(项目基本情况!E8="房地产抵押价值",H107,H109)</f>
        <v>114</v>
      </c>
      <c r="N49" s="3581"/>
      <c r="O49" s="3581"/>
    </row>
    <row r="50" spans="1:35" ht="25.5" customHeight="1">
      <c r="A50" s="2550"/>
      <c r="B50" s="3626" t="s">
        <v>1344</v>
      </c>
      <c r="C50" s="3626"/>
      <c r="D50" s="2551"/>
      <c r="E50" s="332"/>
      <c r="F50" s="2423"/>
      <c r="G50" s="3610"/>
      <c r="H50" s="2311" t="s">
        <v>2134</v>
      </c>
      <c r="I50" s="2310"/>
      <c r="J50" s="3577" t="s">
        <v>1345</v>
      </c>
      <c r="K50" s="3577"/>
      <c r="L50" s="3577"/>
      <c r="M50" s="3577"/>
      <c r="N50" s="3577"/>
      <c r="O50" s="3577"/>
    </row>
    <row r="51" spans="1:35" ht="20.45" customHeight="1">
      <c r="A51" s="2552"/>
      <c r="B51" s="3626" t="s">
        <v>1346</v>
      </c>
      <c r="C51" s="3626"/>
      <c r="D51" s="1086"/>
      <c r="E51" s="327"/>
      <c r="F51" s="2423"/>
      <c r="G51" s="3611"/>
      <c r="H51" s="2311" t="s">
        <v>2135</v>
      </c>
      <c r="I51" s="2310"/>
      <c r="J51" s="2523" t="s">
        <v>1347</v>
      </c>
      <c r="K51" s="3578" t="s">
        <v>1348</v>
      </c>
      <c r="L51" s="3578"/>
      <c r="M51" s="2523" t="s">
        <v>1349</v>
      </c>
      <c r="N51" s="2523" t="s">
        <v>1350</v>
      </c>
      <c r="O51" s="2523" t="s">
        <v>1351</v>
      </c>
    </row>
    <row r="52" spans="1:35" ht="24" customHeight="1">
      <c r="A52" s="2334" t="s">
        <v>1352</v>
      </c>
      <c r="B52" s="3626" t="s">
        <v>1353</v>
      </c>
      <c r="C52" s="3626"/>
      <c r="D52" s="1086">
        <f ca="1">ROUND(D45*'数据-取费表'!B41/(1+'数据-取费表'!C42),0)</f>
        <v>6</v>
      </c>
      <c r="E52" s="2333" t="s">
        <v>1354</v>
      </c>
      <c r="F52" s="2553">
        <f>'数据-取费表'!B41</f>
        <v>5.5000000000000007E-2</v>
      </c>
      <c r="G52" s="2554"/>
      <c r="H52" s="2543"/>
      <c r="I52" s="1806"/>
      <c r="J52" s="2522">
        <v>1</v>
      </c>
      <c r="K52" s="3603" t="s">
        <v>1355</v>
      </c>
      <c r="L52" s="3603"/>
      <c r="M52" s="2524" t="b">
        <f>D48</f>
        <v>0</v>
      </c>
      <c r="N52" s="2522" t="str">
        <f>E48</f>
        <v>销售额×税（费）率</v>
      </c>
      <c r="O52" s="2525">
        <f>F48</f>
        <v>5.5000000000000007E-2</v>
      </c>
    </row>
    <row r="53" spans="1:35" ht="12" customHeight="1">
      <c r="A53" s="2334" t="s">
        <v>1356</v>
      </c>
      <c r="B53" s="3627" t="s">
        <v>2290</v>
      </c>
      <c r="C53" s="3628"/>
      <c r="D53" s="1086">
        <f ca="1">ROUND(D45*'数据-取费表'!B41/(1+'数据-取费表'!C42),0)</f>
        <v>6</v>
      </c>
      <c r="E53" s="2333" t="s">
        <v>1354</v>
      </c>
      <c r="F53" s="2553">
        <f>'数据-取费表'!B41</f>
        <v>5.5000000000000007E-2</v>
      </c>
      <c r="G53" s="2554"/>
      <c r="H53" s="2543"/>
      <c r="I53" s="1806"/>
      <c r="J53" s="2522">
        <v>2</v>
      </c>
      <c r="K53" s="3603" t="s">
        <v>1357</v>
      </c>
      <c r="L53" s="3603"/>
      <c r="M53" s="2524">
        <f t="shared" ref="M53:O54" ca="1" si="0">D55</f>
        <v>0</v>
      </c>
      <c r="N53" s="2522" t="str">
        <f t="shared" si="0"/>
        <v>销售额×税（费）率</v>
      </c>
      <c r="O53" s="2525" t="str">
        <f t="shared" si="0"/>
        <v>免征</v>
      </c>
    </row>
    <row r="54" spans="1:35" ht="12" customHeight="1">
      <c r="A54" s="2334" t="s">
        <v>1358</v>
      </c>
      <c r="B54" s="3627" t="s">
        <v>2291</v>
      </c>
      <c r="C54" s="3628"/>
      <c r="D54" s="1086">
        <f ca="1">C68</f>
        <v>6</v>
      </c>
      <c r="E54" s="327" t="s">
        <v>1359</v>
      </c>
      <c r="F54" s="2553">
        <f>'数据-取费表'!B41</f>
        <v>5.5000000000000007E-2</v>
      </c>
      <c r="G54" s="2554"/>
      <c r="H54" s="2555"/>
      <c r="I54" s="1806"/>
      <c r="J54" s="2522">
        <v>3</v>
      </c>
      <c r="K54" s="3603" t="s">
        <v>1360</v>
      </c>
      <c r="L54" s="3603"/>
      <c r="M54" s="2524">
        <f t="shared" ca="1" si="0"/>
        <v>64</v>
      </c>
      <c r="N54" s="2522" t="str">
        <f t="shared" si="0"/>
        <v>增值额×税（费）率</v>
      </c>
      <c r="O54" s="2526" t="str">
        <f t="shared" si="0"/>
        <v>免征</v>
      </c>
    </row>
    <row r="55" spans="1:35" ht="24" customHeight="1">
      <c r="A55" s="3663" t="s">
        <v>1361</v>
      </c>
      <c r="B55" s="3641"/>
      <c r="C55" s="3641"/>
      <c r="D55" s="2323">
        <f ca="1">IF(H55="个人住宅",0,ROUND(D45*I55,0))</f>
        <v>0</v>
      </c>
      <c r="E55" s="2333"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f ca="1">D59</f>
        <v>1</v>
      </c>
      <c r="N55" s="2039" t="str">
        <f>E59</f>
        <v>差额计税</v>
      </c>
      <c r="O55" s="2528">
        <f>F59</f>
        <v>0.01</v>
      </c>
    </row>
    <row r="56" spans="1:35" ht="24.75">
      <c r="A56" s="3663" t="s">
        <v>1363</v>
      </c>
      <c r="B56" s="3641"/>
      <c r="C56" s="3641"/>
      <c r="D56" s="2323">
        <f ca="1">IF(H56="个人住宅",D57,D58)</f>
        <v>64</v>
      </c>
      <c r="E56" s="2333" t="s">
        <v>1364</v>
      </c>
      <c r="F56" s="2553" t="str">
        <f>IF(H56="正常",F58,"免征")</f>
        <v>免征</v>
      </c>
      <c r="G56" s="2556" t="s">
        <v>1365</v>
      </c>
      <c r="H56" s="2557"/>
      <c r="I56" s="1807"/>
      <c r="J56" s="2522" t="str">
        <f>IF(项目基本情况!K6="上海银行",IF(J55="",4,J55+1),"")</f>
        <v/>
      </c>
      <c r="K56" s="3584" t="str">
        <f>IF(项目基本情况!K6="上海银行","其他处置费用","")</f>
        <v/>
      </c>
      <c r="L56" s="3585"/>
      <c r="M56" s="2524" t="str">
        <f>IF(项目基本情况!K6="上海银行",M69,"")</f>
        <v/>
      </c>
      <c r="N56" s="3584" t="str">
        <f>IF(项目基本情况!K6="上海银行","包含处置中涉及的律师、诉讼、拍卖、评估等费用","")</f>
        <v/>
      </c>
      <c r="O56" s="3587"/>
    </row>
    <row r="57" spans="1:35" ht="12.75">
      <c r="A57" s="2334" t="s">
        <v>1341</v>
      </c>
      <c r="B57" s="3627" t="s">
        <v>1366</v>
      </c>
      <c r="C57" s="3628"/>
      <c r="D57" s="1589">
        <v>0</v>
      </c>
      <c r="E57" s="324" t="s">
        <v>1343</v>
      </c>
      <c r="F57" s="302"/>
      <c r="G57" s="2554"/>
      <c r="H57" s="2558"/>
      <c r="I57" s="1807"/>
      <c r="J57" s="3603">
        <f>IF(AND(J55="",J56=""),4,IF(项目基本情况!K6="上海银行",结果表!J56+1,结果表!J55+1))</f>
        <v>5</v>
      </c>
      <c r="K57" s="3603" t="s">
        <v>1367</v>
      </c>
      <c r="L57" s="2529" t="s">
        <v>1368</v>
      </c>
      <c r="M57" s="2530"/>
      <c r="N57" s="2531">
        <f ca="1">SUMIF(M52:M56,"&lt;9e307")</f>
        <v>65</v>
      </c>
      <c r="O57" s="2532"/>
      <c r="P57" s="2688">
        <f ca="1">N57/M49</f>
        <v>0.57017543859649122</v>
      </c>
    </row>
    <row r="58" spans="1:35" ht="24.75">
      <c r="A58" s="2334" t="s">
        <v>1352</v>
      </c>
      <c r="B58" s="3627" t="s">
        <v>1369</v>
      </c>
      <c r="C58" s="3626"/>
      <c r="D58" s="2323">
        <f ca="1">IF(H58="转让取得",C81,C97)</f>
        <v>64</v>
      </c>
      <c r="E58" s="2333" t="s">
        <v>1364</v>
      </c>
      <c r="F58" s="302" t="s">
        <v>28</v>
      </c>
      <c r="G58" s="2554"/>
      <c r="H58" s="2557"/>
      <c r="I58" s="1807"/>
      <c r="J58" s="3603"/>
      <c r="K58" s="3603"/>
      <c r="L58" s="2529" t="s">
        <v>1370</v>
      </c>
      <c r="M58" s="2533"/>
      <c r="N58" s="2534" t="str">
        <f ca="1">NUMBERSTRING(INT(N57*10000),2)&amp;"元整"</f>
        <v>陆拾伍万元整</v>
      </c>
      <c r="O58" s="2535"/>
    </row>
    <row r="59" spans="1:35" ht="24.75" thickBot="1">
      <c r="A59" s="3607" t="s">
        <v>1371</v>
      </c>
      <c r="B59" s="3608"/>
      <c r="C59" s="3608"/>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5">
        <f>J57+1</f>
        <v>6</v>
      </c>
      <c r="K59" s="3603" t="s">
        <v>1372</v>
      </c>
      <c r="L59" s="2522" t="s">
        <v>1368</v>
      </c>
      <c r="M59" s="2536"/>
      <c r="N59" s="2537">
        <f ca="1">M49-N57</f>
        <v>49</v>
      </c>
      <c r="O59" s="2538"/>
    </row>
    <row r="60" spans="1:35" ht="12" customHeight="1">
      <c r="A60" s="1808"/>
      <c r="B60" s="1746"/>
      <c r="C60" s="1746"/>
      <c r="D60" s="1746"/>
      <c r="E60" s="1577"/>
      <c r="F60" s="1807"/>
      <c r="G60" s="1807"/>
      <c r="H60" s="1809"/>
      <c r="I60" s="129"/>
      <c r="J60" s="3606"/>
      <c r="K60" s="3603"/>
      <c r="L60" s="2529" t="s">
        <v>1370</v>
      </c>
      <c r="M60" s="2533"/>
      <c r="N60" s="2534" t="str">
        <f ca="1">NUMBERSTRING(INT(N59*10000),2)&amp;"元整"</f>
        <v>肆拾玖万元整</v>
      </c>
      <c r="O60" s="2535"/>
    </row>
    <row r="61" spans="1:35" ht="13.5" thickBot="1">
      <c r="A61" s="3662" t="s">
        <v>1373</v>
      </c>
      <c r="B61" s="3662"/>
      <c r="C61" s="3662"/>
      <c r="D61" s="3662"/>
      <c r="E61" s="3662"/>
      <c r="F61" s="1807"/>
      <c r="G61" s="1807"/>
      <c r="H61" s="1809"/>
      <c r="I61" s="129"/>
      <c r="J61" s="2522">
        <f>J59+1</f>
        <v>7</v>
      </c>
      <c r="K61" s="3603" t="s">
        <v>1374</v>
      </c>
      <c r="L61" s="3603"/>
      <c r="M61" s="2539"/>
      <c r="N61" s="2540">
        <f ca="1">ROUND(N59*10000/'数据-汇总表'!E3,0)</f>
        <v>5464</v>
      </c>
      <c r="O61" s="2541"/>
    </row>
    <row r="62" spans="1:35" ht="12.75">
      <c r="A62" s="3622" t="s">
        <v>1375</v>
      </c>
      <c r="B62" s="3623"/>
      <c r="C62" s="2020"/>
      <c r="D62" s="2020" t="s">
        <v>1376</v>
      </c>
      <c r="E62" s="166" t="s">
        <v>1377</v>
      </c>
      <c r="F62" s="1807"/>
      <c r="G62" s="1807"/>
      <c r="H62" s="1809"/>
      <c r="I62" s="129"/>
    </row>
    <row r="63" spans="1:35" ht="12.75">
      <c r="A63" s="173" t="s">
        <v>330</v>
      </c>
      <c r="B63" s="167" t="s">
        <v>1378</v>
      </c>
      <c r="C63" s="2563">
        <f ca="1">ROUND((C64+C65)/(1+'数据-取费表'!C42),0)</f>
        <v>109</v>
      </c>
      <c r="D63" s="167"/>
      <c r="E63" s="168"/>
      <c r="F63" s="1807"/>
      <c r="G63" s="1807"/>
      <c r="H63" s="1809"/>
      <c r="I63" s="129"/>
      <c r="J63" s="3586" t="s">
        <v>1379</v>
      </c>
      <c r="K63" s="1331" t="s">
        <v>1380</v>
      </c>
      <c r="L63" s="1331">
        <f ca="1">IF(M49&gt;10000,M49*0.5%,IF(AND(M49&gt;1000,M49&lt;=10000),M49*1%,IF(AND(M49&gt;100,M49&lt;=1000),M49*3%,IF(AND(M49&gt;10,M49&lt;=100),M49*5%,M49*8%))))</f>
        <v>3.42</v>
      </c>
      <c r="M63" s="302">
        <f ca="1">ROUND(L63,1)</f>
        <v>3.4</v>
      </c>
      <c r="N63" s="2542"/>
      <c r="Z63" s="1751"/>
      <c r="AI63" s="1752"/>
    </row>
    <row r="64" spans="1:35" ht="14.25" customHeight="1">
      <c r="A64" s="169" t="s">
        <v>325</v>
      </c>
      <c r="B64" s="170" t="s">
        <v>1381</v>
      </c>
      <c r="C64" s="2564">
        <f ca="1">D45</f>
        <v>114</v>
      </c>
      <c r="D64" s="170" t="s">
        <v>26</v>
      </c>
      <c r="E64" s="172"/>
      <c r="F64" s="1807"/>
      <c r="G64" s="1807"/>
      <c r="H64" s="1809"/>
      <c r="I64" s="129"/>
      <c r="J64" s="3586"/>
      <c r="K64" s="1331" t="s">
        <v>1382</v>
      </c>
      <c r="L64" s="1331">
        <f ca="1">IF(M49&gt;2000,M49*0.5%,IF(AND(M49&gt;1000,M49&lt;=2000),M49*0.6%,IF(AND(M49&gt;500,M49&lt;=1000),M49*0.7%,IF(AND(M49&gt;200,M49&lt;=500),M49*0.8%,IF(AND(M49&gt;100,M49&lt;=200),M49*0.9%,IF(AND(M49&gt;50,M49&lt;=100),M49*1%,IF(AND(M49&gt;20,M49&lt;=50),M49*1.5%,IF(AND(M49&gt;10,M49&lt;=20),M49*2%,IF(AND(M49&gt;1,M49&lt;=10),M49*2.5%)))))))))</f>
        <v>1.026</v>
      </c>
      <c r="M64" s="302">
        <f t="shared" ref="M64:M65" ca="1" si="1">ROUND(L64,1)</f>
        <v>1</v>
      </c>
      <c r="N64" s="2543" t="s">
        <v>1383</v>
      </c>
      <c r="Z64" s="1751"/>
      <c r="AI64" s="1752"/>
    </row>
    <row r="65" spans="1:35" ht="14.25" customHeight="1">
      <c r="A65" s="169" t="s">
        <v>326</v>
      </c>
      <c r="B65" s="170" t="s">
        <v>1384</v>
      </c>
      <c r="C65" s="2565"/>
      <c r="D65" s="170"/>
      <c r="E65" s="172"/>
      <c r="F65" s="1807"/>
      <c r="G65" s="1807"/>
      <c r="H65" s="1809"/>
      <c r="I65" s="129"/>
      <c r="J65" s="3586"/>
      <c r="K65" s="1331" t="s">
        <v>1385</v>
      </c>
      <c r="L65" s="1331">
        <f ca="1">IF(M49&gt;1000,M49*0.1%,IF(AND(M49&gt;500,M49&lt;=1000),M49*0.5%,IF(AND(M49&gt;50,M49&lt;=500),M49*1%,IF(AND(M49&gt;1,M49&lt;=50),M49*1.5%))))</f>
        <v>1.1400000000000001</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586"/>
      <c r="K66" s="1331" t="s">
        <v>1387</v>
      </c>
      <c r="L66" s="1331">
        <f ca="1">M49*0.5%</f>
        <v>0.57000000000000006</v>
      </c>
      <c r="M66" s="302">
        <f ca="1">IF(L66&gt;0.5,0.5,ROUND(L66,0))</f>
        <v>0.5</v>
      </c>
      <c r="N66" s="2543" t="s">
        <v>1388</v>
      </c>
      <c r="Z66" s="1751"/>
      <c r="AI66" s="1752"/>
    </row>
    <row r="67" spans="1:35" ht="14.25" customHeight="1">
      <c r="A67" s="173" t="s">
        <v>328</v>
      </c>
      <c r="B67" s="174" t="s">
        <v>1389</v>
      </c>
      <c r="C67" s="2567">
        <f ca="1">C63-C66</f>
        <v>109</v>
      </c>
      <c r="D67" s="170" t="s">
        <v>26</v>
      </c>
      <c r="E67" s="172"/>
      <c r="F67" s="1807"/>
      <c r="G67" s="1807"/>
      <c r="H67" s="1809"/>
      <c r="I67" s="129"/>
      <c r="J67" s="3586"/>
      <c r="K67" s="1331" t="s">
        <v>1390</v>
      </c>
      <c r="L67" s="1331">
        <f ca="1">IF(M49&gt;=10000,(8.25+(M49-10000)*0.01%),IF(AND(M49&gt;=8000,M49&lt;10000),(7.85+(M49-8000)*0.02%),IF(AND(M49&gt;=5000,M49&lt;8000),(6.65+(M49-5000)*0.04%),IF(AND(M49&gt;=2000,M49&lt;5000),(4.25+(PM49-2000)*0.08%),IF(AND(M49&gt;=1000,M49&lt;2000),(2.75+(M49-1000)*0.15%),IF(AND(M49&gt;=100,M49&lt;1000),(0.5+(M49-100)*0.25%),IF(AND(M49&gt;0,M49&lt;100),M49*0.5%)))))))</f>
        <v>0.53500000000000003</v>
      </c>
      <c r="M67" s="302">
        <f ca="1">ROUND(L67*0.9,1)</f>
        <v>0.5</v>
      </c>
      <c r="N67" s="2542"/>
      <c r="Z67" s="1751"/>
      <c r="AI67" s="1752"/>
    </row>
    <row r="68" spans="1:35" ht="14.25" customHeight="1" thickBot="1">
      <c r="A68" s="176" t="s">
        <v>329</v>
      </c>
      <c r="B68" s="177" t="s">
        <v>1391</v>
      </c>
      <c r="C68" s="2568">
        <f ca="1">IF(C67&lt;=0,0,ROUND(C67*D68,0))</f>
        <v>6</v>
      </c>
      <c r="D68" s="2569">
        <f>'数据-取费表'!B41</f>
        <v>5.5000000000000007E-2</v>
      </c>
      <c r="E68" s="178"/>
      <c r="F68" s="1807"/>
      <c r="G68" s="1807"/>
      <c r="H68" s="1809"/>
      <c r="I68" s="129"/>
      <c r="J68" s="3586"/>
      <c r="K68" s="1331" t="s">
        <v>1392</v>
      </c>
      <c r="L68" s="1331">
        <f ca="1">IF(M49&gt;10000,M49*0.5%,IF(AND(M49&gt;5000,M49&lt;=10000),M49*1%,IF(AND(M49&gt;1000,M49&lt;=5000),M49*2%,IF(AND(M49&gt;200,M49&lt;=1000),M49*3%,M49*5%))))</f>
        <v>5.7</v>
      </c>
      <c r="M68" s="302">
        <f ca="1">ROUND(L68,1)</f>
        <v>5.7</v>
      </c>
      <c r="N68" s="2542"/>
      <c r="Z68" s="1751"/>
      <c r="AI68" s="1752"/>
    </row>
    <row r="69" spans="1:35" s="1771" customFormat="1" ht="16.5" customHeight="1">
      <c r="A69" s="1810"/>
      <c r="B69" s="1811"/>
      <c r="C69" s="1812"/>
      <c r="D69" s="1813"/>
      <c r="E69" s="1814"/>
      <c r="F69" s="1577"/>
      <c r="G69" s="1577"/>
      <c r="H69" s="1576"/>
      <c r="I69" s="1746"/>
      <c r="J69" s="3586"/>
      <c r="K69" s="1331" t="s">
        <v>1393</v>
      </c>
      <c r="L69" s="1331"/>
      <c r="M69" s="302">
        <f ca="1">ROUND(SUM(M63:M68),0)</f>
        <v>12</v>
      </c>
      <c r="N69" s="2544">
        <f ca="1">M69/M49</f>
        <v>0.10526315789473684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0" t="s">
        <v>1394</v>
      </c>
      <c r="B70" s="3631"/>
      <c r="C70" s="3631"/>
      <c r="D70" s="3631"/>
      <c r="E70" s="3631"/>
      <c r="F70" s="3631"/>
      <c r="G70" s="3631"/>
      <c r="H70" s="363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2" t="s">
        <v>1375</v>
      </c>
      <c r="B71" s="3623"/>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109</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7" t="s">
        <v>1402</v>
      </c>
      <c r="F76" s="3626"/>
      <c r="G76" s="3626"/>
      <c r="H76" s="362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19" t="s">
        <v>1406</v>
      </c>
      <c r="F78" s="3620"/>
      <c r="G78" s="3620"/>
      <c r="H78" s="362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108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0" t="s">
        <v>1410</v>
      </c>
      <c r="B83" s="3631"/>
      <c r="C83" s="3631"/>
      <c r="D83" s="3631"/>
      <c r="E83" s="3631"/>
      <c r="F83" s="3631"/>
      <c r="G83" s="3631"/>
      <c r="H83" s="363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2" t="s">
        <v>1375</v>
      </c>
      <c r="B84" s="362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8" t="s">
        <v>2128</v>
      </c>
      <c r="H90" s="358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9" t="s">
        <v>1419</v>
      </c>
      <c r="F91" s="3620"/>
      <c r="G91" s="362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9" t="s">
        <v>1422</v>
      </c>
      <c r="F92" s="3620"/>
      <c r="G92" s="3620"/>
      <c r="H92" s="362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19" t="s">
        <v>1406</v>
      </c>
      <c r="F93" s="3620"/>
      <c r="G93" s="3620"/>
      <c r="H93" s="362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4" t="s">
        <v>1426</v>
      </c>
      <c r="F94" s="3665"/>
      <c r="G94" s="3665"/>
      <c r="H94" s="36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108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9" t="s">
        <v>1428</v>
      </c>
      <c r="B100" s="3570"/>
      <c r="C100" s="3570"/>
      <c r="D100" s="3604"/>
      <c r="E100" s="3570" t="s">
        <v>1429</v>
      </c>
      <c r="F100" s="3570"/>
      <c r="G100" s="3570"/>
      <c r="H100" s="3604"/>
      <c r="I100" s="129"/>
    </row>
    <row r="101" spans="1:35" ht="18.75" customHeight="1">
      <c r="A101" s="3612" t="s">
        <v>1430</v>
      </c>
      <c r="B101" s="3613"/>
      <c r="C101" s="2584" t="str">
        <f>C4</f>
        <v>成本法 (元)</v>
      </c>
      <c r="D101" s="2585" t="str">
        <f>D4</f>
        <v>收益法 (元)</v>
      </c>
      <c r="E101" s="3582" t="s">
        <v>1431</v>
      </c>
      <c r="F101" s="3583"/>
      <c r="G101" s="1826" t="s">
        <v>1432</v>
      </c>
      <c r="H101" s="2594">
        <f ca="1">H118</f>
        <v>114</v>
      </c>
      <c r="I101" s="129"/>
    </row>
    <row r="102" spans="1:35" ht="18.75" customHeight="1">
      <c r="A102" s="3614" t="s">
        <v>1433</v>
      </c>
      <c r="B102" s="2583" t="s">
        <v>1432</v>
      </c>
      <c r="C102" s="2584">
        <f ca="1">IF(D32="楼面单价",ROUND(C19,0),C19)</f>
        <v>136</v>
      </c>
      <c r="D102" s="2585">
        <f ca="1">IF(D32="楼面单价",ROUND(D19,0),D19)</f>
        <v>80</v>
      </c>
      <c r="E102" s="3582"/>
      <c r="F102" s="3583"/>
      <c r="G102" s="1826" t="s">
        <v>1434</v>
      </c>
      <c r="H102" s="2554">
        <f ca="1">I118</f>
        <v>12703</v>
      </c>
      <c r="I102" s="129"/>
    </row>
    <row r="103" spans="1:35" ht="42.75" customHeight="1">
      <c r="A103" s="3614"/>
      <c r="B103" s="2583" t="s">
        <v>1434</v>
      </c>
      <c r="C103" s="2586">
        <f ca="1">C20</f>
        <v>15195</v>
      </c>
      <c r="D103" s="2587">
        <f ca="1">D20</f>
        <v>8966</v>
      </c>
      <c r="E103" s="3575" t="s">
        <v>1435</v>
      </c>
      <c r="F103" s="3576"/>
      <c r="G103" s="1827" t="s">
        <v>1436</v>
      </c>
      <c r="H103" s="2594">
        <f>IF(D36="正常操作",H104+H105+H106,H105+H106)</f>
        <v>0</v>
      </c>
      <c r="I103" s="129"/>
    </row>
    <row r="104" spans="1:35" ht="18.75" customHeight="1">
      <c r="A104" s="3614" t="s">
        <v>1437</v>
      </c>
      <c r="B104" s="2588" t="s">
        <v>1432</v>
      </c>
      <c r="C104" s="2589">
        <f ca="1">H118</f>
        <v>114</v>
      </c>
      <c r="D104" s="2590"/>
      <c r="E104" s="1673" t="s">
        <v>1438</v>
      </c>
      <c r="F104" s="1665"/>
      <c r="G104" s="1827" t="s">
        <v>1436</v>
      </c>
      <c r="H104" s="2595">
        <f>IF(D36="同一抵押权人同一抵押物续贷",C36&amp;"（续贷，未扣减，详见特别提示）",C36)</f>
        <v>0</v>
      </c>
      <c r="I104" s="129"/>
    </row>
    <row r="105" spans="1:35" ht="18.75" customHeight="1" thickBot="1">
      <c r="A105" s="3624"/>
      <c r="B105" s="2591" t="s">
        <v>1434</v>
      </c>
      <c r="C105" s="2592">
        <f ca="1">I118</f>
        <v>12703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5" t="str">
        <f>IF(项目基本情况!E8="已注销","——","3.房地产抵押价值")</f>
        <v>3.房地产抵押价值</v>
      </c>
      <c r="F107" s="3583"/>
      <c r="G107" s="1826" t="s">
        <v>1432</v>
      </c>
      <c r="H107" s="2594">
        <f ca="1">IF(E107="——","——",H101-H103)</f>
        <v>114</v>
      </c>
      <c r="I107" s="129"/>
    </row>
    <row r="108" spans="1:35" ht="18.75" customHeight="1">
      <c r="A108" s="129"/>
      <c r="B108" s="129"/>
      <c r="C108" s="129"/>
      <c r="D108" s="129"/>
      <c r="E108" s="3615"/>
      <c r="F108" s="3583"/>
      <c r="G108" s="1826" t="s">
        <v>1434</v>
      </c>
      <c r="H108" s="2554">
        <f ca="1">IF(H107=H101,H102,ROUND(H107*10000/'数据-汇总表'!E3,0))</f>
        <v>12703</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6" t="s">
        <v>1432</v>
      </c>
      <c r="H109" s="2597" t="str">
        <f>IF(E109="——","——",H101-H105-H106)</f>
        <v>——</v>
      </c>
      <c r="I109" s="129"/>
    </row>
    <row r="110" spans="1:35" ht="18.75" customHeight="1">
      <c r="A110" s="129"/>
      <c r="B110" s="129"/>
      <c r="C110" s="129"/>
      <c r="D110" s="129"/>
      <c r="E110" s="3615"/>
      <c r="F110" s="3583"/>
      <c r="G110" s="1826" t="s">
        <v>1434</v>
      </c>
      <c r="H110" s="2554"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6" t="s">
        <v>1432</v>
      </c>
      <c r="H111" s="2594" t="str">
        <f>IF(E111="——","——",N59)</f>
        <v>——</v>
      </c>
      <c r="I111" s="129"/>
    </row>
    <row r="112" spans="1:35" ht="18.75" customHeight="1" thickBot="1">
      <c r="A112" s="129"/>
      <c r="B112" s="129"/>
      <c r="C112" s="129"/>
      <c r="D112" s="129"/>
      <c r="E112" s="3617"/>
      <c r="F112" s="3618"/>
      <c r="G112" s="1829" t="s">
        <v>1434</v>
      </c>
      <c r="H112" s="2598" t="str">
        <f>IF(E111="——","——",N61)</f>
        <v>——</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3" t="s">
        <v>1442</v>
      </c>
      <c r="B115" s="3634"/>
      <c r="C115" s="3634"/>
      <c r="D115" s="3634"/>
      <c r="E115" s="3634"/>
      <c r="F115" s="3634"/>
      <c r="G115" s="3634"/>
      <c r="H115" s="3634"/>
      <c r="I115" s="3635"/>
    </row>
    <row r="116" spans="1:27" ht="27" customHeight="1">
      <c r="A116" s="3590" t="s">
        <v>1443</v>
      </c>
      <c r="B116" s="3594" t="s">
        <v>1444</v>
      </c>
      <c r="C116" s="3594" t="s">
        <v>1445</v>
      </c>
      <c r="D116" s="3600" t="s">
        <v>1446</v>
      </c>
      <c r="E116" s="3601"/>
      <c r="F116" s="3632" t="s">
        <v>1447</v>
      </c>
      <c r="G116" s="3632"/>
      <c r="H116" s="3590" t="s">
        <v>1448</v>
      </c>
      <c r="I116" s="3590"/>
    </row>
    <row r="117" spans="1:27" ht="18.75" customHeight="1">
      <c r="A117" s="3590"/>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89.68</v>
      </c>
      <c r="C118" s="2328">
        <f>M19</f>
        <v>0</v>
      </c>
      <c r="D118" s="2328">
        <f ca="1">ROUND(IF(D32="总价",C34,E118*B118/10000),0)</f>
        <v>53</v>
      </c>
      <c r="E118" s="2328">
        <f ca="1">ROUND(IF(C33="自定义",IF(D32="楼面单价",C34,D118*10000/B118),I118-G118),0)</f>
        <v>5881</v>
      </c>
      <c r="F118" s="2328">
        <f ca="1">ROUND(IF(D32="总价",C35,G118*B118/10000),0)</f>
        <v>61</v>
      </c>
      <c r="G118" s="2328">
        <f ca="1">ROUND(IF(D32="楼面单价",C35,F118*10000/B118),0)</f>
        <v>6822</v>
      </c>
      <c r="H118" s="2328">
        <f ca="1">ROUND(IF(D32="总价",C32,I118*B118/10000),0)</f>
        <v>114</v>
      </c>
      <c r="I118" s="2328">
        <f ca="1">ROUND(IF(D32="楼面单价",C32,H118*10000/B118),0)</f>
        <v>12703</v>
      </c>
    </row>
    <row r="119" spans="1:27" ht="18.75" customHeight="1">
      <c r="A119" s="3590" t="s">
        <v>1452</v>
      </c>
      <c r="B119" s="3590"/>
      <c r="C119" s="3590"/>
      <c r="D119" s="3596" t="str">
        <f ca="1">NUMBERSTRING(INT(D118*10000),2)&amp;"元整"</f>
        <v>伍拾叁万元整</v>
      </c>
      <c r="E119" s="3597"/>
      <c r="F119" s="3596" t="str">
        <f ca="1">NUMBERSTRING(INT(F118*10000),2)&amp;"元整"</f>
        <v>陆拾壹万元整</v>
      </c>
      <c r="G119" s="3597"/>
      <c r="H119" s="3596" t="str">
        <f ca="1">NUMBERSTRING(INT(H118*10000),2)&amp;"元整"</f>
        <v>壹佰壹拾肆万元整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8"/>
      <c r="C121" s="3597"/>
      <c r="D121" s="3596" t="str">
        <f>IF(D120=0,"零元整",NUMBERSTRING(INT(D120*10000),2)&amp;"元整")</f>
        <v>零元整</v>
      </c>
      <c r="E121" s="3598"/>
      <c r="F121" s="3598"/>
      <c r="G121" s="3598"/>
      <c r="H121" s="3598"/>
      <c r="I121" s="3597"/>
      <c r="AA121" s="724"/>
    </row>
    <row r="122" spans="1:27" ht="18.75" customHeight="1">
      <c r="A122" s="3602" t="str">
        <f>IF(项目基本情况!B9="房地产市场价值","",MID(E107,3,LEN(E107)-2))</f>
        <v>房地产抵押价值</v>
      </c>
      <c r="B122" s="3602"/>
      <c r="C122" s="3602"/>
      <c r="D122" s="3591">
        <f ca="1">H107</f>
        <v>114</v>
      </c>
      <c r="E122" s="3592"/>
      <c r="F122" s="3592"/>
      <c r="G122" s="3592"/>
      <c r="H122" s="3592"/>
      <c r="I122" s="3593"/>
      <c r="AA122" s="724"/>
    </row>
    <row r="123" spans="1:27" ht="18.75" customHeight="1">
      <c r="A123" s="3590" t="s">
        <v>1452</v>
      </c>
      <c r="B123" s="3590"/>
      <c r="C123" s="3590"/>
      <c r="D123" s="3596" t="str">
        <f ca="1">NUMBERSTRING(INT(D122*10000),2)&amp;"元整"</f>
        <v>壹佰壹拾肆万元整</v>
      </c>
      <c r="E123" s="3598"/>
      <c r="F123" s="3598"/>
      <c r="G123" s="3598"/>
      <c r="H123" s="3598"/>
      <c r="I123" s="3597"/>
      <c r="AA123" s="724"/>
    </row>
    <row r="124" spans="1:27" ht="18.75" customHeight="1">
      <c r="A124" s="3602" t="str">
        <f>IF(项目基本情况!B9="房地产市场价值","",MID(E109,3,LEN(E109)-2))</f>
        <v/>
      </c>
      <c r="B124" s="3602"/>
      <c r="C124" s="3602"/>
      <c r="D124" s="3591" t="str">
        <f>H109</f>
        <v>——</v>
      </c>
      <c r="E124" s="3592"/>
      <c r="F124" s="3592"/>
      <c r="G124" s="3592"/>
      <c r="H124" s="3592"/>
      <c r="I124" s="3593"/>
      <c r="AA124" s="724"/>
    </row>
    <row r="125" spans="1:27" ht="18.75" customHeight="1">
      <c r="A125" s="3590" t="s">
        <v>1452</v>
      </c>
      <c r="B125" s="3590"/>
      <c r="C125" s="3590"/>
      <c r="D125" s="3596" t="e">
        <f>NUMBERSTRING(INT(D124*10000),2)&amp;"元整"</f>
        <v>#VALUE!</v>
      </c>
      <c r="E125" s="3598"/>
      <c r="F125" s="3598"/>
      <c r="G125" s="3598"/>
      <c r="H125" s="3598"/>
      <c r="I125" s="3597"/>
      <c r="AA125" s="724"/>
    </row>
    <row r="126" spans="1:27" ht="18.75" customHeight="1">
      <c r="A126" s="3602" t="str">
        <f>IF(项目基本情况!B9="房地产市场价值","",MID(E111,3,LEN(E111)-2))</f>
        <v/>
      </c>
      <c r="B126" s="3602"/>
      <c r="C126" s="3602"/>
      <c r="D126" s="3591" t="str">
        <f>H111</f>
        <v>——</v>
      </c>
      <c r="E126" s="3592"/>
      <c r="F126" s="3592"/>
      <c r="G126" s="3592"/>
      <c r="H126" s="3592"/>
      <c r="I126" s="3593"/>
      <c r="AA126" s="724"/>
    </row>
    <row r="127" spans="1:27" ht="18.75" customHeight="1">
      <c r="A127" s="3590" t="s">
        <v>1452</v>
      </c>
      <c r="B127" s="3590"/>
      <c r="C127" s="3590"/>
      <c r="D127" s="3596" t="e">
        <f>NUMBERSTRING(INT(D126*10000),2)&amp;"元整"</f>
        <v>#VALUE!</v>
      </c>
      <c r="E127" s="3598"/>
      <c r="F127" s="3598"/>
      <c r="G127" s="3598"/>
      <c r="H127" s="3598"/>
      <c r="I127" s="3597"/>
      <c r="AA127" s="724"/>
    </row>
    <row r="128" spans="1:27" ht="21.75" customHeight="1">
      <c r="A128" s="3599" t="s">
        <v>1453</v>
      </c>
      <c r="B128" s="3599"/>
      <c r="C128" s="3599"/>
      <c r="D128" s="3599"/>
      <c r="E128" s="3599"/>
      <c r="F128" s="3599"/>
      <c r="G128" s="3599"/>
      <c r="H128" s="3599"/>
      <c r="I128" s="359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1.7936000000000001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1.7936000000000001</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89.68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89.68</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89.68</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69" t="s">
        <v>1544</v>
      </c>
    </row>
    <row r="43" spans="1:7" ht="13.5" customHeight="1">
      <c r="A43" s="779" t="s">
        <v>347</v>
      </c>
      <c r="B43" s="215" t="s">
        <v>1545</v>
      </c>
      <c r="C43" s="238">
        <f ca="1">ROUND(IF('数据-取费表'!B22&lt;=1,C39*F22*'数据-取费表'!B21/2,C39*(POWER((1+F22),'数据-取费表'!B21/2)-1)),0)</f>
        <v>0</v>
      </c>
      <c r="D43" s="238"/>
      <c r="E43" s="238"/>
      <c r="F43" s="239"/>
      <c r="G43" s="3670"/>
    </row>
    <row r="44" spans="1:7" ht="13.5" customHeight="1">
      <c r="A44" s="779" t="s">
        <v>348</v>
      </c>
      <c r="B44" s="215" t="s">
        <v>1546</v>
      </c>
      <c r="C44" s="238">
        <f ca="1">ROUND(IF('数据-取费表'!B22&lt;=1,C40*F22*'数据-取费表'!B21/2,C40*(POWER((1+F22),'数据-取费表'!B21/2)-1)),4)</f>
        <v>5.9999999999999995E-4</v>
      </c>
      <c r="D44" s="238"/>
      <c r="E44" s="238"/>
      <c r="F44" s="239"/>
      <c r="G44" s="3671"/>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47</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6" t="str">
        <f>项目基本情况!B1</f>
        <v>北京市通州区兴贸三街19号院1号楼4层507办公用房房地产抵押价值预评估</v>
      </c>
      <c r="C37" s="3486"/>
      <c r="D37" s="3486"/>
      <c r="E37" s="3486"/>
      <c r="F37" s="3486"/>
      <c r="G37" s="3486"/>
      <c r="H37" s="3486"/>
      <c r="I37" s="348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32" sqref="C32:C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136.26689999999999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15195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694969.68</v>
      </c>
      <c r="D5" s="211" t="s">
        <v>1469</v>
      </c>
      <c r="E5" s="212" t="s">
        <v>1470</v>
      </c>
      <c r="F5" s="212" t="s">
        <v>1471</v>
      </c>
      <c r="G5" s="213"/>
    </row>
    <row r="6" spans="1:8" s="214" customFormat="1" ht="13.5" customHeight="1">
      <c r="A6" s="777" t="s">
        <v>1472</v>
      </c>
      <c r="B6" s="215" t="s">
        <v>1473</v>
      </c>
      <c r="C6" s="216">
        <f>基准地价修正!C33*基准地价修正!D33</f>
        <v>656995.68000000005</v>
      </c>
      <c r="D6" s="217"/>
      <c r="E6" s="218"/>
      <c r="F6" s="218"/>
      <c r="G6" s="219"/>
    </row>
    <row r="7" spans="1:8" s="214" customFormat="1" ht="13.5" customHeight="1">
      <c r="A7" s="777" t="s">
        <v>1474</v>
      </c>
      <c r="B7" s="215" t="s">
        <v>1475</v>
      </c>
      <c r="C7" s="220">
        <f>ROUND(C6*F7,0)</f>
        <v>20038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17936</v>
      </c>
      <c r="D8" s="222"/>
      <c r="E8" s="220"/>
      <c r="F8" s="221"/>
      <c r="G8" s="1855" t="s">
        <v>3479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17936</v>
      </c>
      <c r="D10" s="844">
        <f ca="1">IF(B1="",'数据-汇总表'!E6,IF(INDIRECT("'数据-取费表'!c"&amp;$G$1)="住宅",INDIRECT("'数据-取费表'!s"&amp;$G$1),INDIRECT("'数据-取费表'!k"&amp;$G$1)+INDIRECT("'数据-取费表'!s"&amp;$G$1)))</f>
        <v>89.68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89.68</v>
      </c>
      <c r="E19" s="211">
        <f>'数据-取费表'!B31</f>
        <v>200</v>
      </c>
      <c r="F19" s="231"/>
      <c r="G19" s="1855" t="s">
        <v>3480</v>
      </c>
    </row>
    <row r="20" spans="1:7" s="214" customFormat="1" ht="13.5" customHeight="1">
      <c r="A20" s="255" t="s">
        <v>1574</v>
      </c>
      <c r="B20" s="210" t="s">
        <v>1575</v>
      </c>
      <c r="C20" s="232">
        <f ca="1">ROUND((C5+C19)*F20,0)</f>
        <v>20849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44839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44186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653</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107373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107373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939427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401766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358720</v>
      </c>
      <c r="D34" s="217"/>
      <c r="E34" s="220"/>
      <c r="F34" s="257"/>
      <c r="G34" s="219"/>
    </row>
    <row r="35" spans="1:7" ht="13.5" customHeight="1">
      <c r="A35" s="779" t="s">
        <v>351</v>
      </c>
      <c r="B35" s="215" t="s">
        <v>1527</v>
      </c>
      <c r="C35" s="220">
        <f ca="1">ROUND(C34*F35,0)</f>
        <v>17936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17936</v>
      </c>
      <c r="D37" s="217">
        <f ca="1">D19</f>
        <v>89.68</v>
      </c>
      <c r="E37" s="249">
        <f>'数据-取费表'!B35</f>
        <v>200</v>
      </c>
      <c r="F37" s="259"/>
      <c r="G37" s="261"/>
    </row>
    <row r="38" spans="1:7" ht="13.5" customHeight="1">
      <c r="A38" s="779" t="s">
        <v>354</v>
      </c>
      <c r="B38" s="215" t="s">
        <v>1533</v>
      </c>
      <c r="C38" s="220">
        <f ca="1">ROUND(C34*F38,0)</f>
        <v>7174</v>
      </c>
      <c r="D38" s="220"/>
      <c r="E38" s="220"/>
      <c r="F38" s="259">
        <f>'数据-取费表'!B36</f>
        <v>0.02</v>
      </c>
      <c r="G38" s="219" t="s">
        <v>1528</v>
      </c>
    </row>
    <row r="39" spans="1:7" s="214" customFormat="1" ht="13.5" customHeight="1">
      <c r="A39" s="255" t="s">
        <v>1534</v>
      </c>
      <c r="B39" s="210" t="s">
        <v>1535</v>
      </c>
      <c r="C39" s="232">
        <f ca="1">ROUND(C33*F20,0)</f>
        <v>12053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12952</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12575</v>
      </c>
      <c r="D42" s="238"/>
      <c r="E42" s="238"/>
      <c r="F42" s="239"/>
      <c r="G42" s="3669" t="s">
        <v>1591</v>
      </c>
    </row>
    <row r="43" spans="1:7" ht="13.5" customHeight="1">
      <c r="A43" s="779" t="s">
        <v>347</v>
      </c>
      <c r="B43" s="215" t="s">
        <v>1545</v>
      </c>
      <c r="C43" s="238">
        <f ca="1">ROUND(IF('数据-取费表'!B22&lt;=1,C39*F22*'数据-取费表'!B20/2,C39*(POWER((1+F22),'数据-取费表'!B20/2)-1)),0)</f>
        <v>377</v>
      </c>
      <c r="D43" s="238"/>
      <c r="E43" s="238"/>
      <c r="F43" s="239"/>
      <c r="G43" s="3670"/>
    </row>
    <row r="44" spans="1:7" ht="13.5" customHeight="1">
      <c r="A44" s="779" t="s">
        <v>348</v>
      </c>
      <c r="B44" s="215" t="s">
        <v>1546</v>
      </c>
      <c r="C44" s="238">
        <f ca="1">ROUND(IF('数据-取费表'!B22&lt;=1,C40*F22*'数据-取费表'!B20/2,C40*(POWER((1+F22),'数据-取费表'!B20/2)-1)),4)</f>
        <v>5.9999999999999995E-4</v>
      </c>
      <c r="D44" s="238"/>
      <c r="E44" s="238"/>
      <c r="F44" s="239"/>
      <c r="G44" s="3671"/>
    </row>
    <row r="45" spans="1:7" s="214" customFormat="1" ht="13.5" customHeight="1">
      <c r="A45" s="255" t="s">
        <v>1547</v>
      </c>
      <c r="B45" s="244" t="s">
        <v>1513</v>
      </c>
      <c r="C45" s="245">
        <f ca="1">C46</f>
        <v>62073</v>
      </c>
      <c r="D45" s="235">
        <f ca="1">C47</f>
        <v>3.0000000000000001E-3</v>
      </c>
      <c r="E45" s="236" t="s">
        <v>1539</v>
      </c>
      <c r="F45" s="246">
        <f ca="1">F27</f>
        <v>0.15</v>
      </c>
      <c r="G45" s="247" t="s">
        <v>1548</v>
      </c>
    </row>
    <row r="46" spans="1:7" s="214" customFormat="1" ht="13.5" customHeight="1">
      <c r="A46" s="779" t="s">
        <v>346</v>
      </c>
      <c r="B46" s="248" t="s">
        <v>1549</v>
      </c>
      <c r="C46" s="249">
        <f ca="1">ROUND((C33+C39)*F27,0)</f>
        <v>62073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529052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423242</v>
      </c>
      <c r="D51" s="232"/>
      <c r="E51" s="232"/>
      <c r="F51" s="264"/>
      <c r="G51" s="234" t="s">
        <v>1560</v>
      </c>
    </row>
    <row r="52" spans="1:7" s="208" customFormat="1" ht="16.5" thickBot="1">
      <c r="A52" s="265" t="s">
        <v>1561</v>
      </c>
      <c r="B52" s="266"/>
      <c r="C52" s="267">
        <f ca="1">C31+C51</f>
        <v>1362669</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89.68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89.68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0.20639999999999992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89.68</v>
      </c>
      <c r="E20" s="21">
        <f>'数据-取费表'!B28</f>
        <v>200</v>
      </c>
      <c r="F20" s="803"/>
      <c r="G20" s="12"/>
      <c r="H20" s="808"/>
      <c r="I20" s="808"/>
      <c r="J20" s="808"/>
      <c r="K20" s="809"/>
    </row>
    <row r="21" spans="1:33" s="802" customFormat="1" ht="13.5" customHeight="1">
      <c r="A21" s="789" t="s">
        <v>357</v>
      </c>
      <c r="B21" s="812" t="s">
        <v>1628</v>
      </c>
      <c r="C21" s="813">
        <f ca="1">C16+C17+C18</f>
        <v>0.20639999999999992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4" t="s">
        <v>694</v>
      </c>
      <c r="C6" s="1073">
        <f ca="1">ROUND(F6*F8*F7*(1-F9)/10000,0)</f>
        <v>0</v>
      </c>
      <c r="D6" s="155" t="s">
        <v>2108</v>
      </c>
      <c r="E6" s="302" t="s">
        <v>696</v>
      </c>
      <c r="F6" s="303">
        <f ca="1">INDIRECT("'数据-取费表'!u"&amp;$G$1)</f>
        <v>0</v>
      </c>
      <c r="G6" s="1383"/>
      <c r="H6" s="1068" t="s">
        <v>398</v>
      </c>
      <c r="I6" s="3674" t="s">
        <v>694</v>
      </c>
      <c r="J6" s="301">
        <f ca="1">ROUND(M6*M8*M7*(1-M9)/10000,0)</f>
        <v>0</v>
      </c>
      <c r="K6" s="155" t="s">
        <v>2107</v>
      </c>
      <c r="L6" s="302" t="s">
        <v>696</v>
      </c>
      <c r="M6" s="303">
        <f ca="1">INDIRECT("'数据-取费表'!z"&amp;$G$1)</f>
        <v>0</v>
      </c>
    </row>
    <row r="7" spans="1:37" ht="18" customHeight="1">
      <c r="A7" s="1072"/>
      <c r="B7" s="3675"/>
      <c r="C7" s="1074"/>
      <c r="D7" s="307"/>
      <c r="E7" s="1075" t="s">
        <v>697</v>
      </c>
      <c r="F7" s="303">
        <f ca="1">IF(INDIRECT("'数据-取费表'!ah"&amp;$G$1)="",INDIRECT("'数据-取费表'!k"&amp;$G$1),INDIRECT("'数据-取费表'!ah"&amp;$G$1))</f>
        <v>0</v>
      </c>
      <c r="G7" s="1383"/>
      <c r="H7" s="304"/>
      <c r="I7" s="3675"/>
      <c r="J7" s="306"/>
      <c r="K7" s="307"/>
      <c r="L7" s="302" t="s">
        <v>697</v>
      </c>
      <c r="M7" s="303">
        <f ca="1">F7</f>
        <v>0</v>
      </c>
    </row>
    <row r="8" spans="1:37" ht="18" customHeight="1">
      <c r="A8" s="304"/>
      <c r="B8" s="3675"/>
      <c r="C8" s="306"/>
      <c r="D8" s="307"/>
      <c r="E8" s="302" t="s">
        <v>698</v>
      </c>
      <c r="F8" s="303">
        <f ca="1">INDIRECT("'数据-取费表'!ai"&amp;$G$1)</f>
        <v>0</v>
      </c>
      <c r="G8" s="1383"/>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3"/>
      <c r="H9" s="304"/>
      <c r="I9" s="367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2" t="s">
        <v>837</v>
      </c>
      <c r="L53" s="367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89.68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66</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11002</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7360</v>
      </c>
      <c r="C3" s="1998" t="s">
        <v>1941</v>
      </c>
      <c r="D3" s="1999" t="s">
        <v>1942</v>
      </c>
      <c r="E3" s="3418" t="s">
        <v>3408</v>
      </c>
      <c r="F3" s="2003" t="s">
        <v>3466</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8672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4"/>
      <c r="B4" s="3685"/>
      <c r="C4" s="3685"/>
      <c r="D4" s="3686"/>
      <c r="E4" s="3686"/>
      <c r="F4" s="3686"/>
      <c r="G4" s="3686"/>
      <c r="H4" s="3686"/>
      <c r="I4" s="3686"/>
      <c r="J4" s="368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7329</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6464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6212</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81" t="s">
        <v>1960</v>
      </c>
      <c r="X8" s="368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3"/>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88" t="s">
        <v>3253</v>
      </c>
      <c r="B20" s="167" t="s">
        <v>1994</v>
      </c>
      <c r="C20" s="3323">
        <f>ROUND(IF(F21="与级别开发程度一致",0,(G21-E21)/C21),0)</f>
        <v>-36</v>
      </c>
      <c r="D20" s="3339" t="s">
        <v>1998</v>
      </c>
      <c r="E20" s="3340"/>
      <c r="F20" s="3694" t="s">
        <v>1995</v>
      </c>
      <c r="G20" s="3695"/>
      <c r="H20" s="3324" t="s">
        <v>3469</v>
      </c>
      <c r="I20" s="3324" t="s">
        <v>3468</v>
      </c>
      <c r="J20" s="3325" t="s">
        <v>3470</v>
      </c>
      <c r="K20" s="2046" t="s">
        <v>3471</v>
      </c>
      <c r="L20" s="2046" t="s">
        <v>3472</v>
      </c>
      <c r="M20" s="2046" t="s">
        <v>3473</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68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3482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45958</v>
      </c>
      <c r="H23" s="3341" t="s">
        <v>3474</v>
      </c>
      <c r="I23" s="3342" t="str">
        <f>IF(H23="季度增幅（自定义）",SUMIF(N25:N28,E2,O25:O28),"")</f>
        <v/>
      </c>
      <c r="J23" s="3444" t="s">
        <v>3475</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0.91679999999999995</v>
      </c>
      <c r="D24" s="2059" t="s">
        <v>2007</v>
      </c>
      <c r="E24" s="1334">
        <f>存贷款利率!E28/100</f>
        <v>4.3499999999999997E-2</v>
      </c>
      <c r="F24" s="2059" t="s">
        <v>1999</v>
      </c>
      <c r="G24" s="767">
        <f>SUMIF(M30:Q30,E2,M33:Q33)</f>
        <v>5.5E-2</v>
      </c>
      <c r="H24" s="2059" t="s">
        <v>2008</v>
      </c>
      <c r="I24" s="768">
        <f>SUMIF('数据-取费表'!C6:C15,E2,'数据-取费表'!F6:F15)/COUNTIF('数据-取费表'!C6:C15,E2)</f>
        <v>35.909999999999997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66</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7326</v>
      </c>
      <c r="D33" s="2097">
        <f>'数据-汇总表'!F19</f>
        <v>89.68</v>
      </c>
      <c r="E33" s="772">
        <f>ROUND(C33*D33/10000,0)</f>
        <v>66</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1832</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2"/>
      <c r="B37" s="2112" t="s">
        <v>2036</v>
      </c>
      <c r="C37" s="175">
        <f>ROUND(D5*C22*C23*C24*C28*F37,0)</f>
        <v>4395</v>
      </c>
      <c r="D37" s="2097"/>
      <c r="E37" s="171">
        <f>ROUND(C37*D37/10000,0)</f>
        <v>0</v>
      </c>
      <c r="F37" s="171">
        <f>SUMIF(修正!A59:A70,G2,修正!B59:B70)</f>
        <v>0.6</v>
      </c>
      <c r="G37" s="171">
        <f>ROUND(IF(E2="工业",C37*$M$42,C37*$M$41),0)</f>
        <v>1099</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3"/>
      <c r="B38" s="2040" t="s">
        <v>2037</v>
      </c>
      <c r="C38" s="175">
        <f>ROUND(D5*C22*C23*C24*C28*F38,0)</f>
        <v>2198</v>
      </c>
      <c r="D38" s="2097"/>
      <c r="E38" s="171">
        <f t="shared" ref="E38:E42" si="4">ROUND(C38*D38/10000,0)</f>
        <v>0</v>
      </c>
      <c r="F38" s="171">
        <f>SUMIF(修正!A59:A70,G2,修正!C59:C70)</f>
        <v>0.3</v>
      </c>
      <c r="G38" s="171">
        <f>ROUND(IF(E2="工业",C38*$M$42,C38*$M$41),0)</f>
        <v>550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3"/>
      <c r="B39" s="2040" t="s">
        <v>3256</v>
      </c>
      <c r="C39" s="175">
        <f>ROUND(D5*C22*C23*C24*C28*F39,0)</f>
        <v>1831</v>
      </c>
      <c r="D39" s="2097"/>
      <c r="E39" s="171">
        <f t="shared" si="4"/>
        <v>0</v>
      </c>
      <c r="F39" s="171">
        <f>SUMIF(修正!A59:A70,G2,修正!D59:D70)</f>
        <v>0.25</v>
      </c>
      <c r="G39" s="171">
        <f>ROUND(IF(E2="工业",C39*$M$42,C39*$M$41),0)</f>
        <v>458</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1831</v>
      </c>
      <c r="D40" s="2097"/>
      <c r="E40" s="171">
        <f t="shared" si="4"/>
        <v>0</v>
      </c>
      <c r="F40" s="175">
        <f>SUMIF(修正!A59:A70,G2,修正!E59:E70)</f>
        <v>0.25</v>
      </c>
      <c r="G40" s="171">
        <f>ROUND(IF(E2="工业",C40*$M$42,C40*$M$41),0)</f>
        <v>458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1831</v>
      </c>
      <c r="D41" s="2097"/>
      <c r="E41" s="171">
        <f t="shared" si="4"/>
        <v>0</v>
      </c>
      <c r="F41" s="175">
        <f>SUMIF(修正!A59:A70,G2,修正!F59:F70)</f>
        <v>0.25</v>
      </c>
      <c r="G41" s="171">
        <f>ROUND(IF(E2="工业",C41*$M$42,C41*$M$41),0)</f>
        <v>458</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1099</v>
      </c>
      <c r="D42" s="2102"/>
      <c r="E42" s="187">
        <f t="shared" si="4"/>
        <v>0</v>
      </c>
      <c r="F42" s="766">
        <f>SUMIF(修正!A59:A70,G2,修正!G59:G70)</f>
        <v>0.15</v>
      </c>
      <c r="G42" s="187">
        <f>ROUND(IF(E2="工业",C42*$M$42,C42*$M$41),0)</f>
        <v>275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0.91679999999999995</v>
      </c>
      <c r="D44" s="171" t="s">
        <v>1999</v>
      </c>
      <c r="E44" s="2152">
        <f>G24</f>
        <v>5.5E-2</v>
      </c>
      <c r="F44" s="171" t="s">
        <v>2008</v>
      </c>
      <c r="G44" s="183">
        <f>项目基本情况!E15</f>
        <v>35.909999999999997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3477</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3476</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3477</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3477</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3478</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3476</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90" t="s">
        <v>3291</v>
      </c>
      <c r="B103" s="3690"/>
      <c r="C103" s="3690"/>
      <c r="D103" s="3690"/>
      <c r="E103" s="3690"/>
      <c r="F103" s="3690"/>
      <c r="G103" s="3690"/>
      <c r="H103" s="3690"/>
      <c r="I103" s="3690"/>
      <c r="J103" s="3690"/>
      <c r="K103" s="3388"/>
      <c r="L103" s="3388"/>
      <c r="M103" s="3388"/>
      <c r="N103" s="3388"/>
    </row>
    <row r="104" spans="1:14">
      <c r="A104" s="3691" t="s">
        <v>3292</v>
      </c>
      <c r="B104" s="3691" t="s">
        <v>3293</v>
      </c>
      <c r="C104" s="3389" t="s">
        <v>3294</v>
      </c>
      <c r="D104" s="3390"/>
      <c r="E104" s="3390"/>
      <c r="F104" s="3390"/>
      <c r="G104" s="3390"/>
      <c r="H104" s="3390"/>
      <c r="I104" s="3390"/>
      <c r="J104" s="3391"/>
      <c r="K104" s="3392"/>
      <c r="L104" s="3392"/>
      <c r="M104" s="3392"/>
      <c r="N104" s="3392"/>
    </row>
    <row r="105" spans="1:14">
      <c r="A105" s="3691"/>
      <c r="B105" s="3691"/>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677"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8"/>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7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80" t="s">
        <v>3308</v>
      </c>
      <c r="B113" s="3680"/>
      <c r="C113" s="3680"/>
      <c r="D113" s="3680"/>
      <c r="E113" s="3680"/>
      <c r="F113" s="3680"/>
      <c r="G113" s="3680"/>
      <c r="H113" s="3680"/>
      <c r="I113" s="3680"/>
      <c r="J113" s="368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H2" sqref="H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35.909999999999997</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80.404200000000003</v>
      </c>
      <c r="C2" s="1386" t="s">
        <v>879</v>
      </c>
      <c r="D2" s="1470">
        <f ca="1">C40+J29+L46</f>
        <v>804042</v>
      </c>
      <c r="E2" s="1387" t="s">
        <v>880</v>
      </c>
      <c r="F2" s="1388"/>
      <c r="G2" s="2704"/>
      <c r="H2" s="2693"/>
      <c r="I2" s="2693"/>
      <c r="J2" s="2693"/>
      <c r="K2" s="2694"/>
      <c r="L2" s="2693"/>
      <c r="M2" s="2693"/>
    </row>
    <row r="3" spans="1:37" ht="18" customHeight="1" thickBot="1">
      <c r="A3" s="1389" t="s">
        <v>881</v>
      </c>
      <c r="B3" s="1390">
        <f ca="1">IF(ISERROR(D2/F43),0,ROUND(D2/F43,0))</f>
        <v>8966</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50145</v>
      </c>
      <c r="D5" s="1363" t="s">
        <v>889</v>
      </c>
      <c r="E5" s="1070"/>
      <c r="F5" s="1071"/>
      <c r="G5" s="1383"/>
      <c r="H5" s="299">
        <v>1</v>
      </c>
      <c r="I5" s="300" t="s">
        <v>888</v>
      </c>
      <c r="J5" s="1069">
        <f ca="1">J6+J10+J12</f>
        <v>0</v>
      </c>
      <c r="K5" s="1363" t="s">
        <v>889</v>
      </c>
      <c r="L5" s="1070"/>
      <c r="M5" s="1071"/>
    </row>
    <row r="6" spans="1:37" ht="18" customHeight="1">
      <c r="A6" s="1068" t="s">
        <v>398</v>
      </c>
      <c r="B6" s="3674" t="s">
        <v>694</v>
      </c>
      <c r="C6" s="1073">
        <f ca="1">ROUND(F6*F8*F7*(1-F9),0)</f>
        <v>50082</v>
      </c>
      <c r="D6" s="155" t="s">
        <v>2105</v>
      </c>
      <c r="E6" s="302" t="s">
        <v>696</v>
      </c>
      <c r="F6" s="303">
        <f ca="1">INDIRECT("'数据-取费表'!u"&amp;$G$1)</f>
        <v>1.7</v>
      </c>
      <c r="G6" s="1383"/>
      <c r="H6" s="1068" t="s">
        <v>398</v>
      </c>
      <c r="I6" s="3674" t="s">
        <v>694</v>
      </c>
      <c r="J6" s="301">
        <f ca="1">ROUND(M6*M8*M7*(1-M9),0)</f>
        <v>0</v>
      </c>
      <c r="K6" s="1375" t="s">
        <v>2106</v>
      </c>
      <c r="L6" s="302" t="s">
        <v>696</v>
      </c>
      <c r="M6" s="303">
        <f ca="1">INDIRECT("'数据-取费表'!z"&amp;$G$1)</f>
        <v>0</v>
      </c>
    </row>
    <row r="7" spans="1:37" ht="18" customHeight="1">
      <c r="A7" s="1072"/>
      <c r="B7" s="3675"/>
      <c r="C7" s="1074"/>
      <c r="D7" s="307"/>
      <c r="E7" s="1075" t="s">
        <v>697</v>
      </c>
      <c r="F7" s="303">
        <f ca="1">IF(INDIRECT("'数据-取费表'!ah"&amp;$G$1)="",INDIRECT("'数据-取费表'!k"&amp;$G$1),INDIRECT("'数据-取费表'!ah"&amp;$G$1))</f>
        <v>89.68</v>
      </c>
      <c r="G7" s="1383"/>
      <c r="H7" s="304"/>
      <c r="I7" s="3675"/>
      <c r="J7" s="306"/>
      <c r="K7" s="307"/>
      <c r="L7" s="302" t="s">
        <v>697</v>
      </c>
      <c r="M7" s="303">
        <f ca="1">F7</f>
        <v>89.68</v>
      </c>
    </row>
    <row r="8" spans="1:37" ht="18" customHeight="1">
      <c r="A8" s="304"/>
      <c r="B8" s="3675"/>
      <c r="C8" s="306"/>
      <c r="D8" s="307"/>
      <c r="E8" s="302" t="s">
        <v>698</v>
      </c>
      <c r="F8" s="303">
        <f ca="1">INDIRECT("'数据-取费表'!ai"&amp;$G$1)</f>
        <v>365</v>
      </c>
      <c r="G8" s="1383"/>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3"/>
      <c r="H9" s="304"/>
      <c r="I9" s="3676"/>
      <c r="J9" s="306"/>
      <c r="K9" s="307"/>
      <c r="L9" s="313" t="s">
        <v>699</v>
      </c>
      <c r="M9" s="314">
        <f ca="1">INDIRECT("'数据-取费表'!ab"&amp;$G$1)</f>
        <v>0</v>
      </c>
    </row>
    <row r="10" spans="1:37" ht="18" customHeight="1">
      <c r="A10" s="1068" t="s">
        <v>402</v>
      </c>
      <c r="B10" s="1364" t="s">
        <v>700</v>
      </c>
      <c r="C10" s="316">
        <f ca="1">ROUND(IF(F10="押一",C6/12*F11,IF(F10="押二",C6/12*2*F11,IF(F10="押三",C6/12*3*F11,C11*F11))),0)</f>
        <v>63</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423242</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358720</v>
      </c>
      <c r="D14" s="1344" t="s">
        <v>708</v>
      </c>
      <c r="E14" s="1341"/>
      <c r="F14" s="319"/>
      <c r="G14" s="1383"/>
      <c r="H14" s="981" t="s">
        <v>398</v>
      </c>
      <c r="I14" s="302" t="s">
        <v>709</v>
      </c>
      <c r="J14" s="21">
        <f ca="1">C29</f>
        <v>529052</v>
      </c>
      <c r="K14" s="12"/>
      <c r="L14" s="806"/>
      <c r="M14" s="807"/>
    </row>
    <row r="15" spans="1:37" s="1396" customFormat="1" ht="18" customHeight="1" thickBot="1">
      <c r="A15" s="981" t="s">
        <v>399</v>
      </c>
      <c r="B15" s="302" t="s">
        <v>710</v>
      </c>
      <c r="C15" s="21">
        <f ca="1">ROUND(C14*F15,0)</f>
        <v>17936</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1587</v>
      </c>
      <c r="K16" s="1086" t="s">
        <v>715</v>
      </c>
      <c r="L16" s="1087"/>
      <c r="M16" s="1071"/>
    </row>
    <row r="17" spans="1:37" s="1396" customFormat="1" ht="18" customHeight="1">
      <c r="A17" s="981" t="s">
        <v>681</v>
      </c>
      <c r="B17" s="302" t="s">
        <v>716</v>
      </c>
      <c r="C17" s="21">
        <f ca="1">ROUND(F17*(F43+INDIRECT("'数据-取费表'!S"&amp;$G$1)),0)</f>
        <v>17936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7174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401766</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12053</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1587</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12952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-1587</v>
      </c>
      <c r="K25" s="1094" t="s">
        <v>753</v>
      </c>
      <c r="L25" s="1095"/>
      <c r="M25" s="1096"/>
    </row>
    <row r="26" spans="1:37" ht="18" customHeight="1">
      <c r="A26" s="981" t="s">
        <v>397</v>
      </c>
      <c r="B26" s="302" t="s">
        <v>754</v>
      </c>
      <c r="C26" s="21">
        <f ca="1">ROUND((C19+C20)*F26,0)</f>
        <v>62073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529052</v>
      </c>
      <c r="D29" s="1091"/>
      <c r="E29" s="1089"/>
      <c r="F29" s="1092"/>
      <c r="G29" s="1395"/>
      <c r="H29" s="334" t="s">
        <v>396</v>
      </c>
      <c r="I29" s="335" t="s">
        <v>768</v>
      </c>
      <c r="J29" s="336">
        <f ca="1">ROUND(J26/(1+F40)^F41,0)</f>
        <v>0</v>
      </c>
      <c r="K29" s="337" t="s">
        <v>769</v>
      </c>
      <c r="L29" s="338"/>
      <c r="M29" s="339">
        <f ca="1">INDIRECT("'数据-取费表'!k"&amp;$G$1)</f>
        <v>89.68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10858</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8347</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2623</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5724</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1587</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423</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501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39287</v>
      </c>
      <c r="D39" s="1094" t="s">
        <v>773</v>
      </c>
      <c r="E39" s="1095"/>
      <c r="F39" s="1096"/>
      <c r="G39" s="1383"/>
      <c r="H39" s="2698"/>
      <c r="I39" s="1397"/>
      <c r="J39" s="1398"/>
      <c r="K39" s="2702"/>
      <c r="L39" s="2698"/>
      <c r="M39" s="2698"/>
    </row>
    <row r="40" spans="1:18" ht="18" customHeight="1">
      <c r="A40" s="299" t="s">
        <v>395</v>
      </c>
      <c r="B40" s="300" t="s">
        <v>774</v>
      </c>
      <c r="C40" s="301">
        <f ca="1">ROUND(C39*(1-((1+F42)/(1+F40))^F41)/(F40-F42),0)</f>
        <v>788277</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35.909999999999997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8790</v>
      </c>
      <c r="D43" s="337" t="s">
        <v>777</v>
      </c>
      <c r="E43" s="338" t="s">
        <v>778</v>
      </c>
      <c r="F43" s="339">
        <f ca="1">INDIRECT("'数据-取费表'!k"&amp;$G$1)</f>
        <v>89.68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-81.947900000000004</v>
      </c>
      <c r="D45" s="3430" t="s">
        <v>3350</v>
      </c>
      <c r="E45" s="1399"/>
      <c r="F45" s="1399"/>
      <c r="O45" s="1402" t="s">
        <v>808</v>
      </c>
      <c r="P45" s="1460"/>
      <c r="Q45" s="1460"/>
      <c r="R45" s="1460"/>
    </row>
    <row r="46" spans="1:18" s="1383" customFormat="1" ht="13.5" thickBot="1">
      <c r="A46" s="1403" t="s">
        <v>809</v>
      </c>
      <c r="C46" s="1404">
        <f ca="1">ROUND(C45,0)</f>
        <v>-82</v>
      </c>
      <c r="D46" s="1405" t="str">
        <f>C2</f>
        <v>万元</v>
      </c>
      <c r="I46" s="1406" t="s">
        <v>810</v>
      </c>
      <c r="J46" s="1407"/>
      <c r="K46" s="1408"/>
      <c r="L46" s="1409">
        <f ca="1">IF(M47="住宅",0,IF(L48&gt;J51,L60,J60))</f>
        <v>15765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788277</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35.909999999999997</v>
      </c>
      <c r="O48" s="1417" t="s">
        <v>404</v>
      </c>
      <c r="P48" s="1418" t="s">
        <v>821</v>
      </c>
      <c r="Q48" s="1419">
        <f ca="1">J60</f>
        <v>15765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529052</v>
      </c>
      <c r="R49" s="1419" t="s">
        <v>818</v>
      </c>
    </row>
    <row r="50" spans="1:18" s="1383" customFormat="1" ht="13.5" thickBot="1">
      <c r="A50" s="975"/>
      <c r="B50" s="978"/>
      <c r="C50" s="979"/>
      <c r="D50" s="952"/>
      <c r="E50" s="1055" t="s">
        <v>697</v>
      </c>
      <c r="F50" s="1056">
        <f ca="1">F7</f>
        <v>89.68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174626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35.909999999999997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35.909999999999997</v>
      </c>
      <c r="K53" s="3672" t="s">
        <v>837</v>
      </c>
      <c r="L53" s="3673"/>
      <c r="O53" s="1417" t="s">
        <v>409</v>
      </c>
      <c r="P53" s="1418" t="s">
        <v>838</v>
      </c>
      <c r="Q53" s="1419">
        <f ca="1">Q47+Q48</f>
        <v>804042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0.20200000000000001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423242</v>
      </c>
      <c r="D56" s="1446"/>
      <c r="E56" s="1447"/>
      <c r="F56" s="1439"/>
      <c r="I56" s="1448" t="s">
        <v>842</v>
      </c>
      <c r="J56" s="1449" t="s">
        <v>3430</v>
      </c>
      <c r="K56" s="1420" t="s">
        <v>843</v>
      </c>
      <c r="L56" s="1423" t="str">
        <f ca="1">IF(L48&lt;J51,"——",L48-J51)</f>
        <v>——</v>
      </c>
      <c r="O56" s="1417" t="s">
        <v>403</v>
      </c>
      <c r="P56" s="1418" t="s">
        <v>817</v>
      </c>
      <c r="Q56" s="1419">
        <f ca="1">C40+J29</f>
        <v>788277</v>
      </c>
      <c r="R56" s="1419" t="s">
        <v>818</v>
      </c>
    </row>
    <row r="57" spans="1:18" s="1383" customFormat="1" ht="24.75" thickBot="1">
      <c r="A57" s="1450"/>
      <c r="B57" s="949" t="s">
        <v>767</v>
      </c>
      <c r="C57" s="238">
        <f ca="1">C29</f>
        <v>529052</v>
      </c>
      <c r="D57" s="1451"/>
      <c r="E57" s="1452"/>
      <c r="F57" s="1453"/>
      <c r="I57" s="1454" t="s">
        <v>844</v>
      </c>
      <c r="J57" s="1455">
        <f ca="1">IF(OR(M47="住宅",J51&lt;L48,J56="是"),"——",J51-L48)</f>
        <v>12.090000000000003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2010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211621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15765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788277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1587</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423</v>
      </c>
      <c r="D65" s="963" t="s">
        <v>743</v>
      </c>
      <c r="E65" s="949" t="s">
        <v>744</v>
      </c>
      <c r="F65" s="330">
        <f t="shared" ca="1" si="0"/>
        <v>1E-3</v>
      </c>
      <c r="I65" s="1461" t="s">
        <v>867</v>
      </c>
      <c r="J65" s="1462">
        <v>40</v>
      </c>
      <c r="K65" s="1462">
        <v>30</v>
      </c>
      <c r="L65" s="1462">
        <v>50</v>
      </c>
      <c r="M65" s="1464">
        <v>0.02</v>
      </c>
      <c r="O65" s="1417" t="s">
        <v>403</v>
      </c>
      <c r="P65" s="1418" t="s">
        <v>868</v>
      </c>
      <c r="Q65" s="1419">
        <f ca="1">C40+J29</f>
        <v>788277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-2010</v>
      </c>
      <c r="D67" s="962" t="s">
        <v>753</v>
      </c>
      <c r="E67" s="967"/>
      <c r="F67" s="968"/>
      <c r="O67" s="1427" t="s">
        <v>405</v>
      </c>
      <c r="P67" s="1418" t="s">
        <v>850</v>
      </c>
      <c r="Q67" s="1465">
        <f ca="1">L51</f>
        <v>174626</v>
      </c>
      <c r="R67" s="1419" t="s">
        <v>870</v>
      </c>
    </row>
    <row r="68" spans="1:18" s="1383" customFormat="1" ht="16.5" thickBot="1">
      <c r="A68" s="946" t="s">
        <v>395</v>
      </c>
      <c r="B68" s="947" t="s">
        <v>774</v>
      </c>
      <c r="C68" s="301">
        <f ca="1">ROUND(C67*(1-((1+F70)/(1+F68))^F69)/(F68-F70),0)</f>
        <v>-31202</v>
      </c>
      <c r="D68" s="964" t="s">
        <v>758</v>
      </c>
      <c r="E68" s="949" t="s">
        <v>759</v>
      </c>
      <c r="F68" s="312">
        <f ca="1">F40</f>
        <v>5.5E-2</v>
      </c>
      <c r="O68" s="1427" t="s">
        <v>406</v>
      </c>
      <c r="P68" s="1466" t="s">
        <v>871</v>
      </c>
      <c r="Q68" s="1419">
        <f ca="1">ROUND(Q69-Q70*Q71,0)</f>
        <v>9660</v>
      </c>
      <c r="R68" s="1419" t="s">
        <v>414</v>
      </c>
    </row>
    <row r="69" spans="1:18" s="1383" customFormat="1" ht="13.5" thickBot="1">
      <c r="A69" s="950"/>
      <c r="B69" s="951"/>
      <c r="C69" s="306"/>
      <c r="D69" s="969" t="s">
        <v>762</v>
      </c>
      <c r="E69" s="949" t="s">
        <v>763</v>
      </c>
      <c r="F69" s="333">
        <f ca="1">F41</f>
        <v>35.909999999999997</v>
      </c>
      <c r="O69" s="1427" t="s">
        <v>411</v>
      </c>
      <c r="P69" s="1466" t="s">
        <v>872</v>
      </c>
      <c r="Q69" s="1419">
        <f ca="1">C39</f>
        <v>39287</v>
      </c>
      <c r="R69" s="1419" t="s">
        <v>818</v>
      </c>
    </row>
    <row r="70" spans="1:18" s="1383" customFormat="1" ht="13.5" thickBot="1">
      <c r="A70" s="953"/>
      <c r="B70" s="954"/>
      <c r="C70" s="310"/>
      <c r="D70" s="965"/>
      <c r="E70" s="949" t="s">
        <v>766</v>
      </c>
      <c r="F70" s="1053"/>
      <c r="O70" s="1427" t="s">
        <v>412</v>
      </c>
      <c r="P70" s="1466" t="s">
        <v>873</v>
      </c>
      <c r="Q70" s="1419">
        <f ca="1">C13</f>
        <v>423242</v>
      </c>
      <c r="R70" s="1419" t="s">
        <v>818</v>
      </c>
    </row>
    <row r="71" spans="1:18" s="1383" customFormat="1" ht="13.5" thickBot="1">
      <c r="A71" s="970" t="s">
        <v>396</v>
      </c>
      <c r="B71" s="971" t="s">
        <v>776</v>
      </c>
      <c r="C71" s="336">
        <f ca="1">ROUND(C68/F71,0)</f>
        <v>-348</v>
      </c>
      <c r="D71" s="972" t="s">
        <v>777</v>
      </c>
      <c r="E71" s="973" t="s">
        <v>778</v>
      </c>
      <c r="F71" s="339">
        <f ca="1">F43</f>
        <v>89.68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29627</v>
      </c>
      <c r="D75" s="1383"/>
      <c r="E75" s="1383"/>
      <c r="F75" s="1383"/>
      <c r="K75" s="1401"/>
      <c r="L75" s="1383"/>
      <c r="O75" s="1417" t="s">
        <v>409</v>
      </c>
      <c r="P75" s="1418" t="s">
        <v>838</v>
      </c>
      <c r="Q75" s="1419">
        <f ca="1">Q65+Q66</f>
        <v>788277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136.7441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89.68</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9" t="s">
        <v>1770</v>
      </c>
      <c r="D4" s="3720"/>
      <c r="E4" s="3721" t="s">
        <v>1771</v>
      </c>
      <c r="F4" s="3722"/>
      <c r="G4" s="3719" t="s">
        <v>1772</v>
      </c>
      <c r="H4" s="3720"/>
      <c r="I4" s="3719" t="s">
        <v>1773</v>
      </c>
      <c r="J4" s="3720"/>
      <c r="K4" s="559" t="s">
        <v>1774</v>
      </c>
      <c r="L4" s="2713"/>
      <c r="M4" s="2714"/>
      <c r="N4" s="2714"/>
      <c r="O4" s="2714"/>
      <c r="P4" s="3723" t="s">
        <v>1775</v>
      </c>
      <c r="Q4" s="3724"/>
      <c r="R4" s="3701" t="s">
        <v>1771</v>
      </c>
      <c r="S4" s="3702"/>
      <c r="T4" s="3701" t="s">
        <v>1772</v>
      </c>
      <c r="U4" s="3702"/>
      <c r="V4" s="3731" t="s">
        <v>1773</v>
      </c>
      <c r="W4" s="3731"/>
      <c r="X4" s="1957"/>
      <c r="Y4" s="3701" t="s">
        <v>1775</v>
      </c>
      <c r="Z4" s="3702"/>
      <c r="AA4" s="3696" t="s">
        <v>1771</v>
      </c>
      <c r="AB4" s="3696" t="s">
        <v>1772</v>
      </c>
      <c r="AC4" s="3716" t="s">
        <v>1773</v>
      </c>
    </row>
    <row r="5" spans="1:29" ht="15">
      <c r="A5" s="358"/>
      <c r="B5" s="359"/>
      <c r="C5" s="3707" t="s">
        <v>1673</v>
      </c>
      <c r="D5" s="3708"/>
      <c r="E5" s="3705"/>
      <c r="F5" s="3706"/>
      <c r="G5" s="3711"/>
      <c r="H5" s="3708"/>
      <c r="I5" s="3711"/>
      <c r="J5" s="3708"/>
      <c r="K5" s="559"/>
      <c r="L5" s="2713"/>
      <c r="M5" s="2714"/>
      <c r="N5" s="2714"/>
      <c r="O5" s="2714"/>
      <c r="P5" s="3725"/>
      <c r="Q5" s="3726"/>
      <c r="R5" s="3703"/>
      <c r="S5" s="3704"/>
      <c r="T5" s="3703"/>
      <c r="U5" s="3704"/>
      <c r="V5" s="3732"/>
      <c r="W5" s="3732"/>
      <c r="X5" s="1354"/>
      <c r="Y5" s="3703"/>
      <c r="Z5" s="3704"/>
      <c r="AA5" s="3697"/>
      <c r="AB5" s="3697"/>
      <c r="AC5" s="3717"/>
    </row>
    <row r="6" spans="1:29" ht="15.75" thickBot="1">
      <c r="A6" s="360"/>
      <c r="B6" s="361"/>
      <c r="C6" s="3709" t="s">
        <v>1677</v>
      </c>
      <c r="D6" s="3710"/>
      <c r="E6" s="3712" t="s">
        <v>1677</v>
      </c>
      <c r="F6" s="3713"/>
      <c r="G6" s="3714"/>
      <c r="H6" s="3710"/>
      <c r="I6" s="3709" t="s">
        <v>1677</v>
      </c>
      <c r="J6" s="3710"/>
      <c r="K6" s="559" t="s">
        <v>1678</v>
      </c>
      <c r="L6" s="2713"/>
      <c r="M6" s="2714"/>
      <c r="N6" s="2714"/>
      <c r="O6" s="2714"/>
      <c r="P6" s="3727"/>
      <c r="Q6" s="3728"/>
      <c r="R6" s="3703"/>
      <c r="S6" s="3704"/>
      <c r="T6" s="3729"/>
      <c r="U6" s="3730"/>
      <c r="V6" s="3732"/>
      <c r="W6" s="3732"/>
      <c r="X6" s="1354"/>
      <c r="Y6" s="3729"/>
      <c r="Z6" s="3730"/>
      <c r="AA6" s="3698"/>
      <c r="AB6" s="3698"/>
      <c r="AC6" s="3718"/>
    </row>
    <row r="7" spans="1:29" s="108" customFormat="1" ht="15.75" thickBot="1">
      <c r="A7" s="362" t="s">
        <v>1679</v>
      </c>
      <c r="B7" s="363"/>
      <c r="C7" s="364">
        <f>'数据-取费表'!B2</f>
        <v>45958</v>
      </c>
      <c r="D7" s="365">
        <v>100</v>
      </c>
      <c r="E7" s="366">
        <f>C7</f>
        <v>45958</v>
      </c>
      <c r="F7" s="367">
        <f>SUMIF(59:59,YEAR(E7)&amp;"-"&amp;MONTH(E7),60:60)</f>
        <v>100</v>
      </c>
      <c r="G7" s="366">
        <f>C7</f>
        <v>45958</v>
      </c>
      <c r="H7" s="365">
        <f>SUMIF(59:59,YEAR(G7)&amp;"-"&amp;MONTH(G7),60:60)</f>
        <v>100</v>
      </c>
      <c r="I7" s="366">
        <f>C7</f>
        <v>45958</v>
      </c>
      <c r="J7" s="365">
        <f>SUMIF(59:59,YEAR(I7)&amp;"-"&amp;MONTH(I7),60:60)</f>
        <v>100</v>
      </c>
      <c r="K7" s="560"/>
      <c r="L7" s="2715"/>
      <c r="M7" s="2716"/>
      <c r="N7" s="2716"/>
      <c r="O7" s="2716"/>
      <c r="P7" s="3733" t="s">
        <v>1680</v>
      </c>
      <c r="Q7" s="3734"/>
      <c r="R7" s="700" t="s">
        <v>14</v>
      </c>
      <c r="S7" s="701">
        <f t="shared" ref="S7:S15" si="0">F7</f>
        <v>100</v>
      </c>
      <c r="T7" s="700" t="s">
        <v>14</v>
      </c>
      <c r="U7" s="701">
        <f t="shared" ref="U7:U15" si="1">H7</f>
        <v>100</v>
      </c>
      <c r="V7" s="700" t="s">
        <v>14</v>
      </c>
      <c r="W7" s="701">
        <f t="shared" ref="W7:W15" si="2">J7</f>
        <v>100</v>
      </c>
      <c r="X7" s="702"/>
      <c r="Y7" s="3699" t="s">
        <v>1680</v>
      </c>
      <c r="Z7" s="3700"/>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33" t="s">
        <v>1683</v>
      </c>
      <c r="Q8" s="3700"/>
      <c r="R8" s="700" t="s">
        <v>14</v>
      </c>
      <c r="S8" s="701">
        <f t="shared" si="0"/>
        <v>103</v>
      </c>
      <c r="T8" s="700" t="s">
        <v>14</v>
      </c>
      <c r="U8" s="701">
        <f t="shared" si="1"/>
        <v>103</v>
      </c>
      <c r="V8" s="700" t="s">
        <v>14</v>
      </c>
      <c r="W8" s="701">
        <f t="shared" si="2"/>
        <v>103</v>
      </c>
      <c r="X8" s="702"/>
      <c r="Y8" s="3699" t="s">
        <v>1683</v>
      </c>
      <c r="Z8" s="3700"/>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8"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5"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715"/>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5"/>
      <c r="Q11" s="1342" t="str">
        <f t="shared" si="6"/>
        <v>容积率</v>
      </c>
      <c r="R11" s="700" t="s">
        <v>14</v>
      </c>
      <c r="S11" s="701">
        <f t="shared" si="0"/>
        <v>100</v>
      </c>
      <c r="T11" s="700" t="s">
        <v>14</v>
      </c>
      <c r="U11" s="701">
        <f t="shared" si="1"/>
        <v>100</v>
      </c>
      <c r="V11" s="700" t="s">
        <v>14</v>
      </c>
      <c r="W11" s="701">
        <f t="shared" si="2"/>
        <v>100</v>
      </c>
      <c r="X11" s="702"/>
      <c r="Y11" s="364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5"/>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5"/>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15"/>
      <c r="Q14" s="1342">
        <f t="shared" si="6"/>
        <v>111</v>
      </c>
      <c r="R14" s="700" t="s">
        <v>14</v>
      </c>
      <c r="S14" s="701">
        <f t="shared" si="0"/>
        <v>100</v>
      </c>
      <c r="T14" s="700" t="s">
        <v>14</v>
      </c>
      <c r="U14" s="701">
        <f t="shared" si="1"/>
        <v>100</v>
      </c>
      <c r="V14" s="700" t="s">
        <v>14</v>
      </c>
      <c r="W14" s="701">
        <f t="shared" si="2"/>
        <v>100</v>
      </c>
      <c r="X14" s="702"/>
      <c r="Y14" s="3645"/>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35" t="s">
        <v>1691</v>
      </c>
      <c r="Q15" s="1351" t="str">
        <f t="shared" si="6"/>
        <v>办公集聚程度</v>
      </c>
      <c r="R15" s="704" t="s">
        <v>14</v>
      </c>
      <c r="S15" s="705">
        <f t="shared" si="0"/>
        <v>100</v>
      </c>
      <c r="T15" s="704" t="s">
        <v>14</v>
      </c>
      <c r="U15" s="705">
        <f t="shared" si="1"/>
        <v>100</v>
      </c>
      <c r="V15" s="704" t="s">
        <v>14</v>
      </c>
      <c r="W15" s="705">
        <f t="shared" si="2"/>
        <v>100</v>
      </c>
      <c r="X15" s="1354"/>
      <c r="Y15" s="3737"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736"/>
      <c r="Q16" s="1351"/>
      <c r="R16" s="704"/>
      <c r="S16" s="705"/>
      <c r="T16" s="704"/>
      <c r="U16" s="705"/>
      <c r="V16" s="704"/>
      <c r="W16" s="705"/>
      <c r="X16" s="1354"/>
      <c r="Y16" s="373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6"/>
      <c r="Q17" s="1351" t="str">
        <f>B17</f>
        <v>交通便捷度</v>
      </c>
      <c r="R17" s="704" t="s">
        <v>14</v>
      </c>
      <c r="S17" s="705">
        <f>F17</f>
        <v>100</v>
      </c>
      <c r="T17" s="704" t="s">
        <v>14</v>
      </c>
      <c r="U17" s="705">
        <f>H17</f>
        <v>100</v>
      </c>
      <c r="V17" s="704" t="s">
        <v>14</v>
      </c>
      <c r="W17" s="705">
        <f>J17</f>
        <v>100</v>
      </c>
      <c r="X17" s="1354"/>
      <c r="Y17" s="3738"/>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736"/>
      <c r="Q18" s="1351"/>
      <c r="R18" s="704"/>
      <c r="S18" s="705"/>
      <c r="T18" s="704"/>
      <c r="U18" s="705"/>
      <c r="V18" s="704"/>
      <c r="W18" s="705"/>
      <c r="X18" s="1354"/>
      <c r="Y18" s="373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6"/>
      <c r="Q19" s="1351" t="str">
        <f>B19</f>
        <v>公共配套设施</v>
      </c>
      <c r="R19" s="704" t="s">
        <v>14</v>
      </c>
      <c r="S19" s="705">
        <f>F19</f>
        <v>100</v>
      </c>
      <c r="T19" s="704" t="s">
        <v>14</v>
      </c>
      <c r="U19" s="705">
        <f>H19</f>
        <v>100</v>
      </c>
      <c r="V19" s="704" t="s">
        <v>14</v>
      </c>
      <c r="W19" s="705">
        <f>J19</f>
        <v>100</v>
      </c>
      <c r="X19" s="1354"/>
      <c r="Y19" s="3738"/>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736"/>
      <c r="Q20" s="1351"/>
      <c r="R20" s="704"/>
      <c r="S20" s="705"/>
      <c r="T20" s="704"/>
      <c r="U20" s="705"/>
      <c r="V20" s="704"/>
      <c r="W20" s="705"/>
      <c r="X20" s="1354"/>
      <c r="Y20" s="373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6"/>
      <c r="Q21" s="1351" t="str">
        <f>B21</f>
        <v>基础设施水平</v>
      </c>
      <c r="R21" s="704" t="s">
        <v>14</v>
      </c>
      <c r="S21" s="705">
        <f>F21</f>
        <v>100</v>
      </c>
      <c r="T21" s="704" t="s">
        <v>14</v>
      </c>
      <c r="U21" s="705">
        <f>H21</f>
        <v>100</v>
      </c>
      <c r="V21" s="704" t="s">
        <v>14</v>
      </c>
      <c r="W21" s="705">
        <f>J21</f>
        <v>100</v>
      </c>
      <c r="X21" s="1354"/>
      <c r="Y21" s="3738"/>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736"/>
      <c r="Q22" s="1351"/>
      <c r="R22" s="704"/>
      <c r="S22" s="705"/>
      <c r="T22" s="704"/>
      <c r="U22" s="705"/>
      <c r="V22" s="704"/>
      <c r="W22" s="705"/>
      <c r="X22" s="1354"/>
      <c r="Y22" s="373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36"/>
      <c r="Q23" s="1351" t="str">
        <f>B23</f>
        <v>环境质量</v>
      </c>
      <c r="R23" s="704" t="s">
        <v>14</v>
      </c>
      <c r="S23" s="705">
        <f>F23</f>
        <v>100</v>
      </c>
      <c r="T23" s="704" t="s">
        <v>14</v>
      </c>
      <c r="U23" s="705">
        <f>H23</f>
        <v>100</v>
      </c>
      <c r="V23" s="704" t="s">
        <v>14</v>
      </c>
      <c r="W23" s="705">
        <f>J23</f>
        <v>100</v>
      </c>
      <c r="X23" s="1354"/>
      <c r="Y23" s="3738"/>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736"/>
      <c r="Q24" s="1351"/>
      <c r="R24" s="704"/>
      <c r="S24" s="705"/>
      <c r="T24" s="704"/>
      <c r="U24" s="705"/>
      <c r="V24" s="704"/>
      <c r="W24" s="705"/>
      <c r="X24" s="1354"/>
      <c r="Y24" s="373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6"/>
      <c r="Q25" s="1351" t="str">
        <f>B25</f>
        <v>毗邻道路的类型与等级</v>
      </c>
      <c r="R25" s="704" t="s">
        <v>14</v>
      </c>
      <c r="S25" s="705">
        <f>F25</f>
        <v>100</v>
      </c>
      <c r="T25" s="704" t="s">
        <v>14</v>
      </c>
      <c r="U25" s="705">
        <f>H25</f>
        <v>100</v>
      </c>
      <c r="V25" s="704" t="s">
        <v>14</v>
      </c>
      <c r="W25" s="705">
        <f>J25</f>
        <v>100</v>
      </c>
      <c r="X25" s="1354"/>
      <c r="Y25" s="373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36"/>
      <c r="Q26" s="1351"/>
      <c r="R26" s="704"/>
      <c r="S26" s="705"/>
      <c r="T26" s="704"/>
      <c r="U26" s="705"/>
      <c r="V26" s="704"/>
      <c r="W26" s="705"/>
      <c r="X26" s="1354"/>
      <c r="Y26" s="3738"/>
      <c r="Z26" s="1355"/>
      <c r="AA26" s="1352">
        <v>1</v>
      </c>
      <c r="AB26" s="1352">
        <v>1</v>
      </c>
      <c r="AC26" s="1961">
        <v>1</v>
      </c>
    </row>
    <row r="27" spans="1:29" ht="15">
      <c r="A27" s="379"/>
      <c r="B27" s="580" t="s">
        <v>1783</v>
      </c>
      <c r="C27" s="582" t="s">
        <v>3465</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736"/>
      <c r="Q27" s="1351" t="str">
        <f t="shared" ref="Q27:Q47" si="11">B27</f>
        <v>楼层</v>
      </c>
      <c r="R27" s="704" t="s">
        <v>14</v>
      </c>
      <c r="S27" s="705">
        <f>F27</f>
        <v>104</v>
      </c>
      <c r="T27" s="704" t="s">
        <v>14</v>
      </c>
      <c r="U27" s="705">
        <f>H27</f>
        <v>104</v>
      </c>
      <c r="V27" s="704" t="s">
        <v>14</v>
      </c>
      <c r="W27" s="705">
        <f>J27</f>
        <v>104</v>
      </c>
      <c r="X27" s="1354"/>
      <c r="Y27" s="3738"/>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6"/>
      <c r="Q28" s="1342" t="str">
        <f t="shared" si="11"/>
        <v>朝向</v>
      </c>
      <c r="R28" s="700" t="s">
        <v>14</v>
      </c>
      <c r="S28" s="701">
        <f>F28</f>
        <v>100</v>
      </c>
      <c r="T28" s="700" t="s">
        <v>14</v>
      </c>
      <c r="U28" s="701">
        <f>H28</f>
        <v>100</v>
      </c>
      <c r="V28" s="700" t="s">
        <v>14</v>
      </c>
      <c r="W28" s="701">
        <f>J28</f>
        <v>100</v>
      </c>
      <c r="X28" s="702"/>
      <c r="Y28" s="373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6"/>
      <c r="Q29" s="1351">
        <f t="shared" si="11"/>
        <v>111</v>
      </c>
      <c r="R29" s="704" t="s">
        <v>14</v>
      </c>
      <c r="S29" s="705">
        <f t="shared" ref="S29:S47" si="12">F29</f>
        <v>100</v>
      </c>
      <c r="T29" s="704" t="s">
        <v>14</v>
      </c>
      <c r="U29" s="705">
        <f t="shared" ref="U29:U47" si="13">H29</f>
        <v>100</v>
      </c>
      <c r="V29" s="704" t="s">
        <v>14</v>
      </c>
      <c r="W29" s="705">
        <f t="shared" ref="W29:W47" si="14">J29</f>
        <v>100</v>
      </c>
      <c r="X29" s="1354"/>
      <c r="Y29" s="373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6"/>
      <c r="Q30" s="1351">
        <f t="shared" si="11"/>
        <v>111</v>
      </c>
      <c r="R30" s="704" t="s">
        <v>14</v>
      </c>
      <c r="S30" s="705">
        <f t="shared" si="12"/>
        <v>100</v>
      </c>
      <c r="T30" s="704" t="s">
        <v>14</v>
      </c>
      <c r="U30" s="705">
        <f t="shared" si="13"/>
        <v>100</v>
      </c>
      <c r="V30" s="704" t="s">
        <v>14</v>
      </c>
      <c r="W30" s="705">
        <f t="shared" si="14"/>
        <v>100</v>
      </c>
      <c r="X30" s="1354"/>
      <c r="Y30" s="373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6"/>
      <c r="Q31" s="1351">
        <f t="shared" si="11"/>
        <v>111</v>
      </c>
      <c r="R31" s="704" t="s">
        <v>14</v>
      </c>
      <c r="S31" s="705">
        <f t="shared" si="12"/>
        <v>100</v>
      </c>
      <c r="T31" s="704" t="s">
        <v>14</v>
      </c>
      <c r="U31" s="705">
        <f t="shared" si="13"/>
        <v>100</v>
      </c>
      <c r="V31" s="704" t="s">
        <v>14</v>
      </c>
      <c r="W31" s="705">
        <f t="shared" si="14"/>
        <v>100</v>
      </c>
      <c r="X31" s="1354"/>
      <c r="Y31" s="373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6"/>
      <c r="Q32" s="1351">
        <f t="shared" si="11"/>
        <v>111</v>
      </c>
      <c r="R32" s="704" t="s">
        <v>14</v>
      </c>
      <c r="S32" s="705">
        <f t="shared" si="12"/>
        <v>100</v>
      </c>
      <c r="T32" s="704" t="s">
        <v>14</v>
      </c>
      <c r="U32" s="705">
        <f t="shared" si="13"/>
        <v>100</v>
      </c>
      <c r="V32" s="704" t="s">
        <v>14</v>
      </c>
      <c r="W32" s="705">
        <f t="shared" si="14"/>
        <v>100</v>
      </c>
      <c r="X32" s="1354"/>
      <c r="Y32" s="3738"/>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739" t="s">
        <v>1696</v>
      </c>
      <c r="Q33" s="1351" t="str">
        <f t="shared" si="11"/>
        <v>建筑类型</v>
      </c>
      <c r="R33" s="704" t="s">
        <v>14</v>
      </c>
      <c r="S33" s="705">
        <f t="shared" si="12"/>
        <v>100</v>
      </c>
      <c r="T33" s="704" t="s">
        <v>14</v>
      </c>
      <c r="U33" s="705">
        <f t="shared" si="13"/>
        <v>100</v>
      </c>
      <c r="V33" s="704" t="s">
        <v>14</v>
      </c>
      <c r="W33" s="705">
        <f t="shared" si="14"/>
        <v>100</v>
      </c>
      <c r="X33" s="1354"/>
      <c r="Y33" s="3742" t="s">
        <v>1696</v>
      </c>
      <c r="Z33" s="1355" t="str">
        <f t="shared" si="15"/>
        <v>建筑类型</v>
      </c>
      <c r="AA33" s="1352">
        <f t="shared" si="3"/>
        <v>1</v>
      </c>
      <c r="AB33" s="1352">
        <f t="shared" si="4"/>
        <v>1</v>
      </c>
      <c r="AC33" s="1961">
        <f t="shared" si="5"/>
        <v>1</v>
      </c>
    </row>
    <row r="34" spans="1:29" s="422" customFormat="1" ht="15">
      <c r="A34" s="419"/>
      <c r="B34" s="375" t="s">
        <v>1697</v>
      </c>
      <c r="C34" s="420">
        <f>'数据-汇总表'!E3</f>
        <v>89.68</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40"/>
      <c r="Q34" s="706" t="str">
        <f t="shared" si="11"/>
        <v>项目建筑规模</v>
      </c>
      <c r="R34" s="707" t="s">
        <v>14</v>
      </c>
      <c r="S34" s="708">
        <f t="shared" si="12"/>
        <v>100</v>
      </c>
      <c r="T34" s="707" t="s">
        <v>14</v>
      </c>
      <c r="U34" s="708">
        <f t="shared" si="13"/>
        <v>100</v>
      </c>
      <c r="V34" s="707" t="s">
        <v>14</v>
      </c>
      <c r="W34" s="708">
        <f t="shared" si="14"/>
        <v>100</v>
      </c>
      <c r="X34" s="709"/>
      <c r="Y34" s="3742"/>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40"/>
      <c r="Q35" s="1351" t="str">
        <f t="shared" si="11"/>
        <v>建筑结构</v>
      </c>
      <c r="R35" s="704" t="s">
        <v>14</v>
      </c>
      <c r="S35" s="705">
        <f t="shared" si="12"/>
        <v>100</v>
      </c>
      <c r="T35" s="704" t="s">
        <v>14</v>
      </c>
      <c r="U35" s="705">
        <f t="shared" si="13"/>
        <v>100</v>
      </c>
      <c r="V35" s="704" t="s">
        <v>14</v>
      </c>
      <c r="W35" s="705">
        <f t="shared" si="14"/>
        <v>100</v>
      </c>
      <c r="X35" s="1354"/>
      <c r="Y35" s="3742"/>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740"/>
      <c r="Q36" s="1351" t="str">
        <f t="shared" si="11"/>
        <v>公共部分装修</v>
      </c>
      <c r="R36" s="704" t="s">
        <v>14</v>
      </c>
      <c r="S36" s="705">
        <f t="shared" si="12"/>
        <v>100</v>
      </c>
      <c r="T36" s="704" t="s">
        <v>14</v>
      </c>
      <c r="U36" s="705">
        <f t="shared" si="13"/>
        <v>100</v>
      </c>
      <c r="V36" s="704" t="s">
        <v>14</v>
      </c>
      <c r="W36" s="705">
        <f t="shared" si="14"/>
        <v>100</v>
      </c>
      <c r="X36" s="1354"/>
      <c r="Y36" s="3742"/>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40"/>
      <c r="Q37" s="1351" t="str">
        <f t="shared" si="11"/>
        <v>成新度</v>
      </c>
      <c r="R37" s="704" t="s">
        <v>14</v>
      </c>
      <c r="S37" s="705">
        <f t="shared" si="12"/>
        <v>100</v>
      </c>
      <c r="T37" s="704" t="s">
        <v>14</v>
      </c>
      <c r="U37" s="705">
        <f t="shared" si="13"/>
        <v>100</v>
      </c>
      <c r="V37" s="704" t="s">
        <v>14</v>
      </c>
      <c r="W37" s="705">
        <f t="shared" si="14"/>
        <v>100</v>
      </c>
      <c r="X37" s="1354"/>
      <c r="Y37" s="3742"/>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0"/>
      <c r="Q38" s="1342" t="str">
        <f t="shared" si="11"/>
        <v>写字楼等级</v>
      </c>
      <c r="R38" s="700" t="s">
        <v>14</v>
      </c>
      <c r="S38" s="701">
        <f t="shared" si="12"/>
        <v>100</v>
      </c>
      <c r="T38" s="700" t="s">
        <v>14</v>
      </c>
      <c r="U38" s="701">
        <f t="shared" si="13"/>
        <v>100</v>
      </c>
      <c r="V38" s="700" t="s">
        <v>14</v>
      </c>
      <c r="W38" s="701">
        <f t="shared" si="14"/>
        <v>100</v>
      </c>
      <c r="X38" s="702"/>
      <c r="Y38" s="3742"/>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740" t="s">
        <v>1696</v>
      </c>
      <c r="Q39" s="1351" t="str">
        <f t="shared" si="11"/>
        <v>物业管理</v>
      </c>
      <c r="R39" s="704" t="s">
        <v>14</v>
      </c>
      <c r="S39" s="705">
        <f t="shared" si="12"/>
        <v>100</v>
      </c>
      <c r="T39" s="704" t="s">
        <v>14</v>
      </c>
      <c r="U39" s="705">
        <f t="shared" si="13"/>
        <v>100</v>
      </c>
      <c r="V39" s="704" t="s">
        <v>14</v>
      </c>
      <c r="W39" s="705">
        <f t="shared" si="14"/>
        <v>100</v>
      </c>
      <c r="X39" s="1354"/>
      <c r="Y39" s="3742"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0"/>
      <c r="Q40" s="1351" t="str">
        <f t="shared" si="11"/>
        <v>市政基础设施</v>
      </c>
      <c r="R40" s="704" t="s">
        <v>14</v>
      </c>
      <c r="S40" s="705">
        <f t="shared" si="12"/>
        <v>100</v>
      </c>
      <c r="T40" s="704" t="s">
        <v>14</v>
      </c>
      <c r="U40" s="705">
        <f t="shared" si="13"/>
        <v>100</v>
      </c>
      <c r="V40" s="704" t="s">
        <v>14</v>
      </c>
      <c r="W40" s="705">
        <f t="shared" si="14"/>
        <v>100</v>
      </c>
      <c r="X40" s="1354"/>
      <c r="Y40" s="3742"/>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740"/>
      <c r="Q41" s="1351" t="str">
        <f t="shared" si="11"/>
        <v>层高</v>
      </c>
      <c r="R41" s="704" t="s">
        <v>14</v>
      </c>
      <c r="S41" s="705">
        <f t="shared" si="12"/>
        <v>100</v>
      </c>
      <c r="T41" s="704" t="s">
        <v>14</v>
      </c>
      <c r="U41" s="705">
        <f t="shared" si="13"/>
        <v>100</v>
      </c>
      <c r="V41" s="704" t="s">
        <v>14</v>
      </c>
      <c r="W41" s="705">
        <f t="shared" si="14"/>
        <v>100</v>
      </c>
      <c r="X41" s="1354"/>
      <c r="Y41" s="3742"/>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0"/>
      <c r="Q42" s="706" t="str">
        <f t="shared" si="11"/>
        <v>单套建筑面积</v>
      </c>
      <c r="R42" s="707" t="s">
        <v>14</v>
      </c>
      <c r="S42" s="708">
        <f t="shared" si="12"/>
        <v>100</v>
      </c>
      <c r="T42" s="707" t="s">
        <v>14</v>
      </c>
      <c r="U42" s="708">
        <f t="shared" si="13"/>
        <v>100</v>
      </c>
      <c r="V42" s="707" t="s">
        <v>14</v>
      </c>
      <c r="W42" s="708">
        <f t="shared" si="14"/>
        <v>100</v>
      </c>
      <c r="X42" s="709"/>
      <c r="Y42" s="3742"/>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740"/>
      <c r="Q43" s="1351" t="str">
        <f t="shared" si="11"/>
        <v>内部装修</v>
      </c>
      <c r="R43" s="704" t="s">
        <v>14</v>
      </c>
      <c r="S43" s="705">
        <f t="shared" si="12"/>
        <v>100</v>
      </c>
      <c r="T43" s="704" t="s">
        <v>14</v>
      </c>
      <c r="U43" s="705">
        <f t="shared" si="13"/>
        <v>100</v>
      </c>
      <c r="V43" s="704" t="s">
        <v>14</v>
      </c>
      <c r="W43" s="705">
        <f t="shared" si="14"/>
        <v>100</v>
      </c>
      <c r="X43" s="1354"/>
      <c r="Y43" s="3742"/>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40"/>
      <c r="Q44" s="1351" t="str">
        <f t="shared" si="11"/>
        <v>内部装修维护情况</v>
      </c>
      <c r="R44" s="704" t="s">
        <v>14</v>
      </c>
      <c r="S44" s="705">
        <f t="shared" si="12"/>
        <v>100</v>
      </c>
      <c r="T44" s="704" t="s">
        <v>14</v>
      </c>
      <c r="U44" s="705">
        <f t="shared" si="13"/>
        <v>100</v>
      </c>
      <c r="V44" s="704" t="s">
        <v>14</v>
      </c>
      <c r="W44" s="705">
        <f t="shared" si="14"/>
        <v>100</v>
      </c>
      <c r="X44" s="1354"/>
      <c r="Y44" s="374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0"/>
      <c r="Q45" s="1342">
        <f t="shared" si="11"/>
        <v>111</v>
      </c>
      <c r="R45" s="700" t="s">
        <v>14</v>
      </c>
      <c r="S45" s="701">
        <f t="shared" si="12"/>
        <v>100</v>
      </c>
      <c r="T45" s="700" t="s">
        <v>14</v>
      </c>
      <c r="U45" s="701">
        <f t="shared" si="13"/>
        <v>100</v>
      </c>
      <c r="V45" s="700" t="s">
        <v>14</v>
      </c>
      <c r="W45" s="701">
        <f t="shared" si="14"/>
        <v>100</v>
      </c>
      <c r="X45" s="702"/>
      <c r="Y45" s="374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0"/>
      <c r="Q46" s="1351">
        <f t="shared" si="11"/>
        <v>111</v>
      </c>
      <c r="R46" s="704" t="s">
        <v>14</v>
      </c>
      <c r="S46" s="705">
        <f t="shared" si="12"/>
        <v>100</v>
      </c>
      <c r="T46" s="704" t="s">
        <v>14</v>
      </c>
      <c r="U46" s="705">
        <f t="shared" si="13"/>
        <v>100</v>
      </c>
      <c r="V46" s="704" t="s">
        <v>14</v>
      </c>
      <c r="W46" s="705">
        <f t="shared" si="14"/>
        <v>100</v>
      </c>
      <c r="X46" s="1354"/>
      <c r="Y46" s="374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1"/>
      <c r="Q47" s="1351">
        <f t="shared" si="11"/>
        <v>111</v>
      </c>
      <c r="R47" s="704" t="s">
        <v>14</v>
      </c>
      <c r="S47" s="705">
        <f t="shared" si="12"/>
        <v>100</v>
      </c>
      <c r="T47" s="704" t="s">
        <v>14</v>
      </c>
      <c r="U47" s="705">
        <f t="shared" si="13"/>
        <v>100</v>
      </c>
      <c r="V47" s="704" t="s">
        <v>14</v>
      </c>
      <c r="W47" s="705">
        <f t="shared" si="14"/>
        <v>100</v>
      </c>
      <c r="X47" s="1354"/>
      <c r="Y47" s="3743"/>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715" t="str">
        <f>A48</f>
        <v>成交单价（元/平方米）</v>
      </c>
      <c r="Q48" s="3744"/>
      <c r="R48" s="3745">
        <f>E48</f>
        <v>16000</v>
      </c>
      <c r="S48" s="3745"/>
      <c r="T48" s="3745">
        <f>G48</f>
        <v>17000</v>
      </c>
      <c r="U48" s="3745"/>
      <c r="V48" s="3745">
        <f>I48</f>
        <v>16000</v>
      </c>
      <c r="W48" s="3745"/>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715" t="str">
        <f>A49</f>
        <v>比较价值（元/平方米）</v>
      </c>
      <c r="Q49" s="3744"/>
      <c r="R49" s="3745">
        <f>IF(F1="售价",ROUND(PRODUCT(R48,AA7:AA47),0),ROUND(PRODUCT(R48,AA7:AA47),1))</f>
        <v>14937</v>
      </c>
      <c r="S49" s="3745"/>
      <c r="T49" s="3745">
        <f>IF(F1="售价",ROUND(PRODUCT(T48,AB7:AB47),0),ROUND(PRODUCT(T48,AB7:AB47),1))</f>
        <v>15870</v>
      </c>
      <c r="U49" s="3745"/>
      <c r="V49" s="3745">
        <f>IF(F1="售价",ROUND(PRODUCT(V48,AC7:AC47),0),ROUND(PRODUCT(V48,AC7:AC47),1))</f>
        <v>14937</v>
      </c>
      <c r="W49" s="3745"/>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746" t="str">
        <f>A50</f>
        <v>估价对象XX用房的比较价值（楼面单价，元/平方米）</v>
      </c>
      <c r="Q50" s="3747"/>
      <c r="R50" s="3748">
        <f>IF(F1="售价",ROUND(IF(D49="简单平均",AVERAGE(R49:V49),R49*F49+T49*H49+V49*J49),0),ROUND(IF(D49="简单平均",AVERAGE(R49:V49),R49*F49+T49*H49+V49*J49),1))</f>
        <v>15248</v>
      </c>
      <c r="S50" s="3748"/>
      <c r="T50" s="3748"/>
      <c r="U50" s="3748"/>
      <c r="V50" s="3748"/>
      <c r="W50" s="374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79"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0" t="s">
        <v>3443</v>
      </c>
      <c r="D89" s="3480" t="s">
        <v>3444</v>
      </c>
      <c r="E89" s="3480"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1"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0"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0" t="s">
        <v>3450</v>
      </c>
      <c r="D108" s="3480" t="s">
        <v>3451</v>
      </c>
      <c r="E108" s="3480" t="s">
        <v>3452</v>
      </c>
      <c r="F108" s="3482"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0"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2"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0" t="s">
        <v>3450</v>
      </c>
      <c r="D123" s="3480" t="s">
        <v>3451</v>
      </c>
      <c r="E123" s="3480" t="s">
        <v>3452</v>
      </c>
      <c r="F123" s="3482"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49" t="s">
        <v>2316</v>
      </c>
      <c r="K2" s="375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1" t="s">
        <v>2326</v>
      </c>
      <c r="K3" s="375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1" t="s">
        <v>2328</v>
      </c>
      <c r="K4" s="375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53" t="s">
        <v>2332</v>
      </c>
      <c r="B6" s="3754"/>
      <c r="C6" s="3755"/>
      <c r="D6" s="2868"/>
      <c r="E6" s="2869"/>
      <c r="F6" s="2870"/>
      <c r="G6" s="2871"/>
      <c r="H6" s="2846"/>
      <c r="I6" s="2847"/>
      <c r="J6" s="3756">
        <v>1</v>
      </c>
      <c r="K6" s="375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6"/>
      <c r="K7" s="375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0" t="s">
        <v>2346</v>
      </c>
      <c r="C8" s="3761"/>
      <c r="D8" s="2887" t="s">
        <v>2347</v>
      </c>
      <c r="E8" s="2888" t="s">
        <v>2348</v>
      </c>
      <c r="F8" s="2889" t="s">
        <v>2349</v>
      </c>
      <c r="G8" s="2890"/>
      <c r="H8" s="2846"/>
      <c r="I8" s="2847"/>
      <c r="J8" s="3756"/>
      <c r="K8" s="375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0" t="s">
        <v>2352</v>
      </c>
      <c r="C9" s="3761"/>
      <c r="D9" s="2887">
        <f>ROUND(D6*E9,0)</f>
        <v>0</v>
      </c>
      <c r="E9" s="2891"/>
      <c r="F9" s="2892" t="s">
        <v>2353</v>
      </c>
      <c r="G9" s="2871"/>
      <c r="H9" s="2846"/>
      <c r="I9" s="2847"/>
      <c r="J9" s="3756"/>
      <c r="K9" s="3758"/>
      <c r="L9" s="2881" t="s">
        <v>2354</v>
      </c>
      <c r="M9" s="2882"/>
      <c r="N9" s="2858"/>
      <c r="O9" s="2883"/>
      <c r="P9" s="2883"/>
      <c r="Q9" s="2884">
        <v>365</v>
      </c>
      <c r="R9" s="2885">
        <f t="shared" si="0"/>
        <v>0</v>
      </c>
      <c r="S9" s="2839"/>
      <c r="T9" s="2839"/>
      <c r="U9" s="2839"/>
      <c r="V9" s="2847"/>
    </row>
    <row r="10" spans="1:22" s="2851" customFormat="1" ht="13.15" customHeight="1">
      <c r="A10" s="2886">
        <v>2</v>
      </c>
      <c r="B10" s="3760" t="s">
        <v>2355</v>
      </c>
      <c r="C10" s="3761"/>
      <c r="D10" s="2887">
        <f>ROUND(D6*E10,0)</f>
        <v>0</v>
      </c>
      <c r="E10" s="2891"/>
      <c r="F10" s="2892" t="s">
        <v>2356</v>
      </c>
      <c r="G10" s="2871"/>
      <c r="H10" s="2846"/>
      <c r="I10" s="2847"/>
      <c r="J10" s="3756"/>
      <c r="K10" s="3758"/>
      <c r="L10" s="2881" t="s">
        <v>2357</v>
      </c>
      <c r="M10" s="2882"/>
      <c r="N10" s="2858"/>
      <c r="O10" s="2883"/>
      <c r="P10" s="2883"/>
      <c r="Q10" s="2884">
        <v>365</v>
      </c>
      <c r="R10" s="2885">
        <f t="shared" si="0"/>
        <v>0</v>
      </c>
      <c r="S10" s="2839"/>
      <c r="T10" s="2839"/>
      <c r="U10" s="2839"/>
      <c r="V10" s="2847"/>
    </row>
    <row r="11" spans="1:22" s="2851" customFormat="1" ht="13.15" customHeight="1">
      <c r="A11" s="2886">
        <v>3</v>
      </c>
      <c r="B11" s="3760" t="s">
        <v>2358</v>
      </c>
      <c r="C11" s="3761"/>
      <c r="D11" s="2887">
        <f>D12+D14+D15+D16</f>
        <v>0</v>
      </c>
      <c r="E11" s="2893" t="e">
        <f>D11/D6</f>
        <v>#DIV/0!</v>
      </c>
      <c r="F11" s="2889"/>
      <c r="G11" s="2890"/>
      <c r="H11" s="2846"/>
      <c r="I11" s="2847"/>
      <c r="J11" s="3756"/>
      <c r="K11" s="375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2" t="s">
        <v>2361</v>
      </c>
      <c r="C12" s="3763"/>
      <c r="D12" s="2895">
        <f>ROUND(D13*1.2%*(1-30%),0)</f>
        <v>0</v>
      </c>
      <c r="E12" s="2896">
        <v>1.2E-2</v>
      </c>
      <c r="F12" s="2889" t="s">
        <v>2362</v>
      </c>
      <c r="G12" s="2890"/>
      <c r="H12" s="2846"/>
      <c r="I12" s="2847"/>
      <c r="J12" s="3756"/>
      <c r="K12" s="375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6"/>
      <c r="K13" s="375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2" t="s">
        <v>2367</v>
      </c>
      <c r="C14" s="3763"/>
      <c r="D14" s="2895">
        <f>ROUND(E14*B5/10000,0)</f>
        <v>0</v>
      </c>
      <c r="E14" s="2884"/>
      <c r="F14" s="2889" t="s">
        <v>2368</v>
      </c>
      <c r="G14" s="2890"/>
      <c r="H14" s="2846"/>
      <c r="I14" s="2847"/>
      <c r="J14" s="3756"/>
      <c r="K14" s="375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2" t="s">
        <v>2371</v>
      </c>
      <c r="C15" s="3763"/>
      <c r="D15" s="2895">
        <f>ROUND(D6*E15,0)</f>
        <v>0</v>
      </c>
      <c r="E15" s="2896">
        <v>5.5E-2</v>
      </c>
      <c r="F15" s="2889" t="s">
        <v>2372</v>
      </c>
      <c r="G15" s="2871"/>
      <c r="H15" s="2846"/>
      <c r="I15" s="2847"/>
      <c r="J15" s="3756">
        <v>2</v>
      </c>
      <c r="K15" s="375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2" t="s">
        <v>2380</v>
      </c>
      <c r="C16" s="3763"/>
      <c r="D16" s="2906">
        <f>D6*E16</f>
        <v>0</v>
      </c>
      <c r="E16" s="2907"/>
      <c r="F16" s="2892" t="s">
        <v>2381</v>
      </c>
      <c r="G16" s="2871"/>
      <c r="H16" s="2846"/>
      <c r="I16" s="2847"/>
      <c r="J16" s="3756"/>
      <c r="K16" s="375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4" t="s">
        <v>2383</v>
      </c>
      <c r="C17" s="3765"/>
      <c r="D17" s="2909">
        <f>ROUND(D6*E17,0)</f>
        <v>0</v>
      </c>
      <c r="E17" s="2910"/>
      <c r="F17" s="2911" t="s">
        <v>2384</v>
      </c>
      <c r="G17" s="2871"/>
      <c r="H17" s="2846"/>
      <c r="I17" s="2847"/>
      <c r="J17" s="3756"/>
      <c r="K17" s="375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6"/>
      <c r="K18" s="375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6"/>
      <c r="K19" s="375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6">
        <v>3</v>
      </c>
      <c r="K20" s="375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6"/>
      <c r="K21" s="375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6"/>
      <c r="K22" s="375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6"/>
      <c r="K23" s="375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6"/>
      <c r="K24" s="375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6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6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49" t="s">
        <v>2316</v>
      </c>
      <c r="K32" s="375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1" t="s">
        <v>2326</v>
      </c>
      <c r="K33" s="375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1" t="s">
        <v>2328</v>
      </c>
      <c r="K34" s="37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6">
        <v>1</v>
      </c>
      <c r="K36" s="375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6"/>
      <c r="K37" s="375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6"/>
      <c r="K38" s="375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6"/>
      <c r="K39" s="375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6"/>
      <c r="K40" s="375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6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80.404200000000003</v>
      </c>
      <c r="C2" s="1871" t="s">
        <v>1651</v>
      </c>
      <c r="D2" s="1872" t="s">
        <v>1652</v>
      </c>
      <c r="E2" s="2606">
        <f>SUM(E6:E13)</f>
        <v>89.68</v>
      </c>
      <c r="F2" s="2705"/>
      <c r="G2" s="1488"/>
      <c r="H2" s="1488"/>
      <c r="I2" s="1488"/>
      <c r="J2" s="1488"/>
      <c r="K2" s="1488"/>
      <c r="L2" s="1488"/>
      <c r="M2" s="1488"/>
      <c r="N2" s="1488"/>
      <c r="O2" s="1488"/>
      <c r="P2" s="1488"/>
      <c r="Q2" s="1488"/>
      <c r="R2" s="1488"/>
      <c r="S2" s="1488"/>
    </row>
    <row r="3" spans="1:22" ht="15.75">
      <c r="A3" s="1869" t="s">
        <v>686</v>
      </c>
      <c r="B3" s="2600">
        <f ca="1">ROUND(B2*10000/E2,0)</f>
        <v>8966</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68" t="s">
        <v>1654</v>
      </c>
      <c r="C5" s="3769"/>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80.404200000000003</v>
      </c>
      <c r="C6" s="1871" t="s">
        <v>1651</v>
      </c>
      <c r="D6" s="2707"/>
      <c r="E6" s="2605">
        <f>IF(OR(A6=0,F6="否"),0,'数据-取费表'!K6+'数据-取费表'!S6)</f>
        <v>89.68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89.68</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9" t="s">
        <v>1667</v>
      </c>
      <c r="D4" s="3720"/>
      <c r="E4" s="3721" t="s">
        <v>1668</v>
      </c>
      <c r="F4" s="3722"/>
      <c r="G4" s="3719" t="s">
        <v>1669</v>
      </c>
      <c r="H4" s="3720"/>
      <c r="I4" s="3719" t="s">
        <v>1670</v>
      </c>
      <c r="J4" s="3720"/>
      <c r="K4" s="1888" t="s">
        <v>1671</v>
      </c>
      <c r="L4" s="2713"/>
      <c r="M4" s="2714"/>
      <c r="N4" s="2714"/>
      <c r="O4" s="2714"/>
      <c r="P4" s="3774" t="s">
        <v>1672</v>
      </c>
      <c r="Q4" s="3775"/>
      <c r="R4" s="3771" t="s">
        <v>1668</v>
      </c>
      <c r="S4" s="3772"/>
      <c r="T4" s="3771" t="s">
        <v>1669</v>
      </c>
      <c r="U4" s="3772"/>
      <c r="V4" s="3732" t="s">
        <v>1670</v>
      </c>
      <c r="W4" s="3732"/>
      <c r="X4" s="1354"/>
      <c r="Y4" s="3771" t="s">
        <v>1672</v>
      </c>
      <c r="Z4" s="3772"/>
      <c r="AA4" s="3770" t="s">
        <v>1668</v>
      </c>
      <c r="AB4" s="3770" t="s">
        <v>1669</v>
      </c>
      <c r="AC4" s="3770" t="s">
        <v>1670</v>
      </c>
    </row>
    <row r="5" spans="1:29" ht="15">
      <c r="A5" s="358"/>
      <c r="B5" s="359"/>
      <c r="C5" s="3707" t="s">
        <v>1673</v>
      </c>
      <c r="D5" s="3708"/>
      <c r="E5" s="3773" t="s">
        <v>1674</v>
      </c>
      <c r="F5" s="3706"/>
      <c r="G5" s="3707" t="s">
        <v>1675</v>
      </c>
      <c r="H5" s="3708"/>
      <c r="I5" s="3707" t="s">
        <v>1676</v>
      </c>
      <c r="J5" s="3708"/>
      <c r="K5" s="1889"/>
      <c r="L5" s="2713"/>
      <c r="M5" s="2714"/>
      <c r="N5" s="2714"/>
      <c r="O5" s="2714"/>
      <c r="P5" s="3776"/>
      <c r="Q5" s="3726"/>
      <c r="R5" s="3703"/>
      <c r="S5" s="3704"/>
      <c r="T5" s="3703"/>
      <c r="U5" s="3704"/>
      <c r="V5" s="3732"/>
      <c r="W5" s="3732"/>
      <c r="X5" s="1354"/>
      <c r="Y5" s="3703"/>
      <c r="Z5" s="3704"/>
      <c r="AA5" s="3697"/>
      <c r="AB5" s="3697"/>
      <c r="AC5" s="3697"/>
    </row>
    <row r="6" spans="1:29" ht="15.75" thickBot="1">
      <c r="A6" s="360"/>
      <c r="B6" s="361"/>
      <c r="C6" s="3709" t="s">
        <v>1677</v>
      </c>
      <c r="D6" s="3710"/>
      <c r="E6" s="3712" t="s">
        <v>1677</v>
      </c>
      <c r="F6" s="3713"/>
      <c r="G6" s="3709" t="s">
        <v>1677</v>
      </c>
      <c r="H6" s="3710"/>
      <c r="I6" s="3709" t="s">
        <v>1677</v>
      </c>
      <c r="J6" s="3710"/>
      <c r="K6" s="1889" t="s">
        <v>1678</v>
      </c>
      <c r="L6" s="2713"/>
      <c r="M6" s="2714"/>
      <c r="N6" s="2714"/>
      <c r="O6" s="2714"/>
      <c r="P6" s="3777"/>
      <c r="Q6" s="3728"/>
      <c r="R6" s="3703"/>
      <c r="S6" s="3704"/>
      <c r="T6" s="3729"/>
      <c r="U6" s="3730"/>
      <c r="V6" s="3732"/>
      <c r="W6" s="3732"/>
      <c r="X6" s="1354"/>
      <c r="Y6" s="3729"/>
      <c r="Z6" s="3730"/>
      <c r="AA6" s="3698"/>
      <c r="AB6" s="3698"/>
      <c r="AC6" s="3698"/>
    </row>
    <row r="7" spans="1:29" s="108" customFormat="1" ht="15.75" thickBot="1">
      <c r="A7" s="362" t="s">
        <v>1679</v>
      </c>
      <c r="B7" s="363"/>
      <c r="C7" s="364">
        <f>'数据-取费表'!B2</f>
        <v>45958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9" t="s">
        <v>1680</v>
      </c>
      <c r="Q7" s="3734"/>
      <c r="R7" s="700" t="s">
        <v>20</v>
      </c>
      <c r="S7" s="701">
        <f t="shared" ref="S7:S15" si="0">F7</f>
        <v>0</v>
      </c>
      <c r="T7" s="700" t="s">
        <v>20</v>
      </c>
      <c r="U7" s="701">
        <f t="shared" ref="U7:U15" si="1">H7</f>
        <v>0</v>
      </c>
      <c r="V7" s="700" t="s">
        <v>20</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9" t="s">
        <v>1683</v>
      </c>
      <c r="Q8" s="3700"/>
      <c r="R8" s="700" t="s">
        <v>20</v>
      </c>
      <c r="S8" s="701">
        <f t="shared" si="0"/>
        <v>100</v>
      </c>
      <c r="T8" s="700" t="s">
        <v>20</v>
      </c>
      <c r="U8" s="701">
        <f t="shared" si="1"/>
        <v>100</v>
      </c>
      <c r="V8" s="700" t="s">
        <v>20</v>
      </c>
      <c r="W8" s="701">
        <f t="shared" si="2"/>
        <v>100</v>
      </c>
      <c r="X8" s="702"/>
      <c r="Y8" s="3699" t="s">
        <v>1683</v>
      </c>
      <c r="Z8" s="370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5"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5"/>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5"/>
      <c r="Q11" s="1342" t="str">
        <f t="shared" si="6"/>
        <v>容积率</v>
      </c>
      <c r="R11" s="700" t="s">
        <v>18</v>
      </c>
      <c r="S11" s="701" t="e">
        <f t="shared" si="0"/>
        <v>#N/A</v>
      </c>
      <c r="T11" s="700" t="s">
        <v>18</v>
      </c>
      <c r="U11" s="701" t="e">
        <f t="shared" si="1"/>
        <v>#N/A</v>
      </c>
      <c r="V11" s="700" t="s">
        <v>18</v>
      </c>
      <c r="W11" s="701" t="e">
        <f t="shared" si="2"/>
        <v>#N/A</v>
      </c>
      <c r="X11" s="702"/>
      <c r="Y11" s="364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5"/>
      <c r="Q12" s="1342">
        <f t="shared" si="6"/>
        <v>111</v>
      </c>
      <c r="R12" s="700" t="s">
        <v>18</v>
      </c>
      <c r="S12" s="701">
        <f t="shared" si="0"/>
        <v>100</v>
      </c>
      <c r="T12" s="700" t="s">
        <v>18</v>
      </c>
      <c r="U12" s="701">
        <f t="shared" si="1"/>
        <v>100</v>
      </c>
      <c r="V12" s="700" t="s">
        <v>18</v>
      </c>
      <c r="W12" s="701">
        <f t="shared" si="2"/>
        <v>100</v>
      </c>
      <c r="X12" s="702"/>
      <c r="Y12" s="364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5"/>
      <c r="Q13" s="1342">
        <f t="shared" si="6"/>
        <v>111</v>
      </c>
      <c r="R13" s="700" t="s">
        <v>18</v>
      </c>
      <c r="S13" s="701">
        <f t="shared" si="0"/>
        <v>100</v>
      </c>
      <c r="T13" s="700" t="s">
        <v>18</v>
      </c>
      <c r="U13" s="701">
        <f t="shared" si="1"/>
        <v>100</v>
      </c>
      <c r="V13" s="700" t="s">
        <v>18</v>
      </c>
      <c r="W13" s="701">
        <f t="shared" si="2"/>
        <v>100</v>
      </c>
      <c r="X13" s="702"/>
      <c r="Y13" s="364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5"/>
      <c r="Q14" s="1342">
        <f t="shared" si="6"/>
        <v>111</v>
      </c>
      <c r="R14" s="700" t="s">
        <v>18</v>
      </c>
      <c r="S14" s="701">
        <f t="shared" si="0"/>
        <v>100</v>
      </c>
      <c r="T14" s="700" t="s">
        <v>18</v>
      </c>
      <c r="U14" s="701">
        <f t="shared" si="1"/>
        <v>100</v>
      </c>
      <c r="V14" s="700" t="s">
        <v>18</v>
      </c>
      <c r="W14" s="701">
        <f t="shared" si="2"/>
        <v>100</v>
      </c>
      <c r="X14" s="702"/>
      <c r="Y14" s="364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1691</v>
      </c>
      <c r="Q15" s="1351" t="str">
        <f t="shared" si="6"/>
        <v>居住社区成熟度</v>
      </c>
      <c r="R15" s="704" t="s">
        <v>18</v>
      </c>
      <c r="S15" s="705">
        <f t="shared" si="0"/>
        <v>100</v>
      </c>
      <c r="T15" s="704" t="s">
        <v>18</v>
      </c>
      <c r="U15" s="705">
        <f t="shared" si="1"/>
        <v>100</v>
      </c>
      <c r="V15" s="704" t="s">
        <v>18</v>
      </c>
      <c r="W15" s="705">
        <f t="shared" si="2"/>
        <v>100</v>
      </c>
      <c r="X15" s="1354"/>
      <c r="Y15" s="373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36"/>
      <c r="Q16" s="1351"/>
      <c r="R16" s="704"/>
      <c r="S16" s="705"/>
      <c r="T16" s="704"/>
      <c r="U16" s="705"/>
      <c r="V16" s="704"/>
      <c r="W16" s="705"/>
      <c r="X16" s="1354"/>
      <c r="Y16" s="373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1" t="str">
        <f>B17</f>
        <v>交通便捷度</v>
      </c>
      <c r="R17" s="704" t="s">
        <v>18</v>
      </c>
      <c r="S17" s="705">
        <f>F17</f>
        <v>100</v>
      </c>
      <c r="T17" s="704" t="s">
        <v>18</v>
      </c>
      <c r="U17" s="705">
        <f>H17</f>
        <v>100</v>
      </c>
      <c r="V17" s="704" t="s">
        <v>18</v>
      </c>
      <c r="W17" s="705">
        <f>J17</f>
        <v>100</v>
      </c>
      <c r="X17" s="1354"/>
      <c r="Y17" s="373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36"/>
      <c r="Q18" s="1351"/>
      <c r="R18" s="704"/>
      <c r="S18" s="705"/>
      <c r="T18" s="704"/>
      <c r="U18" s="705"/>
      <c r="V18" s="704"/>
      <c r="W18" s="705"/>
      <c r="X18" s="1354"/>
      <c r="Y18" s="373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1" t="str">
        <f>B19</f>
        <v>公共配套设施</v>
      </c>
      <c r="R19" s="704" t="s">
        <v>18</v>
      </c>
      <c r="S19" s="705">
        <f>F19</f>
        <v>100</v>
      </c>
      <c r="T19" s="704" t="s">
        <v>18</v>
      </c>
      <c r="U19" s="705">
        <f>H19</f>
        <v>100</v>
      </c>
      <c r="V19" s="704" t="s">
        <v>18</v>
      </c>
      <c r="W19" s="705">
        <f>J19</f>
        <v>100</v>
      </c>
      <c r="X19" s="1354"/>
      <c r="Y19" s="373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36"/>
      <c r="Q20" s="1351"/>
      <c r="R20" s="704"/>
      <c r="S20" s="705"/>
      <c r="T20" s="704"/>
      <c r="U20" s="705"/>
      <c r="V20" s="704"/>
      <c r="W20" s="705"/>
      <c r="X20" s="1354"/>
      <c r="Y20" s="373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1" t="str">
        <f>B21</f>
        <v>基础设施水平</v>
      </c>
      <c r="R21" s="704" t="s">
        <v>14</v>
      </c>
      <c r="S21" s="705">
        <f>F21</f>
        <v>100</v>
      </c>
      <c r="T21" s="704" t="s">
        <v>14</v>
      </c>
      <c r="U21" s="705">
        <f>H21</f>
        <v>100</v>
      </c>
      <c r="V21" s="704" t="s">
        <v>14</v>
      </c>
      <c r="W21" s="705">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36"/>
      <c r="Q22" s="1351"/>
      <c r="R22" s="704"/>
      <c r="S22" s="705"/>
      <c r="T22" s="704"/>
      <c r="U22" s="705"/>
      <c r="V22" s="704"/>
      <c r="W22" s="705"/>
      <c r="X22" s="1354"/>
      <c r="Y22" s="373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1" t="str">
        <f>B23</f>
        <v>自然及人文环境</v>
      </c>
      <c r="R23" s="704" t="s">
        <v>18</v>
      </c>
      <c r="S23" s="705">
        <f>F23</f>
        <v>100</v>
      </c>
      <c r="T23" s="704" t="s">
        <v>18</v>
      </c>
      <c r="U23" s="705">
        <f>H23</f>
        <v>100</v>
      </c>
      <c r="V23" s="704" t="s">
        <v>18</v>
      </c>
      <c r="W23" s="705">
        <f>J23</f>
        <v>100</v>
      </c>
      <c r="X23" s="1354"/>
      <c r="Y23" s="373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36"/>
      <c r="Q24" s="1351"/>
      <c r="R24" s="704"/>
      <c r="S24" s="705"/>
      <c r="T24" s="704"/>
      <c r="U24" s="705"/>
      <c r="V24" s="704"/>
      <c r="W24" s="705"/>
      <c r="X24" s="1354"/>
      <c r="Y24" s="373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6"/>
      <c r="Q26" s="1351" t="str">
        <f t="shared" si="11"/>
        <v>朝向</v>
      </c>
      <c r="R26" s="704" t="s">
        <v>18</v>
      </c>
      <c r="S26" s="705">
        <f t="shared" si="12"/>
        <v>100</v>
      </c>
      <c r="T26" s="704" t="s">
        <v>18</v>
      </c>
      <c r="U26" s="705">
        <f t="shared" si="13"/>
        <v>100</v>
      </c>
      <c r="V26" s="704" t="s">
        <v>18</v>
      </c>
      <c r="W26" s="705">
        <f t="shared" si="14"/>
        <v>100</v>
      </c>
      <c r="X26" s="1354"/>
      <c r="Y26" s="373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6"/>
      <c r="Q27" s="1342">
        <f t="shared" si="11"/>
        <v>111</v>
      </c>
      <c r="R27" s="700" t="s">
        <v>18</v>
      </c>
      <c r="S27" s="701">
        <f t="shared" si="12"/>
        <v>100</v>
      </c>
      <c r="T27" s="700" t="s">
        <v>18</v>
      </c>
      <c r="U27" s="701">
        <f t="shared" si="13"/>
        <v>100</v>
      </c>
      <c r="V27" s="700" t="s">
        <v>18</v>
      </c>
      <c r="W27" s="701">
        <f t="shared" si="14"/>
        <v>100</v>
      </c>
      <c r="X27" s="702"/>
      <c r="Y27" s="373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6"/>
      <c r="Q28" s="1351">
        <f t="shared" si="11"/>
        <v>111</v>
      </c>
      <c r="R28" s="704" t="s">
        <v>18</v>
      </c>
      <c r="S28" s="705">
        <f t="shared" si="12"/>
        <v>100</v>
      </c>
      <c r="T28" s="704" t="s">
        <v>18</v>
      </c>
      <c r="U28" s="705">
        <f t="shared" si="13"/>
        <v>100</v>
      </c>
      <c r="V28" s="704" t="s">
        <v>18</v>
      </c>
      <c r="W28" s="705">
        <f t="shared" si="14"/>
        <v>100</v>
      </c>
      <c r="X28" s="1354"/>
      <c r="Y28" s="373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6"/>
      <c r="Q29" s="1351">
        <f t="shared" si="11"/>
        <v>111</v>
      </c>
      <c r="R29" s="704" t="s">
        <v>18</v>
      </c>
      <c r="S29" s="705">
        <f t="shared" si="12"/>
        <v>100</v>
      </c>
      <c r="T29" s="704" t="s">
        <v>18</v>
      </c>
      <c r="U29" s="705">
        <f t="shared" si="13"/>
        <v>100</v>
      </c>
      <c r="V29" s="704" t="s">
        <v>18</v>
      </c>
      <c r="W29" s="705">
        <f t="shared" si="14"/>
        <v>100</v>
      </c>
      <c r="X29" s="1354"/>
      <c r="Y29" s="373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6"/>
      <c r="Q30" s="1351">
        <f t="shared" si="11"/>
        <v>111</v>
      </c>
      <c r="R30" s="704" t="s">
        <v>18</v>
      </c>
      <c r="S30" s="705">
        <f t="shared" si="12"/>
        <v>100</v>
      </c>
      <c r="T30" s="704" t="s">
        <v>18</v>
      </c>
      <c r="U30" s="705">
        <f t="shared" si="13"/>
        <v>100</v>
      </c>
      <c r="V30" s="704" t="s">
        <v>18</v>
      </c>
      <c r="W30" s="705">
        <f t="shared" si="14"/>
        <v>100</v>
      </c>
      <c r="X30" s="1354"/>
      <c r="Y30" s="373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6"/>
      <c r="Q31" s="1351">
        <f t="shared" si="11"/>
        <v>111</v>
      </c>
      <c r="R31" s="704" t="s">
        <v>18</v>
      </c>
      <c r="S31" s="705">
        <f t="shared" si="12"/>
        <v>100</v>
      </c>
      <c r="T31" s="704" t="s">
        <v>18</v>
      </c>
      <c r="U31" s="705">
        <f t="shared" si="13"/>
        <v>100</v>
      </c>
      <c r="V31" s="704" t="s">
        <v>18</v>
      </c>
      <c r="W31" s="705">
        <f t="shared" si="14"/>
        <v>100</v>
      </c>
      <c r="X31" s="1354"/>
      <c r="Y31" s="373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9" t="s">
        <v>1696</v>
      </c>
      <c r="Q32" s="1351" t="str">
        <f t="shared" si="11"/>
        <v>建筑类型</v>
      </c>
      <c r="R32" s="704" t="s">
        <v>18</v>
      </c>
      <c r="S32" s="705">
        <f t="shared" si="12"/>
        <v>100</v>
      </c>
      <c r="T32" s="704" t="s">
        <v>18</v>
      </c>
      <c r="U32" s="705">
        <f t="shared" si="13"/>
        <v>100</v>
      </c>
      <c r="V32" s="704" t="s">
        <v>18</v>
      </c>
      <c r="W32" s="705">
        <f t="shared" si="14"/>
        <v>100</v>
      </c>
      <c r="X32" s="1354"/>
      <c r="Y32" s="374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40"/>
      <c r="Q33" s="706" t="str">
        <f t="shared" si="11"/>
        <v>项目建筑规模</v>
      </c>
      <c r="R33" s="707" t="s">
        <v>18</v>
      </c>
      <c r="S33" s="708" t="e">
        <f t="shared" si="12"/>
        <v>#N/A</v>
      </c>
      <c r="T33" s="707" t="s">
        <v>18</v>
      </c>
      <c r="U33" s="708" t="e">
        <f t="shared" si="13"/>
        <v>#N/A</v>
      </c>
      <c r="V33" s="707" t="s">
        <v>18</v>
      </c>
      <c r="W33" s="708" t="e">
        <f t="shared" si="14"/>
        <v>#N/A</v>
      </c>
      <c r="X33" s="709"/>
      <c r="Y33" s="374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40"/>
      <c r="Q34" s="1351" t="str">
        <f t="shared" si="11"/>
        <v>建筑结构</v>
      </c>
      <c r="R34" s="704" t="s">
        <v>18</v>
      </c>
      <c r="S34" s="705">
        <f t="shared" si="12"/>
        <v>100</v>
      </c>
      <c r="T34" s="704" t="s">
        <v>18</v>
      </c>
      <c r="U34" s="705">
        <f t="shared" si="13"/>
        <v>100</v>
      </c>
      <c r="V34" s="704" t="s">
        <v>18</v>
      </c>
      <c r="W34" s="705">
        <f t="shared" si="14"/>
        <v>100</v>
      </c>
      <c r="X34" s="1354"/>
      <c r="Y34" s="374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40"/>
      <c r="Q35" s="1351" t="str">
        <f t="shared" si="11"/>
        <v>建筑品质</v>
      </c>
      <c r="R35" s="704" t="s">
        <v>18</v>
      </c>
      <c r="S35" s="705">
        <f t="shared" si="12"/>
        <v>100</v>
      </c>
      <c r="T35" s="704" t="s">
        <v>18</v>
      </c>
      <c r="U35" s="705">
        <f t="shared" si="13"/>
        <v>100</v>
      </c>
      <c r="V35" s="704" t="s">
        <v>18</v>
      </c>
      <c r="W35" s="705">
        <f t="shared" si="14"/>
        <v>100</v>
      </c>
      <c r="X35" s="1354"/>
      <c r="Y35" s="374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40"/>
      <c r="Q36" s="1351" t="str">
        <f t="shared" si="11"/>
        <v>公共部分装修</v>
      </c>
      <c r="R36" s="704" t="s">
        <v>18</v>
      </c>
      <c r="S36" s="705">
        <f t="shared" si="12"/>
        <v>100</v>
      </c>
      <c r="T36" s="704" t="s">
        <v>18</v>
      </c>
      <c r="U36" s="705">
        <f t="shared" si="13"/>
        <v>100</v>
      </c>
      <c r="V36" s="704" t="s">
        <v>18</v>
      </c>
      <c r="W36" s="705">
        <f t="shared" si="14"/>
        <v>100</v>
      </c>
      <c r="X36" s="1354"/>
      <c r="Y36" s="374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0"/>
      <c r="Q37" s="1342" t="str">
        <f t="shared" si="11"/>
        <v>成新度</v>
      </c>
      <c r="R37" s="700" t="s">
        <v>18</v>
      </c>
      <c r="S37" s="701" t="e">
        <f t="shared" si="12"/>
        <v>#N/A</v>
      </c>
      <c r="T37" s="700" t="s">
        <v>18</v>
      </c>
      <c r="U37" s="701" t="e">
        <f t="shared" si="13"/>
        <v>#N/A</v>
      </c>
      <c r="V37" s="700" t="s">
        <v>18</v>
      </c>
      <c r="W37" s="701" t="e">
        <f t="shared" si="14"/>
        <v>#N/A</v>
      </c>
      <c r="X37" s="702"/>
      <c r="Y37" s="374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40" t="s">
        <v>1696</v>
      </c>
      <c r="Q38" s="1351" t="str">
        <f t="shared" si="11"/>
        <v>物业管理</v>
      </c>
      <c r="R38" s="704" t="s">
        <v>18</v>
      </c>
      <c r="S38" s="705">
        <f t="shared" si="12"/>
        <v>100</v>
      </c>
      <c r="T38" s="704" t="s">
        <v>18</v>
      </c>
      <c r="U38" s="705">
        <f t="shared" si="13"/>
        <v>100</v>
      </c>
      <c r="V38" s="704" t="s">
        <v>18</v>
      </c>
      <c r="W38" s="705">
        <f t="shared" si="14"/>
        <v>100</v>
      </c>
      <c r="X38" s="1354"/>
      <c r="Y38" s="374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40"/>
      <c r="Q39" s="1351" t="str">
        <f t="shared" si="11"/>
        <v>市政基础设施</v>
      </c>
      <c r="R39" s="704" t="s">
        <v>18</v>
      </c>
      <c r="S39" s="705">
        <f t="shared" si="12"/>
        <v>100</v>
      </c>
      <c r="T39" s="704" t="s">
        <v>18</v>
      </c>
      <c r="U39" s="705">
        <f t="shared" si="13"/>
        <v>100</v>
      </c>
      <c r="V39" s="704" t="s">
        <v>18</v>
      </c>
      <c r="W39" s="705">
        <f t="shared" si="14"/>
        <v>100</v>
      </c>
      <c r="X39" s="1354"/>
      <c r="Y39" s="374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40"/>
      <c r="Q40" s="1351" t="str">
        <f t="shared" si="11"/>
        <v>房型</v>
      </c>
      <c r="R40" s="704" t="s">
        <v>18</v>
      </c>
      <c r="S40" s="705">
        <f t="shared" si="12"/>
        <v>100</v>
      </c>
      <c r="T40" s="704" t="s">
        <v>18</v>
      </c>
      <c r="U40" s="705">
        <f t="shared" si="13"/>
        <v>100</v>
      </c>
      <c r="V40" s="704" t="s">
        <v>18</v>
      </c>
      <c r="W40" s="705">
        <f t="shared" si="14"/>
        <v>100</v>
      </c>
      <c r="X40" s="1354"/>
      <c r="Y40" s="374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40"/>
      <c r="Q41" s="706" t="str">
        <f t="shared" si="11"/>
        <v>单套/主力户型建筑面积</v>
      </c>
      <c r="R41" s="707" t="s">
        <v>18</v>
      </c>
      <c r="S41" s="708">
        <f t="shared" si="12"/>
        <v>100</v>
      </c>
      <c r="T41" s="707" t="s">
        <v>18</v>
      </c>
      <c r="U41" s="708">
        <f t="shared" si="13"/>
        <v>100</v>
      </c>
      <c r="V41" s="707" t="s">
        <v>18</v>
      </c>
      <c r="W41" s="708">
        <f t="shared" si="14"/>
        <v>100</v>
      </c>
      <c r="X41" s="709"/>
      <c r="Y41" s="374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40"/>
      <c r="Q42" s="1351" t="str">
        <f t="shared" si="11"/>
        <v>内部装修</v>
      </c>
      <c r="R42" s="704" t="s">
        <v>18</v>
      </c>
      <c r="S42" s="705">
        <f t="shared" si="12"/>
        <v>100</v>
      </c>
      <c r="T42" s="704" t="s">
        <v>18</v>
      </c>
      <c r="U42" s="705">
        <f t="shared" si="13"/>
        <v>100</v>
      </c>
      <c r="V42" s="704" t="s">
        <v>18</v>
      </c>
      <c r="W42" s="705">
        <f t="shared" si="14"/>
        <v>100</v>
      </c>
      <c r="X42" s="1354"/>
      <c r="Y42" s="374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40"/>
      <c r="Q43" s="1351" t="str">
        <f t="shared" si="11"/>
        <v>内部装修维护情况</v>
      </c>
      <c r="R43" s="704" t="s">
        <v>18</v>
      </c>
      <c r="S43" s="705">
        <f t="shared" si="12"/>
        <v>100</v>
      </c>
      <c r="T43" s="704" t="s">
        <v>18</v>
      </c>
      <c r="U43" s="705">
        <f t="shared" si="13"/>
        <v>100</v>
      </c>
      <c r="V43" s="704" t="s">
        <v>18</v>
      </c>
      <c r="W43" s="705">
        <f t="shared" si="14"/>
        <v>100</v>
      </c>
      <c r="X43" s="1354"/>
      <c r="Y43" s="374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40"/>
      <c r="Q44" s="1342">
        <f t="shared" si="11"/>
        <v>111</v>
      </c>
      <c r="R44" s="700" t="s">
        <v>18</v>
      </c>
      <c r="S44" s="701">
        <f t="shared" si="12"/>
        <v>100</v>
      </c>
      <c r="T44" s="700" t="s">
        <v>18</v>
      </c>
      <c r="U44" s="701">
        <f t="shared" si="13"/>
        <v>100</v>
      </c>
      <c r="V44" s="700" t="s">
        <v>18</v>
      </c>
      <c r="W44" s="701">
        <f t="shared" si="14"/>
        <v>100</v>
      </c>
      <c r="X44" s="702"/>
      <c r="Y44" s="374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40"/>
      <c r="Q45" s="1351">
        <f t="shared" si="11"/>
        <v>111</v>
      </c>
      <c r="R45" s="704" t="s">
        <v>18</v>
      </c>
      <c r="S45" s="705">
        <f t="shared" si="12"/>
        <v>100</v>
      </c>
      <c r="T45" s="704" t="s">
        <v>18</v>
      </c>
      <c r="U45" s="705">
        <f t="shared" si="13"/>
        <v>100</v>
      </c>
      <c r="V45" s="704" t="s">
        <v>18</v>
      </c>
      <c r="W45" s="705">
        <f t="shared" si="14"/>
        <v>100</v>
      </c>
      <c r="X45" s="1354"/>
      <c r="Y45" s="374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1"/>
      <c r="Q46" s="1351">
        <f t="shared" si="11"/>
        <v>111</v>
      </c>
      <c r="R46" s="704" t="s">
        <v>17</v>
      </c>
      <c r="S46" s="705">
        <f t="shared" si="12"/>
        <v>100</v>
      </c>
      <c r="T46" s="704" t="s">
        <v>17</v>
      </c>
      <c r="U46" s="705">
        <f t="shared" si="13"/>
        <v>100</v>
      </c>
      <c r="V46" s="704" t="s">
        <v>17</v>
      </c>
      <c r="W46" s="705">
        <f t="shared" si="14"/>
        <v>100</v>
      </c>
      <c r="X46" s="1354"/>
      <c r="Y46" s="374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44" t="str">
        <f>A47</f>
        <v>成交单价（元/平方米）</v>
      </c>
      <c r="Q47" s="3744"/>
      <c r="R47" s="3745">
        <f>E47</f>
        <v>0</v>
      </c>
      <c r="S47" s="3745"/>
      <c r="T47" s="3745">
        <f>G47</f>
        <v>0</v>
      </c>
      <c r="U47" s="3745"/>
      <c r="V47" s="3745">
        <f>I47</f>
        <v>0</v>
      </c>
      <c r="W47" s="374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89.68</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9" t="s">
        <v>1770</v>
      </c>
      <c r="D4" s="3720"/>
      <c r="E4" s="3721" t="s">
        <v>1771</v>
      </c>
      <c r="F4" s="3722"/>
      <c r="G4" s="3719" t="s">
        <v>1772</v>
      </c>
      <c r="H4" s="3720"/>
      <c r="I4" s="3719" t="s">
        <v>1773</v>
      </c>
      <c r="J4" s="3720"/>
      <c r="K4" s="559" t="s">
        <v>1774</v>
      </c>
      <c r="L4" s="2713"/>
      <c r="M4" s="2714"/>
      <c r="N4" s="2714"/>
      <c r="O4" s="2714"/>
      <c r="P4" s="3774" t="s">
        <v>1775</v>
      </c>
      <c r="Q4" s="3775"/>
      <c r="R4" s="3771" t="s">
        <v>1771</v>
      </c>
      <c r="S4" s="3772"/>
      <c r="T4" s="3771" t="s">
        <v>1772</v>
      </c>
      <c r="U4" s="3772"/>
      <c r="V4" s="3732" t="s">
        <v>1773</v>
      </c>
      <c r="W4" s="3732"/>
      <c r="X4" s="1354"/>
      <c r="Y4" s="3771" t="s">
        <v>1775</v>
      </c>
      <c r="Z4" s="3772"/>
      <c r="AA4" s="3770" t="s">
        <v>1771</v>
      </c>
      <c r="AB4" s="3732" t="s">
        <v>1772</v>
      </c>
      <c r="AC4" s="3770" t="s">
        <v>1773</v>
      </c>
    </row>
    <row r="5" spans="1:29" ht="15">
      <c r="A5" s="358"/>
      <c r="B5" s="359"/>
      <c r="C5" s="3707" t="s">
        <v>1673</v>
      </c>
      <c r="D5" s="3708"/>
      <c r="E5" s="3773" t="s">
        <v>1674</v>
      </c>
      <c r="F5" s="3706"/>
      <c r="G5" s="3707" t="s">
        <v>1675</v>
      </c>
      <c r="H5" s="3708"/>
      <c r="I5" s="3707" t="s">
        <v>1676</v>
      </c>
      <c r="J5" s="3708"/>
      <c r="K5" s="559"/>
      <c r="L5" s="2713"/>
      <c r="M5" s="2714"/>
      <c r="N5" s="2714"/>
      <c r="O5" s="2714"/>
      <c r="P5" s="3776"/>
      <c r="Q5" s="3726"/>
      <c r="R5" s="3703"/>
      <c r="S5" s="3704"/>
      <c r="T5" s="3703"/>
      <c r="U5" s="3704"/>
      <c r="V5" s="3732"/>
      <c r="W5" s="3732"/>
      <c r="X5" s="1354"/>
      <c r="Y5" s="3703"/>
      <c r="Z5" s="3704"/>
      <c r="AA5" s="3697"/>
      <c r="AB5" s="3732"/>
      <c r="AC5" s="3697"/>
    </row>
    <row r="6" spans="1:29" ht="15.75" thickBot="1">
      <c r="A6" s="360"/>
      <c r="B6" s="361"/>
      <c r="C6" s="3709" t="s">
        <v>1677</v>
      </c>
      <c r="D6" s="3710"/>
      <c r="E6" s="3712" t="s">
        <v>1677</v>
      </c>
      <c r="F6" s="3713"/>
      <c r="G6" s="3709" t="s">
        <v>1677</v>
      </c>
      <c r="H6" s="3710"/>
      <c r="I6" s="3709" t="s">
        <v>1677</v>
      </c>
      <c r="J6" s="3710"/>
      <c r="K6" s="559" t="s">
        <v>1678</v>
      </c>
      <c r="L6" s="2713"/>
      <c r="M6" s="2714"/>
      <c r="N6" s="2714"/>
      <c r="O6" s="2714"/>
      <c r="P6" s="3777"/>
      <c r="Q6" s="3728"/>
      <c r="R6" s="3703"/>
      <c r="S6" s="3704"/>
      <c r="T6" s="3729"/>
      <c r="U6" s="3730"/>
      <c r="V6" s="3732"/>
      <c r="W6" s="3732"/>
      <c r="X6" s="1354"/>
      <c r="Y6" s="3729"/>
      <c r="Z6" s="3730"/>
      <c r="AA6" s="3698"/>
      <c r="AB6" s="3732"/>
      <c r="AC6" s="3698"/>
    </row>
    <row r="7" spans="1:29" s="108" customFormat="1" ht="15.75" thickBot="1">
      <c r="A7" s="362" t="s">
        <v>1679</v>
      </c>
      <c r="B7" s="363"/>
      <c r="C7" s="364">
        <f>'数据-取费表'!B2</f>
        <v>45958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9" t="s">
        <v>1680</v>
      </c>
      <c r="Q7" s="3734"/>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5"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5"/>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5"/>
      <c r="Q11" s="1342" t="str">
        <f t="shared" si="6"/>
        <v>容积率</v>
      </c>
      <c r="R11" s="700" t="s">
        <v>14</v>
      </c>
      <c r="S11" s="701" t="e">
        <f t="shared" si="0"/>
        <v>#N/A</v>
      </c>
      <c r="T11" s="700" t="s">
        <v>14</v>
      </c>
      <c r="U11" s="701" t="e">
        <f t="shared" si="1"/>
        <v>#N/A</v>
      </c>
      <c r="V11" s="700" t="s">
        <v>14</v>
      </c>
      <c r="W11" s="701" t="e">
        <f t="shared" si="2"/>
        <v>#N/A</v>
      </c>
      <c r="X11" s="702"/>
      <c r="Y11" s="3645"/>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5"/>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5"/>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5"/>
      <c r="Q14" s="1342">
        <f t="shared" si="6"/>
        <v>111</v>
      </c>
      <c r="R14" s="700" t="s">
        <v>14</v>
      </c>
      <c r="S14" s="701">
        <f t="shared" si="0"/>
        <v>100</v>
      </c>
      <c r="T14" s="700" t="s">
        <v>14</v>
      </c>
      <c r="U14" s="701">
        <f t="shared" si="1"/>
        <v>100</v>
      </c>
      <c r="V14" s="700" t="s">
        <v>14</v>
      </c>
      <c r="W14" s="701">
        <f t="shared" si="2"/>
        <v>100</v>
      </c>
      <c r="X14" s="702"/>
      <c r="Y14" s="364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1691</v>
      </c>
      <c r="Q15" s="1351" t="str">
        <f t="shared" si="6"/>
        <v>商业繁华度</v>
      </c>
      <c r="R15" s="704" t="s">
        <v>14</v>
      </c>
      <c r="S15" s="705">
        <f t="shared" si="0"/>
        <v>100</v>
      </c>
      <c r="T15" s="704" t="s">
        <v>14</v>
      </c>
      <c r="U15" s="705">
        <f t="shared" si="1"/>
        <v>100</v>
      </c>
      <c r="V15" s="704" t="s">
        <v>14</v>
      </c>
      <c r="W15" s="705">
        <f t="shared" si="2"/>
        <v>100</v>
      </c>
      <c r="X15" s="1354"/>
      <c r="Y15" s="373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6"/>
      <c r="Q16" s="1351"/>
      <c r="R16" s="704"/>
      <c r="S16" s="705"/>
      <c r="T16" s="704"/>
      <c r="U16" s="705"/>
      <c r="V16" s="704"/>
      <c r="W16" s="705"/>
      <c r="X16" s="1354"/>
      <c r="Y16" s="373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1" t="str">
        <f>B17</f>
        <v>交通便捷度</v>
      </c>
      <c r="R17" s="704" t="s">
        <v>14</v>
      </c>
      <c r="S17" s="705">
        <f>F17</f>
        <v>100</v>
      </c>
      <c r="T17" s="704" t="s">
        <v>14</v>
      </c>
      <c r="U17" s="705">
        <f>H17</f>
        <v>100</v>
      </c>
      <c r="V17" s="704" t="s">
        <v>14</v>
      </c>
      <c r="W17" s="705">
        <f>J17</f>
        <v>100</v>
      </c>
      <c r="X17" s="1354"/>
      <c r="Y17" s="373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36"/>
      <c r="Q18" s="1351"/>
      <c r="R18" s="704"/>
      <c r="S18" s="705"/>
      <c r="T18" s="704"/>
      <c r="U18" s="705"/>
      <c r="V18" s="704"/>
      <c r="W18" s="705"/>
      <c r="X18" s="1354"/>
      <c r="Y18" s="373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1" t="str">
        <f>B19</f>
        <v>公共配套设施</v>
      </c>
      <c r="R19" s="704" t="s">
        <v>14</v>
      </c>
      <c r="S19" s="705">
        <f>F19</f>
        <v>100</v>
      </c>
      <c r="T19" s="704" t="s">
        <v>14</v>
      </c>
      <c r="U19" s="705">
        <f>H19</f>
        <v>100</v>
      </c>
      <c r="V19" s="704" t="s">
        <v>14</v>
      </c>
      <c r="W19" s="705">
        <f>J19</f>
        <v>100</v>
      </c>
      <c r="X19" s="1354"/>
      <c r="Y19" s="373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36"/>
      <c r="Q20" s="1351"/>
      <c r="R20" s="704"/>
      <c r="S20" s="705"/>
      <c r="T20" s="704"/>
      <c r="U20" s="705"/>
      <c r="V20" s="704"/>
      <c r="W20" s="705"/>
      <c r="X20" s="1354"/>
      <c r="Y20" s="373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1" t="str">
        <f>B21</f>
        <v>基础设施水平</v>
      </c>
      <c r="R21" s="704" t="s">
        <v>14</v>
      </c>
      <c r="S21" s="705">
        <f>F21</f>
        <v>100</v>
      </c>
      <c r="T21" s="704" t="s">
        <v>14</v>
      </c>
      <c r="U21" s="705">
        <f>H21</f>
        <v>100</v>
      </c>
      <c r="V21" s="704" t="s">
        <v>14</v>
      </c>
      <c r="W21" s="705">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36"/>
      <c r="Q22" s="1351"/>
      <c r="R22" s="704"/>
      <c r="S22" s="705"/>
      <c r="T22" s="704"/>
      <c r="U22" s="705"/>
      <c r="V22" s="704"/>
      <c r="W22" s="705"/>
      <c r="X22" s="1354"/>
      <c r="Y22" s="373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1" t="str">
        <f>B23</f>
        <v>自然及人文环境</v>
      </c>
      <c r="R23" s="704" t="s">
        <v>14</v>
      </c>
      <c r="S23" s="705">
        <f>F23</f>
        <v>100</v>
      </c>
      <c r="T23" s="704" t="s">
        <v>14</v>
      </c>
      <c r="U23" s="705">
        <f>H23</f>
        <v>100</v>
      </c>
      <c r="V23" s="704" t="s">
        <v>14</v>
      </c>
      <c r="W23" s="705">
        <f>J23</f>
        <v>100</v>
      </c>
      <c r="X23" s="1354"/>
      <c r="Y23" s="373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36"/>
      <c r="Q24" s="1351"/>
      <c r="R24" s="704"/>
      <c r="S24" s="705"/>
      <c r="T24" s="704"/>
      <c r="U24" s="705"/>
      <c r="V24" s="704"/>
      <c r="W24" s="705"/>
      <c r="X24" s="1354"/>
      <c r="Y24" s="373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1" t="str">
        <f t="shared" ref="Q25:Q46" si="11">B25</f>
        <v>临街状况</v>
      </c>
      <c r="R25" s="704" t="s">
        <v>14</v>
      </c>
      <c r="S25" s="705">
        <f>F25</f>
        <v>100</v>
      </c>
      <c r="T25" s="704" t="s">
        <v>14</v>
      </c>
      <c r="U25" s="705">
        <f>H25</f>
        <v>100</v>
      </c>
      <c r="V25" s="704" t="s">
        <v>14</v>
      </c>
      <c r="W25" s="705">
        <f>J25</f>
        <v>100</v>
      </c>
      <c r="X25" s="1354"/>
      <c r="Y25" s="373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1" t="str">
        <f t="shared" si="11"/>
        <v>平面位置/可视性</v>
      </c>
      <c r="R26" s="704" t="s">
        <v>14</v>
      </c>
      <c r="S26" s="705">
        <f>F26</f>
        <v>100</v>
      </c>
      <c r="T26" s="704" t="s">
        <v>14</v>
      </c>
      <c r="U26" s="705">
        <f>H26</f>
        <v>100</v>
      </c>
      <c r="V26" s="704" t="s">
        <v>14</v>
      </c>
      <c r="W26" s="705">
        <f>J26</f>
        <v>100</v>
      </c>
      <c r="X26" s="1354"/>
      <c r="Y26" s="373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6"/>
      <c r="Q27" s="1342" t="str">
        <f t="shared" si="11"/>
        <v>人流量</v>
      </c>
      <c r="R27" s="700" t="s">
        <v>14</v>
      </c>
      <c r="S27" s="701">
        <f>F27</f>
        <v>100</v>
      </c>
      <c r="T27" s="700" t="s">
        <v>14</v>
      </c>
      <c r="U27" s="701">
        <f>H27</f>
        <v>100</v>
      </c>
      <c r="V27" s="700" t="s">
        <v>14</v>
      </c>
      <c r="W27" s="701">
        <f>J27</f>
        <v>100</v>
      </c>
      <c r="X27" s="702"/>
      <c r="Y27" s="373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1">
        <f t="shared" si="11"/>
        <v>111</v>
      </c>
      <c r="R29" s="704" t="s">
        <v>14</v>
      </c>
      <c r="S29" s="705">
        <f t="shared" si="12"/>
        <v>100</v>
      </c>
      <c r="T29" s="704" t="s">
        <v>14</v>
      </c>
      <c r="U29" s="705">
        <f t="shared" si="13"/>
        <v>100</v>
      </c>
      <c r="V29" s="704" t="s">
        <v>14</v>
      </c>
      <c r="W29" s="705">
        <f t="shared" si="14"/>
        <v>100</v>
      </c>
      <c r="X29" s="1354"/>
      <c r="Y29" s="373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1">
        <f t="shared" si="11"/>
        <v>111</v>
      </c>
      <c r="R30" s="704" t="s">
        <v>14</v>
      </c>
      <c r="S30" s="705">
        <f t="shared" si="12"/>
        <v>100</v>
      </c>
      <c r="T30" s="704" t="s">
        <v>14</v>
      </c>
      <c r="U30" s="705">
        <f t="shared" si="13"/>
        <v>100</v>
      </c>
      <c r="V30" s="704" t="s">
        <v>14</v>
      </c>
      <c r="W30" s="705">
        <f t="shared" si="14"/>
        <v>100</v>
      </c>
      <c r="X30" s="1354"/>
      <c r="Y30" s="373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1">
        <f t="shared" si="11"/>
        <v>111</v>
      </c>
      <c r="R31" s="704" t="s">
        <v>14</v>
      </c>
      <c r="S31" s="705">
        <f t="shared" si="12"/>
        <v>100</v>
      </c>
      <c r="T31" s="704" t="s">
        <v>14</v>
      </c>
      <c r="U31" s="705">
        <f t="shared" si="13"/>
        <v>100</v>
      </c>
      <c r="V31" s="704" t="s">
        <v>14</v>
      </c>
      <c r="W31" s="705">
        <f t="shared" si="14"/>
        <v>100</v>
      </c>
      <c r="X31" s="1354"/>
      <c r="Y31" s="373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9" t="s">
        <v>1696</v>
      </c>
      <c r="Q32" s="1351" t="str">
        <f t="shared" si="11"/>
        <v>商业类型</v>
      </c>
      <c r="R32" s="704" t="s">
        <v>14</v>
      </c>
      <c r="S32" s="705">
        <f t="shared" si="12"/>
        <v>100</v>
      </c>
      <c r="T32" s="704" t="s">
        <v>14</v>
      </c>
      <c r="U32" s="705">
        <f t="shared" si="13"/>
        <v>100</v>
      </c>
      <c r="V32" s="704" t="s">
        <v>14</v>
      </c>
      <c r="W32" s="705">
        <f t="shared" si="14"/>
        <v>100</v>
      </c>
      <c r="X32" s="1354"/>
      <c r="Y32" s="374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0"/>
      <c r="Q33" s="706" t="str">
        <f t="shared" si="11"/>
        <v>项目建筑规模</v>
      </c>
      <c r="R33" s="707" t="s">
        <v>14</v>
      </c>
      <c r="S33" s="708" t="e">
        <f t="shared" si="12"/>
        <v>#N/A</v>
      </c>
      <c r="T33" s="707" t="s">
        <v>14</v>
      </c>
      <c r="U33" s="708" t="e">
        <f t="shared" si="13"/>
        <v>#N/A</v>
      </c>
      <c r="V33" s="707" t="s">
        <v>14</v>
      </c>
      <c r="W33" s="708" t="e">
        <f t="shared" si="14"/>
        <v>#N/A</v>
      </c>
      <c r="X33" s="709"/>
      <c r="Y33" s="3742"/>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0"/>
      <c r="Q34" s="1351" t="str">
        <f t="shared" si="11"/>
        <v>建筑结构</v>
      </c>
      <c r="R34" s="704" t="s">
        <v>14</v>
      </c>
      <c r="S34" s="705">
        <f t="shared" si="12"/>
        <v>100</v>
      </c>
      <c r="T34" s="704" t="s">
        <v>14</v>
      </c>
      <c r="U34" s="705">
        <f t="shared" si="13"/>
        <v>100</v>
      </c>
      <c r="V34" s="704" t="s">
        <v>14</v>
      </c>
      <c r="W34" s="705">
        <f t="shared" si="14"/>
        <v>100</v>
      </c>
      <c r="X34" s="1354"/>
      <c r="Y34" s="374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40"/>
      <c r="Q35" s="1351" t="str">
        <f t="shared" si="11"/>
        <v>公共部分装修</v>
      </c>
      <c r="R35" s="704" t="s">
        <v>14</v>
      </c>
      <c r="S35" s="705">
        <f t="shared" si="12"/>
        <v>100</v>
      </c>
      <c r="T35" s="704" t="s">
        <v>14</v>
      </c>
      <c r="U35" s="705">
        <f t="shared" si="13"/>
        <v>100</v>
      </c>
      <c r="V35" s="704" t="s">
        <v>14</v>
      </c>
      <c r="W35" s="705">
        <f t="shared" si="14"/>
        <v>100</v>
      </c>
      <c r="X35" s="1354"/>
      <c r="Y35" s="374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0"/>
      <c r="Q36" s="1351" t="str">
        <f t="shared" si="11"/>
        <v>成新度</v>
      </c>
      <c r="R36" s="704" t="s">
        <v>14</v>
      </c>
      <c r="S36" s="705" t="e">
        <f t="shared" si="12"/>
        <v>#N/A</v>
      </c>
      <c r="T36" s="704" t="s">
        <v>14</v>
      </c>
      <c r="U36" s="705" t="e">
        <f t="shared" si="13"/>
        <v>#N/A</v>
      </c>
      <c r="V36" s="704" t="s">
        <v>14</v>
      </c>
      <c r="W36" s="705" t="e">
        <f t="shared" si="14"/>
        <v>#N/A</v>
      </c>
      <c r="X36" s="1354"/>
      <c r="Y36" s="374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40"/>
      <c r="Q37" s="1342" t="str">
        <f t="shared" si="11"/>
        <v>市政基础设施</v>
      </c>
      <c r="R37" s="700" t="s">
        <v>14</v>
      </c>
      <c r="S37" s="701">
        <f t="shared" si="12"/>
        <v>100</v>
      </c>
      <c r="T37" s="700" t="s">
        <v>14</v>
      </c>
      <c r="U37" s="701">
        <f t="shared" si="13"/>
        <v>100</v>
      </c>
      <c r="V37" s="700" t="s">
        <v>14</v>
      </c>
      <c r="W37" s="701">
        <f t="shared" si="14"/>
        <v>100</v>
      </c>
      <c r="X37" s="702"/>
      <c r="Y37" s="3742"/>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40" t="s">
        <v>1696</v>
      </c>
      <c r="Q38" s="1351" t="str">
        <f t="shared" si="11"/>
        <v>业态</v>
      </c>
      <c r="R38" s="704" t="s">
        <v>14</v>
      </c>
      <c r="S38" s="705">
        <f t="shared" si="12"/>
        <v>100</v>
      </c>
      <c r="T38" s="704" t="s">
        <v>14</v>
      </c>
      <c r="U38" s="705">
        <f t="shared" si="13"/>
        <v>100</v>
      </c>
      <c r="V38" s="704" t="s">
        <v>14</v>
      </c>
      <c r="W38" s="705">
        <f t="shared" si="14"/>
        <v>100</v>
      </c>
      <c r="X38" s="1354"/>
      <c r="Y38" s="374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40"/>
      <c r="Q39" s="1351" t="str">
        <f t="shared" si="11"/>
        <v>层高</v>
      </c>
      <c r="R39" s="704" t="s">
        <v>14</v>
      </c>
      <c r="S39" s="705">
        <f t="shared" si="12"/>
        <v>100</v>
      </c>
      <c r="T39" s="704" t="s">
        <v>14</v>
      </c>
      <c r="U39" s="705">
        <f t="shared" si="13"/>
        <v>100</v>
      </c>
      <c r="V39" s="704" t="s">
        <v>14</v>
      </c>
      <c r="W39" s="705">
        <f t="shared" si="14"/>
        <v>100</v>
      </c>
      <c r="X39" s="1354"/>
      <c r="Y39" s="374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0"/>
      <c r="Q40" s="1351" t="str">
        <f t="shared" si="11"/>
        <v>单套建筑面积</v>
      </c>
      <c r="R40" s="704" t="s">
        <v>14</v>
      </c>
      <c r="S40" s="705">
        <f t="shared" si="12"/>
        <v>100</v>
      </c>
      <c r="T40" s="704" t="s">
        <v>14</v>
      </c>
      <c r="U40" s="705">
        <f t="shared" si="13"/>
        <v>100</v>
      </c>
      <c r="V40" s="704" t="s">
        <v>14</v>
      </c>
      <c r="W40" s="705">
        <f t="shared" si="14"/>
        <v>100</v>
      </c>
      <c r="X40" s="1354"/>
      <c r="Y40" s="374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0"/>
      <c r="Q41" s="706" t="str">
        <f t="shared" si="11"/>
        <v>进深比</v>
      </c>
      <c r="R41" s="707" t="s">
        <v>14</v>
      </c>
      <c r="S41" s="708">
        <f t="shared" si="12"/>
        <v>100</v>
      </c>
      <c r="T41" s="707" t="s">
        <v>14</v>
      </c>
      <c r="U41" s="708">
        <f t="shared" si="13"/>
        <v>100</v>
      </c>
      <c r="V41" s="707" t="s">
        <v>14</v>
      </c>
      <c r="W41" s="708">
        <f t="shared" si="14"/>
        <v>100</v>
      </c>
      <c r="X41" s="709"/>
      <c r="Y41" s="3742"/>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40"/>
      <c r="Q42" s="1351" t="str">
        <f t="shared" si="11"/>
        <v>内部装修</v>
      </c>
      <c r="R42" s="704" t="s">
        <v>14</v>
      </c>
      <c r="S42" s="705">
        <f t="shared" si="12"/>
        <v>100</v>
      </c>
      <c r="T42" s="704" t="s">
        <v>14</v>
      </c>
      <c r="U42" s="705">
        <f t="shared" si="13"/>
        <v>100</v>
      </c>
      <c r="V42" s="704" t="s">
        <v>14</v>
      </c>
      <c r="W42" s="705">
        <f t="shared" si="14"/>
        <v>100</v>
      </c>
      <c r="X42" s="1354"/>
      <c r="Y42" s="374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40"/>
      <c r="Q43" s="1351" t="str">
        <f t="shared" si="11"/>
        <v>内部装修维护情况</v>
      </c>
      <c r="R43" s="704" t="s">
        <v>14</v>
      </c>
      <c r="S43" s="705">
        <f t="shared" si="12"/>
        <v>100</v>
      </c>
      <c r="T43" s="704" t="s">
        <v>14</v>
      </c>
      <c r="U43" s="705">
        <f t="shared" si="13"/>
        <v>100</v>
      </c>
      <c r="V43" s="704" t="s">
        <v>14</v>
      </c>
      <c r="W43" s="705">
        <f t="shared" si="14"/>
        <v>100</v>
      </c>
      <c r="X43" s="1354"/>
      <c r="Y43" s="374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0"/>
      <c r="Q44" s="1342">
        <f t="shared" si="11"/>
        <v>111</v>
      </c>
      <c r="R44" s="700" t="s">
        <v>14</v>
      </c>
      <c r="S44" s="701">
        <f t="shared" si="12"/>
        <v>100</v>
      </c>
      <c r="T44" s="700" t="s">
        <v>14</v>
      </c>
      <c r="U44" s="701">
        <f t="shared" si="13"/>
        <v>100</v>
      </c>
      <c r="V44" s="700" t="s">
        <v>14</v>
      </c>
      <c r="W44" s="701">
        <f t="shared" si="14"/>
        <v>100</v>
      </c>
      <c r="X44" s="702"/>
      <c r="Y44" s="374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0"/>
      <c r="Q45" s="1351">
        <f t="shared" si="11"/>
        <v>111</v>
      </c>
      <c r="R45" s="704" t="s">
        <v>14</v>
      </c>
      <c r="S45" s="705">
        <f t="shared" si="12"/>
        <v>100</v>
      </c>
      <c r="T45" s="704" t="s">
        <v>14</v>
      </c>
      <c r="U45" s="705">
        <f t="shared" si="13"/>
        <v>100</v>
      </c>
      <c r="V45" s="704" t="s">
        <v>14</v>
      </c>
      <c r="W45" s="705">
        <f t="shared" si="14"/>
        <v>100</v>
      </c>
      <c r="X45" s="1354"/>
      <c r="Y45" s="374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1"/>
      <c r="Q46" s="1351">
        <f t="shared" si="11"/>
        <v>111</v>
      </c>
      <c r="R46" s="704" t="s">
        <v>14</v>
      </c>
      <c r="S46" s="705">
        <f t="shared" si="12"/>
        <v>100</v>
      </c>
      <c r="T46" s="704" t="s">
        <v>14</v>
      </c>
      <c r="U46" s="705">
        <f t="shared" si="13"/>
        <v>100</v>
      </c>
      <c r="V46" s="704" t="s">
        <v>14</v>
      </c>
      <c r="W46" s="705">
        <f t="shared" si="14"/>
        <v>100</v>
      </c>
      <c r="X46" s="1354"/>
      <c r="Y46" s="3743"/>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44" t="str">
        <f>A47</f>
        <v>成交单价（元/平方米）</v>
      </c>
      <c r="Q47" s="3744"/>
      <c r="R47" s="3732">
        <f>E47</f>
        <v>0</v>
      </c>
      <c r="S47" s="3732"/>
      <c r="T47" s="3732">
        <f>G47</f>
        <v>0</v>
      </c>
      <c r="U47" s="3732"/>
      <c r="V47" s="3732">
        <f>I47</f>
        <v>0</v>
      </c>
      <c r="W47" s="3732"/>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估价对象为北京市通州区兴贸三街19号院1号楼4层507办公用房房地产，为所有。根据《国有土地使用证》[]，估价对象（分摊）出让国有建设用地使用权面积为0平方米，建筑面积为89.68平方米。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89.68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89.68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912"/>
      <c r="M4" s="913"/>
      <c r="N4" s="913"/>
      <c r="O4" s="913"/>
      <c r="P4" s="3774" t="s">
        <v>1775</v>
      </c>
      <c r="Q4" s="3775"/>
      <c r="R4" s="3771" t="s">
        <v>1771</v>
      </c>
      <c r="S4" s="3772"/>
      <c r="T4" s="3771" t="s">
        <v>1772</v>
      </c>
      <c r="U4" s="3772"/>
      <c r="V4" s="3732" t="s">
        <v>1773</v>
      </c>
      <c r="W4" s="3732"/>
      <c r="X4" s="1354"/>
      <c r="Y4" s="3771" t="s">
        <v>1775</v>
      </c>
      <c r="Z4" s="3772"/>
      <c r="AA4" s="3770" t="s">
        <v>1771</v>
      </c>
      <c r="AB4" s="3697" t="s">
        <v>1772</v>
      </c>
      <c r="AC4" s="3770" t="s">
        <v>1773</v>
      </c>
    </row>
    <row r="5" spans="1:29" ht="15">
      <c r="A5" s="358"/>
      <c r="B5" s="359"/>
      <c r="C5" s="3707" t="s">
        <v>1673</v>
      </c>
      <c r="D5" s="3708"/>
      <c r="E5" s="3773" t="s">
        <v>1674</v>
      </c>
      <c r="F5" s="3706"/>
      <c r="G5" s="3707" t="s">
        <v>1675</v>
      </c>
      <c r="H5" s="3708"/>
      <c r="I5" s="3707" t="s">
        <v>1676</v>
      </c>
      <c r="J5" s="3708"/>
      <c r="K5" s="559"/>
      <c r="L5" s="912"/>
      <c r="M5" s="913"/>
      <c r="N5" s="913"/>
      <c r="O5" s="913"/>
      <c r="P5" s="3776"/>
      <c r="Q5" s="3726"/>
      <c r="R5" s="3703"/>
      <c r="S5" s="3704"/>
      <c r="T5" s="3703"/>
      <c r="U5" s="3704"/>
      <c r="V5" s="3732"/>
      <c r="W5" s="3732"/>
      <c r="X5" s="1354"/>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912"/>
      <c r="M6" s="913"/>
      <c r="N6" s="913"/>
      <c r="O6" s="913"/>
      <c r="P6" s="3777"/>
      <c r="Q6" s="3728"/>
      <c r="R6" s="3703"/>
      <c r="S6" s="3704"/>
      <c r="T6" s="3729"/>
      <c r="U6" s="3730"/>
      <c r="V6" s="3732"/>
      <c r="W6" s="3732"/>
      <c r="X6" s="1354"/>
      <c r="Y6" s="3729"/>
      <c r="Z6" s="3730"/>
      <c r="AA6" s="3698"/>
      <c r="AB6" s="3698"/>
      <c r="AC6" s="3698"/>
    </row>
    <row r="7" spans="1:29" s="108" customFormat="1" ht="15.75" thickBot="1">
      <c r="A7" s="362" t="s">
        <v>1679</v>
      </c>
      <c r="B7" s="363"/>
      <c r="C7" s="364">
        <f>'数据-取费表'!B2</f>
        <v>45958</v>
      </c>
      <c r="D7" s="365">
        <v>100</v>
      </c>
      <c r="E7" s="366"/>
      <c r="F7" s="367">
        <f>SUMIF(52:52,YEAR(E7)&amp;"-"&amp;MONTH(E7),53:53)</f>
        <v>0</v>
      </c>
      <c r="G7" s="366"/>
      <c r="H7" s="365">
        <f>SUMIF(52:52,YEAR(G7)&amp;"-"&amp;MONTH(G7),53:53)</f>
        <v>0</v>
      </c>
      <c r="I7" s="366"/>
      <c r="J7" s="365">
        <f>SUMIF(52:52,YEAR(I7)&amp;"-"&amp;MONTH(I7),53:53)</f>
        <v>0</v>
      </c>
      <c r="K7" s="560"/>
      <c r="L7" s="914"/>
      <c r="M7" s="915"/>
      <c r="N7" s="915"/>
      <c r="O7" s="915"/>
      <c r="P7" s="3699" t="s">
        <v>1680</v>
      </c>
      <c r="Q7" s="3734"/>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9" t="s">
        <v>1683</v>
      </c>
      <c r="Q8" s="3700"/>
      <c r="R8" s="700" t="s">
        <v>14</v>
      </c>
      <c r="S8" s="701">
        <f t="shared" si="0"/>
        <v>100</v>
      </c>
      <c r="T8" s="700" t="s">
        <v>14</v>
      </c>
      <c r="U8" s="701">
        <f t="shared" si="1"/>
        <v>100</v>
      </c>
      <c r="V8" s="700" t="s">
        <v>14</v>
      </c>
      <c r="W8" s="701">
        <f t="shared" si="2"/>
        <v>100</v>
      </c>
      <c r="X8" s="702"/>
      <c r="Y8" s="3699" t="s">
        <v>1683</v>
      </c>
      <c r="Z8" s="370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4"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44"/>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4"/>
      <c r="Q11" s="1342" t="str">
        <f t="shared" si="6"/>
        <v>容积率</v>
      </c>
      <c r="R11" s="700" t="s">
        <v>14</v>
      </c>
      <c r="S11" s="701">
        <f t="shared" si="0"/>
        <v>100</v>
      </c>
      <c r="T11" s="700" t="s">
        <v>14</v>
      </c>
      <c r="U11" s="701">
        <f t="shared" si="1"/>
        <v>100</v>
      </c>
      <c r="V11" s="700" t="s">
        <v>14</v>
      </c>
      <c r="W11" s="701">
        <f t="shared" si="2"/>
        <v>100</v>
      </c>
      <c r="X11" s="702"/>
      <c r="Y11" s="364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4"/>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4"/>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4"/>
      <c r="Q14" s="1342">
        <f t="shared" si="6"/>
        <v>111</v>
      </c>
      <c r="R14" s="700" t="s">
        <v>14</v>
      </c>
      <c r="S14" s="701">
        <f t="shared" si="0"/>
        <v>100</v>
      </c>
      <c r="T14" s="700" t="s">
        <v>14</v>
      </c>
      <c r="U14" s="701">
        <f t="shared" si="1"/>
        <v>100</v>
      </c>
      <c r="V14" s="700" t="s">
        <v>14</v>
      </c>
      <c r="W14" s="701">
        <f t="shared" si="2"/>
        <v>100</v>
      </c>
      <c r="X14" s="702"/>
      <c r="Y14" s="364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7" t="s">
        <v>1691</v>
      </c>
      <c r="Q15" s="1351" t="str">
        <f t="shared" si="6"/>
        <v>产业集聚程度</v>
      </c>
      <c r="R15" s="704" t="s">
        <v>14</v>
      </c>
      <c r="S15" s="705">
        <f t="shared" si="0"/>
        <v>100</v>
      </c>
      <c r="T15" s="704" t="s">
        <v>14</v>
      </c>
      <c r="U15" s="705">
        <f t="shared" si="1"/>
        <v>100</v>
      </c>
      <c r="V15" s="704" t="s">
        <v>14</v>
      </c>
      <c r="W15" s="705">
        <f t="shared" si="2"/>
        <v>100</v>
      </c>
      <c r="X15" s="1354"/>
      <c r="Y15" s="373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8"/>
      <c r="Q16" s="1351"/>
      <c r="R16" s="704"/>
      <c r="S16" s="705"/>
      <c r="T16" s="704"/>
      <c r="U16" s="705"/>
      <c r="V16" s="704"/>
      <c r="W16" s="705"/>
      <c r="X16" s="1354"/>
      <c r="Y16" s="373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8"/>
      <c r="Q17" s="1351" t="str">
        <f>B17</f>
        <v>交通便捷度</v>
      </c>
      <c r="R17" s="704" t="s">
        <v>14</v>
      </c>
      <c r="S17" s="705">
        <f>F17</f>
        <v>100</v>
      </c>
      <c r="T17" s="704" t="s">
        <v>14</v>
      </c>
      <c r="U17" s="705">
        <f>H17</f>
        <v>100</v>
      </c>
      <c r="V17" s="704" t="s">
        <v>14</v>
      </c>
      <c r="W17" s="705">
        <f>J17</f>
        <v>100</v>
      </c>
      <c r="X17" s="1354"/>
      <c r="Y17" s="373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8"/>
      <c r="Q18" s="1351"/>
      <c r="R18" s="704"/>
      <c r="S18" s="705"/>
      <c r="T18" s="704"/>
      <c r="U18" s="705"/>
      <c r="V18" s="704"/>
      <c r="W18" s="705"/>
      <c r="X18" s="1354"/>
      <c r="Y18" s="373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8"/>
      <c r="Q19" s="1351" t="str">
        <f>B19</f>
        <v>公共配套设施</v>
      </c>
      <c r="R19" s="704" t="s">
        <v>14</v>
      </c>
      <c r="S19" s="705">
        <f>F19</f>
        <v>100</v>
      </c>
      <c r="T19" s="704" t="s">
        <v>14</v>
      </c>
      <c r="U19" s="705">
        <f>H19</f>
        <v>100</v>
      </c>
      <c r="V19" s="704" t="s">
        <v>14</v>
      </c>
      <c r="W19" s="705">
        <f>J19</f>
        <v>100</v>
      </c>
      <c r="X19" s="1354"/>
      <c r="Y19" s="373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8"/>
      <c r="Q20" s="1351"/>
      <c r="R20" s="704"/>
      <c r="S20" s="705"/>
      <c r="T20" s="704"/>
      <c r="U20" s="705"/>
      <c r="V20" s="704"/>
      <c r="W20" s="705"/>
      <c r="X20" s="1354"/>
      <c r="Y20" s="373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8"/>
      <c r="Q21" s="1351" t="str">
        <f>B21</f>
        <v>基础设施水平</v>
      </c>
      <c r="R21" s="704" t="s">
        <v>14</v>
      </c>
      <c r="S21" s="705">
        <f>F21</f>
        <v>100</v>
      </c>
      <c r="T21" s="704" t="s">
        <v>14</v>
      </c>
      <c r="U21" s="705">
        <f>H21</f>
        <v>100</v>
      </c>
      <c r="V21" s="704" t="s">
        <v>14</v>
      </c>
      <c r="W21" s="705">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8"/>
      <c r="Q22" s="1351"/>
      <c r="R22" s="704"/>
      <c r="S22" s="705"/>
      <c r="T22" s="704"/>
      <c r="U22" s="705"/>
      <c r="V22" s="704"/>
      <c r="W22" s="705"/>
      <c r="X22" s="1354"/>
      <c r="Y22" s="373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8"/>
      <c r="Q23" s="1351" t="str">
        <f>B23</f>
        <v>环境质量</v>
      </c>
      <c r="R23" s="704" t="s">
        <v>14</v>
      </c>
      <c r="S23" s="705">
        <f>F23</f>
        <v>100</v>
      </c>
      <c r="T23" s="704" t="s">
        <v>14</v>
      </c>
      <c r="U23" s="705">
        <f>H23</f>
        <v>100</v>
      </c>
      <c r="V23" s="704" t="s">
        <v>14</v>
      </c>
      <c r="W23" s="705">
        <f>J23</f>
        <v>100</v>
      </c>
      <c r="X23" s="1354"/>
      <c r="Y23" s="373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8"/>
      <c r="Q24" s="1351"/>
      <c r="R24" s="704"/>
      <c r="S24" s="705"/>
      <c r="T24" s="704"/>
      <c r="U24" s="705"/>
      <c r="V24" s="704"/>
      <c r="W24" s="705"/>
      <c r="X24" s="1354"/>
      <c r="Y24" s="373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8"/>
      <c r="Q25" s="1351">
        <f>B25</f>
        <v>111</v>
      </c>
      <c r="R25" s="704" t="s">
        <v>14</v>
      </c>
      <c r="S25" s="705">
        <f>F25</f>
        <v>100</v>
      </c>
      <c r="T25" s="704" t="s">
        <v>14</v>
      </c>
      <c r="U25" s="705">
        <f>H25</f>
        <v>100</v>
      </c>
      <c r="V25" s="704" t="s">
        <v>14</v>
      </c>
      <c r="W25" s="705">
        <f>J25</f>
        <v>100</v>
      </c>
      <c r="X25" s="1354"/>
      <c r="Y25" s="373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8"/>
      <c r="Q26" s="1351">
        <f t="shared" ref="Q26:Q40" si="11">B26</f>
        <v>111</v>
      </c>
      <c r="R26" s="704" t="s">
        <v>14</v>
      </c>
      <c r="S26" s="705">
        <f>F26</f>
        <v>100</v>
      </c>
      <c r="T26" s="704" t="s">
        <v>14</v>
      </c>
      <c r="U26" s="705">
        <f>H26</f>
        <v>100</v>
      </c>
      <c r="V26" s="704" t="s">
        <v>14</v>
      </c>
      <c r="W26" s="705">
        <f>J26</f>
        <v>100</v>
      </c>
      <c r="X26" s="1354"/>
      <c r="Y26" s="373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8"/>
      <c r="Q27" s="1342">
        <f t="shared" si="11"/>
        <v>111</v>
      </c>
      <c r="R27" s="700" t="s">
        <v>14</v>
      </c>
      <c r="S27" s="701">
        <f>F27</f>
        <v>100</v>
      </c>
      <c r="T27" s="700" t="s">
        <v>14</v>
      </c>
      <c r="U27" s="701">
        <f>H27</f>
        <v>100</v>
      </c>
      <c r="V27" s="700" t="s">
        <v>14</v>
      </c>
      <c r="W27" s="701">
        <f>J27</f>
        <v>100</v>
      </c>
      <c r="X27" s="702"/>
      <c r="Y27" s="373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8"/>
      <c r="Q28" s="1351">
        <f t="shared" si="11"/>
        <v>111</v>
      </c>
      <c r="R28" s="704" t="s">
        <v>14</v>
      </c>
      <c r="S28" s="705">
        <f t="shared" ref="S28:S40" si="12">F28</f>
        <v>100</v>
      </c>
      <c r="T28" s="704" t="s">
        <v>14</v>
      </c>
      <c r="U28" s="705">
        <f t="shared" ref="U28:U40" si="13">H28</f>
        <v>100</v>
      </c>
      <c r="V28" s="704" t="s">
        <v>14</v>
      </c>
      <c r="W28" s="705">
        <f t="shared" ref="W28:W40" si="14">J28</f>
        <v>100</v>
      </c>
      <c r="X28" s="1354"/>
      <c r="Y28" s="373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1" t="s">
        <v>1696</v>
      </c>
      <c r="Q29" s="1351" t="str">
        <f t="shared" si="11"/>
        <v>建筑类型</v>
      </c>
      <c r="R29" s="704" t="s">
        <v>14</v>
      </c>
      <c r="S29" s="705">
        <f t="shared" si="12"/>
        <v>100</v>
      </c>
      <c r="T29" s="704" t="s">
        <v>14</v>
      </c>
      <c r="U29" s="705">
        <f t="shared" si="13"/>
        <v>100</v>
      </c>
      <c r="V29" s="704" t="s">
        <v>14</v>
      </c>
      <c r="W29" s="705">
        <f t="shared" si="14"/>
        <v>100</v>
      </c>
      <c r="X29" s="1354"/>
      <c r="Y29" s="374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2"/>
      <c r="Q30" s="706" t="str">
        <f t="shared" si="11"/>
        <v>项目建筑规模</v>
      </c>
      <c r="R30" s="707" t="s">
        <v>14</v>
      </c>
      <c r="S30" s="708" t="e">
        <f t="shared" si="12"/>
        <v>#N/A</v>
      </c>
      <c r="T30" s="707" t="s">
        <v>14</v>
      </c>
      <c r="U30" s="708" t="e">
        <f t="shared" si="13"/>
        <v>#N/A</v>
      </c>
      <c r="V30" s="707" t="s">
        <v>14</v>
      </c>
      <c r="W30" s="708" t="e">
        <f t="shared" si="14"/>
        <v>#N/A</v>
      </c>
      <c r="X30" s="709"/>
      <c r="Y30" s="374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2"/>
      <c r="Q31" s="1351" t="str">
        <f t="shared" si="11"/>
        <v>建筑结构</v>
      </c>
      <c r="R31" s="704" t="s">
        <v>14</v>
      </c>
      <c r="S31" s="705">
        <f t="shared" si="12"/>
        <v>100</v>
      </c>
      <c r="T31" s="704" t="s">
        <v>14</v>
      </c>
      <c r="U31" s="705">
        <f t="shared" si="13"/>
        <v>100</v>
      </c>
      <c r="V31" s="704" t="s">
        <v>14</v>
      </c>
      <c r="W31" s="705">
        <f t="shared" si="14"/>
        <v>100</v>
      </c>
      <c r="X31" s="1354"/>
      <c r="Y31" s="374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2"/>
      <c r="Q32" s="1351" t="str">
        <f t="shared" si="11"/>
        <v>公共部分装修</v>
      </c>
      <c r="R32" s="704" t="s">
        <v>14</v>
      </c>
      <c r="S32" s="705">
        <f t="shared" si="12"/>
        <v>100</v>
      </c>
      <c r="T32" s="704" t="s">
        <v>14</v>
      </c>
      <c r="U32" s="705">
        <f t="shared" si="13"/>
        <v>100</v>
      </c>
      <c r="V32" s="704" t="s">
        <v>14</v>
      </c>
      <c r="W32" s="705">
        <f t="shared" si="14"/>
        <v>100</v>
      </c>
      <c r="X32" s="1354"/>
      <c r="Y32" s="374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2"/>
      <c r="Q33" s="1351" t="str">
        <f t="shared" si="11"/>
        <v>成新度</v>
      </c>
      <c r="R33" s="704" t="s">
        <v>14</v>
      </c>
      <c r="S33" s="705" t="e">
        <f t="shared" si="12"/>
        <v>#N/A</v>
      </c>
      <c r="T33" s="704" t="s">
        <v>14</v>
      </c>
      <c r="U33" s="705" t="e">
        <f t="shared" si="13"/>
        <v>#N/A</v>
      </c>
      <c r="V33" s="704" t="s">
        <v>14</v>
      </c>
      <c r="W33" s="705" t="e">
        <f t="shared" si="14"/>
        <v>#N/A</v>
      </c>
      <c r="X33" s="1354"/>
      <c r="Y33" s="374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2"/>
      <c r="Q34" s="1342" t="str">
        <f t="shared" si="11"/>
        <v>物业管理</v>
      </c>
      <c r="R34" s="700" t="s">
        <v>14</v>
      </c>
      <c r="S34" s="701">
        <f t="shared" si="12"/>
        <v>100</v>
      </c>
      <c r="T34" s="700" t="s">
        <v>14</v>
      </c>
      <c r="U34" s="701">
        <f t="shared" si="13"/>
        <v>100</v>
      </c>
      <c r="V34" s="700" t="s">
        <v>14</v>
      </c>
      <c r="W34" s="701">
        <f t="shared" si="14"/>
        <v>100</v>
      </c>
      <c r="X34" s="702"/>
      <c r="Y34" s="374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2" t="s">
        <v>1696</v>
      </c>
      <c r="Q35" s="1351" t="str">
        <f t="shared" si="11"/>
        <v>市政基础设施</v>
      </c>
      <c r="R35" s="704" t="s">
        <v>14</v>
      </c>
      <c r="S35" s="705">
        <f t="shared" si="12"/>
        <v>100</v>
      </c>
      <c r="T35" s="704" t="s">
        <v>14</v>
      </c>
      <c r="U35" s="705">
        <f t="shared" si="13"/>
        <v>100</v>
      </c>
      <c r="V35" s="704" t="s">
        <v>14</v>
      </c>
      <c r="W35" s="705">
        <f t="shared" si="14"/>
        <v>100</v>
      </c>
      <c r="X35" s="1354"/>
      <c r="Y35" s="374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2"/>
      <c r="Q36" s="1351" t="str">
        <f t="shared" si="11"/>
        <v>内部装修</v>
      </c>
      <c r="R36" s="704" t="s">
        <v>14</v>
      </c>
      <c r="S36" s="705">
        <f t="shared" si="12"/>
        <v>100</v>
      </c>
      <c r="T36" s="704" t="s">
        <v>14</v>
      </c>
      <c r="U36" s="705">
        <f t="shared" si="13"/>
        <v>100</v>
      </c>
      <c r="V36" s="704" t="s">
        <v>14</v>
      </c>
      <c r="W36" s="705">
        <f t="shared" si="14"/>
        <v>100</v>
      </c>
      <c r="X36" s="1354"/>
      <c r="Y36" s="374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2"/>
      <c r="Q37" s="1351" t="str">
        <f t="shared" si="11"/>
        <v>内部装修状况</v>
      </c>
      <c r="R37" s="704" t="s">
        <v>14</v>
      </c>
      <c r="S37" s="705">
        <f t="shared" si="12"/>
        <v>100</v>
      </c>
      <c r="T37" s="704" t="s">
        <v>14</v>
      </c>
      <c r="U37" s="705">
        <f t="shared" si="13"/>
        <v>100</v>
      </c>
      <c r="V37" s="704" t="s">
        <v>14</v>
      </c>
      <c r="W37" s="705">
        <f t="shared" si="14"/>
        <v>100</v>
      </c>
      <c r="X37" s="1354"/>
      <c r="Y37" s="374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2"/>
      <c r="Q38" s="706">
        <f t="shared" si="11"/>
        <v>111</v>
      </c>
      <c r="R38" s="707" t="s">
        <v>14</v>
      </c>
      <c r="S38" s="708">
        <f t="shared" si="12"/>
        <v>100</v>
      </c>
      <c r="T38" s="707" t="s">
        <v>14</v>
      </c>
      <c r="U38" s="708">
        <f t="shared" si="13"/>
        <v>100</v>
      </c>
      <c r="V38" s="707" t="s">
        <v>14</v>
      </c>
      <c r="W38" s="708">
        <f t="shared" si="14"/>
        <v>100</v>
      </c>
      <c r="X38" s="709"/>
      <c r="Y38" s="374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2"/>
      <c r="Q39" s="1351">
        <f t="shared" si="11"/>
        <v>111</v>
      </c>
      <c r="R39" s="704" t="s">
        <v>14</v>
      </c>
      <c r="S39" s="705">
        <f t="shared" si="12"/>
        <v>100</v>
      </c>
      <c r="T39" s="704" t="s">
        <v>14</v>
      </c>
      <c r="U39" s="705">
        <f t="shared" si="13"/>
        <v>100</v>
      </c>
      <c r="V39" s="704" t="s">
        <v>14</v>
      </c>
      <c r="W39" s="705">
        <f t="shared" si="14"/>
        <v>100</v>
      </c>
      <c r="X39" s="1354"/>
      <c r="Y39" s="374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3"/>
      <c r="Q40" s="1351">
        <f t="shared" si="11"/>
        <v>111</v>
      </c>
      <c r="R40" s="704" t="s">
        <v>14</v>
      </c>
      <c r="S40" s="705">
        <f t="shared" si="12"/>
        <v>100</v>
      </c>
      <c r="T40" s="704" t="s">
        <v>14</v>
      </c>
      <c r="U40" s="705">
        <f t="shared" si="13"/>
        <v>100</v>
      </c>
      <c r="V40" s="704" t="s">
        <v>14</v>
      </c>
      <c r="W40" s="705">
        <f t="shared" si="14"/>
        <v>100</v>
      </c>
      <c r="X40" s="1354"/>
      <c r="Y40" s="374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4" t="str">
        <f>A41</f>
        <v>成交单价（元/平方米）</v>
      </c>
      <c r="Q41" s="3744"/>
      <c r="R41" s="3745">
        <f>E41</f>
        <v>0</v>
      </c>
      <c r="S41" s="3745"/>
      <c r="T41" s="3745">
        <f>G41</f>
        <v>0</v>
      </c>
      <c r="U41" s="3745"/>
      <c r="V41" s="3745">
        <f>I41</f>
        <v>0</v>
      </c>
      <c r="W41" s="374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13"/>
      <c r="M4" s="2714"/>
      <c r="N4" s="2714"/>
      <c r="O4" s="2714"/>
      <c r="P4" s="3774" t="s">
        <v>1775</v>
      </c>
      <c r="Q4" s="3775"/>
      <c r="R4" s="3771" t="s">
        <v>1771</v>
      </c>
      <c r="S4" s="3772"/>
      <c r="T4" s="3771" t="s">
        <v>1772</v>
      </c>
      <c r="U4" s="3772"/>
      <c r="V4" s="3732" t="s">
        <v>1773</v>
      </c>
      <c r="W4" s="3732"/>
      <c r="X4" s="1354"/>
      <c r="Y4" s="3771" t="s">
        <v>1775</v>
      </c>
      <c r="Z4" s="3772"/>
      <c r="AA4" s="3770" t="s">
        <v>1771</v>
      </c>
      <c r="AB4" s="3697" t="s">
        <v>1772</v>
      </c>
      <c r="AC4" s="3770" t="s">
        <v>1773</v>
      </c>
    </row>
    <row r="5" spans="1:29" ht="15">
      <c r="A5" s="358"/>
      <c r="B5" s="359"/>
      <c r="C5" s="3707" t="s">
        <v>1673</v>
      </c>
      <c r="D5" s="3708"/>
      <c r="E5" s="3773" t="s">
        <v>1674</v>
      </c>
      <c r="F5" s="3706"/>
      <c r="G5" s="3707" t="s">
        <v>1675</v>
      </c>
      <c r="H5" s="3708"/>
      <c r="I5" s="3707" t="s">
        <v>1676</v>
      </c>
      <c r="J5" s="3708"/>
      <c r="K5" s="559"/>
      <c r="L5" s="2713"/>
      <c r="M5" s="2714"/>
      <c r="N5" s="2714"/>
      <c r="O5" s="2714"/>
      <c r="P5" s="3776"/>
      <c r="Q5" s="3726"/>
      <c r="R5" s="3703"/>
      <c r="S5" s="3704"/>
      <c r="T5" s="3703"/>
      <c r="U5" s="3704"/>
      <c r="V5" s="3732"/>
      <c r="W5" s="3732"/>
      <c r="X5" s="1354"/>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2713"/>
      <c r="M6" s="2714"/>
      <c r="N6" s="2714"/>
      <c r="O6" s="2714"/>
      <c r="P6" s="3777"/>
      <c r="Q6" s="3728"/>
      <c r="R6" s="3703"/>
      <c r="S6" s="3704"/>
      <c r="T6" s="3729"/>
      <c r="U6" s="3730"/>
      <c r="V6" s="3732"/>
      <c r="W6" s="3732"/>
      <c r="X6" s="1354"/>
      <c r="Y6" s="3729"/>
      <c r="Z6" s="3730"/>
      <c r="AA6" s="3698"/>
      <c r="AB6" s="3698"/>
      <c r="AC6" s="3698"/>
    </row>
    <row r="7" spans="1:29" s="108" customFormat="1" ht="15.75" thickBot="1">
      <c r="A7" s="362" t="s">
        <v>1679</v>
      </c>
      <c r="B7" s="363"/>
      <c r="C7" s="364">
        <f>'数据-取费表'!B2</f>
        <v>45958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1680</v>
      </c>
      <c r="Q7" s="3734"/>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4" t="s">
        <v>1686</v>
      </c>
      <c r="Q9" s="1342" t="str">
        <f t="shared" ref="Q9:Q14" si="6">B9</f>
        <v>用途</v>
      </c>
      <c r="R9" s="700" t="s">
        <v>14</v>
      </c>
      <c r="S9" s="701">
        <f t="shared" si="0"/>
        <v>100</v>
      </c>
      <c r="T9" s="700" t="s">
        <v>14</v>
      </c>
      <c r="U9" s="701">
        <f t="shared" si="1"/>
        <v>100</v>
      </c>
      <c r="V9" s="700" t="s">
        <v>14</v>
      </c>
      <c r="W9" s="701">
        <f t="shared" si="2"/>
        <v>100</v>
      </c>
      <c r="X9" s="702"/>
      <c r="Y9" s="3645"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4"/>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4"/>
      <c r="Q11" s="1342">
        <f t="shared" si="6"/>
        <v>111</v>
      </c>
      <c r="R11" s="700" t="s">
        <v>14</v>
      </c>
      <c r="S11" s="701">
        <f t="shared" si="0"/>
        <v>100</v>
      </c>
      <c r="T11" s="700" t="s">
        <v>14</v>
      </c>
      <c r="U11" s="701">
        <f t="shared" si="1"/>
        <v>100</v>
      </c>
      <c r="V11" s="700" t="s">
        <v>14</v>
      </c>
      <c r="W11" s="701">
        <f t="shared" si="2"/>
        <v>100</v>
      </c>
      <c r="X11" s="702"/>
      <c r="Y11" s="364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4"/>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4"/>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7" t="s">
        <v>1691</v>
      </c>
      <c r="Q14" s="1351" t="str">
        <f t="shared" si="6"/>
        <v>交通便捷度</v>
      </c>
      <c r="R14" s="704" t="s">
        <v>14</v>
      </c>
      <c r="S14" s="705">
        <f t="shared" si="0"/>
        <v>100</v>
      </c>
      <c r="T14" s="704" t="s">
        <v>14</v>
      </c>
      <c r="U14" s="705">
        <f t="shared" si="1"/>
        <v>100</v>
      </c>
      <c r="V14" s="704" t="s">
        <v>14</v>
      </c>
      <c r="W14" s="705">
        <f t="shared" si="2"/>
        <v>100</v>
      </c>
      <c r="X14" s="1354"/>
      <c r="Y14" s="373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8"/>
      <c r="Q15" s="1351"/>
      <c r="R15" s="704"/>
      <c r="S15" s="705"/>
      <c r="T15" s="704"/>
      <c r="U15" s="705"/>
      <c r="V15" s="704"/>
      <c r="W15" s="705"/>
      <c r="X15" s="1354"/>
      <c r="Y15" s="373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8"/>
      <c r="Q16" s="1351" t="str">
        <f>B16</f>
        <v>公共配套设施</v>
      </c>
      <c r="R16" s="704" t="s">
        <v>14</v>
      </c>
      <c r="S16" s="705">
        <f>F16</f>
        <v>100</v>
      </c>
      <c r="T16" s="704" t="s">
        <v>14</v>
      </c>
      <c r="U16" s="705">
        <f>H16</f>
        <v>100</v>
      </c>
      <c r="V16" s="704" t="s">
        <v>14</v>
      </c>
      <c r="W16" s="705">
        <f>J16</f>
        <v>100</v>
      </c>
      <c r="X16" s="1354"/>
      <c r="Y16" s="373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8"/>
      <c r="Q17" s="1351"/>
      <c r="R17" s="704"/>
      <c r="S17" s="705"/>
      <c r="T17" s="704"/>
      <c r="U17" s="705"/>
      <c r="V17" s="704"/>
      <c r="W17" s="705"/>
      <c r="X17" s="1354"/>
      <c r="Y17" s="373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8"/>
      <c r="Q18" s="1351" t="str">
        <f>B18</f>
        <v>基础设施水平</v>
      </c>
      <c r="R18" s="704" t="s">
        <v>14</v>
      </c>
      <c r="S18" s="705">
        <f>F18</f>
        <v>100</v>
      </c>
      <c r="T18" s="704" t="s">
        <v>14</v>
      </c>
      <c r="U18" s="705">
        <f>H18</f>
        <v>100</v>
      </c>
      <c r="V18" s="704" t="s">
        <v>14</v>
      </c>
      <c r="W18" s="705">
        <f>J18</f>
        <v>100</v>
      </c>
      <c r="X18" s="1354"/>
      <c r="Y18" s="373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38"/>
      <c r="Q19" s="1351"/>
      <c r="R19" s="704"/>
      <c r="S19" s="705"/>
      <c r="T19" s="704"/>
      <c r="U19" s="705"/>
      <c r="V19" s="704"/>
      <c r="W19" s="705"/>
      <c r="X19" s="1354"/>
      <c r="Y19" s="373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8"/>
      <c r="Q20" s="1351" t="str">
        <f>B20</f>
        <v>自然及人文环境</v>
      </c>
      <c r="R20" s="704" t="s">
        <v>14</v>
      </c>
      <c r="S20" s="705">
        <f>F20</f>
        <v>100</v>
      </c>
      <c r="T20" s="704" t="s">
        <v>14</v>
      </c>
      <c r="U20" s="705">
        <f>H20</f>
        <v>100</v>
      </c>
      <c r="V20" s="704" t="s">
        <v>14</v>
      </c>
      <c r="W20" s="705">
        <f>J20</f>
        <v>100</v>
      </c>
      <c r="X20" s="1354"/>
      <c r="Y20" s="373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8"/>
      <c r="Q21" s="1351"/>
      <c r="R21" s="704"/>
      <c r="S21" s="705"/>
      <c r="T21" s="704"/>
      <c r="U21" s="705"/>
      <c r="V21" s="704"/>
      <c r="W21" s="705"/>
      <c r="X21" s="1354"/>
      <c r="Y21" s="373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8"/>
      <c r="Q22" s="1351" t="str">
        <f>B22</f>
        <v>楼层</v>
      </c>
      <c r="R22" s="704" t="s">
        <v>14</v>
      </c>
      <c r="S22" s="705">
        <f>F22</f>
        <v>100</v>
      </c>
      <c r="T22" s="704" t="s">
        <v>14</v>
      </c>
      <c r="U22" s="705">
        <f>H22</f>
        <v>100</v>
      </c>
      <c r="V22" s="704" t="s">
        <v>14</v>
      </c>
      <c r="W22" s="705">
        <f>J22</f>
        <v>100</v>
      </c>
      <c r="X22" s="1354"/>
      <c r="Y22" s="373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8"/>
      <c r="Q23" s="1351">
        <f>B23</f>
        <v>111</v>
      </c>
      <c r="R23" s="704" t="s">
        <v>14</v>
      </c>
      <c r="S23" s="705">
        <f>F23</f>
        <v>100</v>
      </c>
      <c r="T23" s="704" t="s">
        <v>14</v>
      </c>
      <c r="U23" s="705">
        <f>H23</f>
        <v>100</v>
      </c>
      <c r="V23" s="704" t="s">
        <v>14</v>
      </c>
      <c r="W23" s="705">
        <f>J23</f>
        <v>100</v>
      </c>
      <c r="X23" s="1354"/>
      <c r="Y23" s="373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8"/>
      <c r="Q24" s="1351">
        <f t="shared" ref="Q24:Q36" si="11">B24</f>
        <v>111</v>
      </c>
      <c r="R24" s="704" t="s">
        <v>14</v>
      </c>
      <c r="S24" s="705">
        <f>F24</f>
        <v>100</v>
      </c>
      <c r="T24" s="704" t="s">
        <v>14</v>
      </c>
      <c r="U24" s="705">
        <f>H24</f>
        <v>100</v>
      </c>
      <c r="V24" s="704" t="s">
        <v>14</v>
      </c>
      <c r="W24" s="705">
        <f>J24</f>
        <v>100</v>
      </c>
      <c r="X24" s="1354"/>
      <c r="Y24" s="373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8"/>
      <c r="Q25" s="1342">
        <f t="shared" si="11"/>
        <v>111</v>
      </c>
      <c r="R25" s="700" t="s">
        <v>14</v>
      </c>
      <c r="S25" s="701">
        <f>F25</f>
        <v>100</v>
      </c>
      <c r="T25" s="700" t="s">
        <v>14</v>
      </c>
      <c r="U25" s="701">
        <f>H25</f>
        <v>100</v>
      </c>
      <c r="V25" s="700" t="s">
        <v>14</v>
      </c>
      <c r="W25" s="701">
        <f>J25</f>
        <v>100</v>
      </c>
      <c r="X25" s="702"/>
      <c r="Y25" s="373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2"/>
      <c r="Q27" s="706" t="str">
        <f t="shared" si="11"/>
        <v>项目停车位配比</v>
      </c>
      <c r="R27" s="707" t="s">
        <v>14</v>
      </c>
      <c r="S27" s="708">
        <f t="shared" si="12"/>
        <v>100</v>
      </c>
      <c r="T27" s="707" t="s">
        <v>14</v>
      </c>
      <c r="U27" s="708">
        <f t="shared" si="13"/>
        <v>100</v>
      </c>
      <c r="V27" s="707" t="s">
        <v>14</v>
      </c>
      <c r="W27" s="708">
        <f t="shared" si="14"/>
        <v>100</v>
      </c>
      <c r="X27" s="709"/>
      <c r="Y27" s="3742"/>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2"/>
      <c r="Q28" s="1351" t="str">
        <f t="shared" si="11"/>
        <v>公共部分装修</v>
      </c>
      <c r="R28" s="704" t="s">
        <v>14</v>
      </c>
      <c r="S28" s="705">
        <f t="shared" si="12"/>
        <v>100</v>
      </c>
      <c r="T28" s="704" t="s">
        <v>14</v>
      </c>
      <c r="U28" s="705">
        <f t="shared" si="13"/>
        <v>100</v>
      </c>
      <c r="V28" s="704" t="s">
        <v>14</v>
      </c>
      <c r="W28" s="705">
        <f t="shared" si="14"/>
        <v>100</v>
      </c>
      <c r="X28" s="1354"/>
      <c r="Y28" s="374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2"/>
      <c r="Q29" s="1351" t="str">
        <f t="shared" si="11"/>
        <v>成新率</v>
      </c>
      <c r="R29" s="704" t="s">
        <v>14</v>
      </c>
      <c r="S29" s="705" t="e">
        <f t="shared" si="12"/>
        <v>#N/A</v>
      </c>
      <c r="T29" s="704" t="s">
        <v>14</v>
      </c>
      <c r="U29" s="705" t="e">
        <f t="shared" si="13"/>
        <v>#N/A</v>
      </c>
      <c r="V29" s="704" t="s">
        <v>14</v>
      </c>
      <c r="W29" s="705" t="e">
        <f t="shared" si="14"/>
        <v>#N/A</v>
      </c>
      <c r="X29" s="1354"/>
      <c r="Y29" s="374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2"/>
      <c r="Q30" s="1351" t="str">
        <f t="shared" si="11"/>
        <v>物业等级</v>
      </c>
      <c r="R30" s="704" t="s">
        <v>14</v>
      </c>
      <c r="S30" s="705">
        <f t="shared" si="12"/>
        <v>100</v>
      </c>
      <c r="T30" s="704" t="s">
        <v>14</v>
      </c>
      <c r="U30" s="705">
        <f t="shared" si="13"/>
        <v>100</v>
      </c>
      <c r="V30" s="704" t="s">
        <v>14</v>
      </c>
      <c r="W30" s="705">
        <f t="shared" si="14"/>
        <v>100</v>
      </c>
      <c r="X30" s="1354"/>
      <c r="Y30" s="374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2"/>
      <c r="Q31" s="1342" t="str">
        <f t="shared" si="11"/>
        <v>停车位面积</v>
      </c>
      <c r="R31" s="700" t="s">
        <v>14</v>
      </c>
      <c r="S31" s="701" t="e">
        <f t="shared" si="12"/>
        <v>#N/A</v>
      </c>
      <c r="T31" s="700" t="s">
        <v>14</v>
      </c>
      <c r="U31" s="701" t="e">
        <f t="shared" si="13"/>
        <v>#N/A</v>
      </c>
      <c r="V31" s="700" t="s">
        <v>14</v>
      </c>
      <c r="W31" s="701" t="e">
        <f t="shared" si="14"/>
        <v>#N/A</v>
      </c>
      <c r="X31" s="702"/>
      <c r="Y31" s="374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2" t="s">
        <v>1696</v>
      </c>
      <c r="Q32" s="1351" t="str">
        <f t="shared" si="11"/>
        <v>车位类型</v>
      </c>
      <c r="R32" s="704" t="s">
        <v>14</v>
      </c>
      <c r="S32" s="705">
        <f t="shared" si="12"/>
        <v>100</v>
      </c>
      <c r="T32" s="704" t="s">
        <v>14</v>
      </c>
      <c r="U32" s="705">
        <f t="shared" si="13"/>
        <v>100</v>
      </c>
      <c r="V32" s="704" t="s">
        <v>14</v>
      </c>
      <c r="W32" s="705">
        <f t="shared" si="14"/>
        <v>100</v>
      </c>
      <c r="X32" s="1354"/>
      <c r="Y32" s="374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2"/>
      <c r="Q33" s="1351" t="str">
        <f t="shared" si="11"/>
        <v>是否直接入户</v>
      </c>
      <c r="R33" s="704" t="s">
        <v>14</v>
      </c>
      <c r="S33" s="705">
        <f t="shared" si="12"/>
        <v>100</v>
      </c>
      <c r="T33" s="704" t="s">
        <v>14</v>
      </c>
      <c r="U33" s="705">
        <f t="shared" si="13"/>
        <v>100</v>
      </c>
      <c r="V33" s="704" t="s">
        <v>14</v>
      </c>
      <c r="W33" s="705">
        <f t="shared" si="14"/>
        <v>100</v>
      </c>
      <c r="X33" s="1354"/>
      <c r="Y33" s="374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2"/>
      <c r="Q34" s="1351">
        <f t="shared" si="11"/>
        <v>111</v>
      </c>
      <c r="R34" s="704" t="s">
        <v>14</v>
      </c>
      <c r="S34" s="705">
        <f t="shared" si="12"/>
        <v>100</v>
      </c>
      <c r="T34" s="704" t="s">
        <v>14</v>
      </c>
      <c r="U34" s="705">
        <f t="shared" si="13"/>
        <v>100</v>
      </c>
      <c r="V34" s="704" t="s">
        <v>14</v>
      </c>
      <c r="W34" s="705">
        <f t="shared" si="14"/>
        <v>100</v>
      </c>
      <c r="X34" s="1354"/>
      <c r="Y34" s="374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2"/>
      <c r="Q35" s="706">
        <f t="shared" si="11"/>
        <v>111</v>
      </c>
      <c r="R35" s="707" t="s">
        <v>14</v>
      </c>
      <c r="S35" s="708">
        <f t="shared" si="12"/>
        <v>100</v>
      </c>
      <c r="T35" s="707" t="s">
        <v>14</v>
      </c>
      <c r="U35" s="708">
        <f t="shared" si="13"/>
        <v>100</v>
      </c>
      <c r="V35" s="707" t="s">
        <v>14</v>
      </c>
      <c r="W35" s="708">
        <f t="shared" si="14"/>
        <v>100</v>
      </c>
      <c r="X35" s="709"/>
      <c r="Y35" s="3742"/>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2"/>
      <c r="Q36" s="1351">
        <f t="shared" si="11"/>
        <v>111</v>
      </c>
      <c r="R36" s="704" t="s">
        <v>14</v>
      </c>
      <c r="S36" s="705">
        <f t="shared" si="12"/>
        <v>100</v>
      </c>
      <c r="T36" s="704" t="s">
        <v>14</v>
      </c>
      <c r="U36" s="705">
        <f t="shared" si="13"/>
        <v>100</v>
      </c>
      <c r="V36" s="704" t="s">
        <v>14</v>
      </c>
      <c r="W36" s="705">
        <f t="shared" si="14"/>
        <v>100</v>
      </c>
      <c r="X36" s="1354"/>
      <c r="Y36" s="3742"/>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744" t="str">
        <f>A37</f>
        <v>成交单价</v>
      </c>
      <c r="Q37" s="3744"/>
      <c r="R37" s="3745">
        <f>E37</f>
        <v>0</v>
      </c>
      <c r="S37" s="3745"/>
      <c r="T37" s="3745">
        <f>G37</f>
        <v>0</v>
      </c>
      <c r="U37" s="3745"/>
      <c r="V37" s="3745">
        <f>I37</f>
        <v>0</v>
      </c>
      <c r="W37" s="374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78" t="str">
        <f>A39</f>
        <v>估价对象XX用房的比较价值（楼面单价，元/平方米）</v>
      </c>
      <c r="Q39" s="3779"/>
      <c r="R39" s="3782" t="e">
        <f>IF(F1="售价",ROUND(IF(D38="简单平均",AVERAGE(R38:W38),R38*F38+T38*H38+V38*J38),0),ROUND(IF(D38="简单平均",AVERAGE(R38:V38),R38*F38+T38*H38+V38*J38),1))</f>
        <v>#DIV/0!</v>
      </c>
      <c r="S39" s="3782"/>
      <c r="T39" s="3782"/>
      <c r="U39" s="3782"/>
      <c r="V39" s="3782"/>
      <c r="W39" s="378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13"/>
      <c r="M4" s="2714"/>
      <c r="N4" s="2714"/>
      <c r="O4" s="2714"/>
      <c r="P4" s="3774" t="s">
        <v>1775</v>
      </c>
      <c r="Q4" s="3775"/>
      <c r="R4" s="3771" t="s">
        <v>1771</v>
      </c>
      <c r="S4" s="3772"/>
      <c r="T4" s="3771" t="s">
        <v>1772</v>
      </c>
      <c r="U4" s="3772"/>
      <c r="V4" s="3732" t="s">
        <v>1773</v>
      </c>
      <c r="W4" s="3732"/>
      <c r="X4" s="1354"/>
      <c r="Y4" s="3771" t="s">
        <v>1775</v>
      </c>
      <c r="Z4" s="3772"/>
      <c r="AA4" s="3770" t="s">
        <v>1771</v>
      </c>
      <c r="AB4" s="3697" t="s">
        <v>1772</v>
      </c>
      <c r="AC4" s="3770" t="s">
        <v>1773</v>
      </c>
    </row>
    <row r="5" spans="1:29" ht="15">
      <c r="A5" s="358"/>
      <c r="B5" s="359"/>
      <c r="C5" s="3707" t="s">
        <v>1673</v>
      </c>
      <c r="D5" s="3708"/>
      <c r="E5" s="3773" t="s">
        <v>1674</v>
      </c>
      <c r="F5" s="3706"/>
      <c r="G5" s="3707" t="s">
        <v>1675</v>
      </c>
      <c r="H5" s="3708"/>
      <c r="I5" s="3707" t="s">
        <v>1676</v>
      </c>
      <c r="J5" s="3708"/>
      <c r="K5" s="559"/>
      <c r="L5" s="2713"/>
      <c r="M5" s="2714"/>
      <c r="N5" s="2714"/>
      <c r="O5" s="2714"/>
      <c r="P5" s="3776"/>
      <c r="Q5" s="3726"/>
      <c r="R5" s="3703"/>
      <c r="S5" s="3704"/>
      <c r="T5" s="3703"/>
      <c r="U5" s="3704"/>
      <c r="V5" s="3732"/>
      <c r="W5" s="3732"/>
      <c r="X5" s="1354"/>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2713"/>
      <c r="M6" s="2714"/>
      <c r="N6" s="2714"/>
      <c r="O6" s="2714"/>
      <c r="P6" s="3777"/>
      <c r="Q6" s="3728"/>
      <c r="R6" s="3703"/>
      <c r="S6" s="3704"/>
      <c r="T6" s="3729"/>
      <c r="U6" s="3730"/>
      <c r="V6" s="3732"/>
      <c r="W6" s="3732"/>
      <c r="X6" s="1354"/>
      <c r="Y6" s="3729"/>
      <c r="Z6" s="3730"/>
      <c r="AA6" s="3698"/>
      <c r="AB6" s="3698"/>
      <c r="AC6" s="3698"/>
    </row>
    <row r="7" spans="1:29" s="108" customFormat="1" ht="15.75" thickBot="1">
      <c r="A7" s="362" t="s">
        <v>1679</v>
      </c>
      <c r="B7" s="363"/>
      <c r="C7" s="364">
        <f>'数据-取费表'!B2</f>
        <v>45958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9" t="s">
        <v>1680</v>
      </c>
      <c r="Q7" s="3734"/>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4" t="s">
        <v>1686</v>
      </c>
      <c r="Q9" s="1342" t="str">
        <f t="shared" ref="Q9:Q14" si="6">B9</f>
        <v>用途</v>
      </c>
      <c r="R9" s="700" t="s">
        <v>14</v>
      </c>
      <c r="S9" s="701">
        <f t="shared" si="0"/>
        <v>100</v>
      </c>
      <c r="T9" s="700" t="s">
        <v>14</v>
      </c>
      <c r="U9" s="701">
        <f t="shared" si="1"/>
        <v>100</v>
      </c>
      <c r="V9" s="700" t="s">
        <v>14</v>
      </c>
      <c r="W9" s="701">
        <f t="shared" si="2"/>
        <v>100</v>
      </c>
      <c r="X9" s="702"/>
      <c r="Y9" s="364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4"/>
      <c r="Q10" s="1342" t="str">
        <f t="shared" si="6"/>
        <v>土地使用年限（年）</v>
      </c>
      <c r="R10" s="700" t="s">
        <v>14</v>
      </c>
      <c r="S10" s="701">
        <f t="shared" si="0"/>
        <v>100</v>
      </c>
      <c r="T10" s="700" t="s">
        <v>14</v>
      </c>
      <c r="U10" s="701">
        <f t="shared" si="1"/>
        <v>100</v>
      </c>
      <c r="V10" s="700" t="s">
        <v>14</v>
      </c>
      <c r="W10" s="701">
        <f t="shared" si="2"/>
        <v>100</v>
      </c>
      <c r="X10" s="702"/>
      <c r="Y10" s="364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4"/>
      <c r="Q11" s="1342">
        <f t="shared" si="6"/>
        <v>111</v>
      </c>
      <c r="R11" s="700" t="s">
        <v>14</v>
      </c>
      <c r="S11" s="701">
        <f t="shared" si="0"/>
        <v>100</v>
      </c>
      <c r="T11" s="700" t="s">
        <v>14</v>
      </c>
      <c r="U11" s="701">
        <f t="shared" si="1"/>
        <v>100</v>
      </c>
      <c r="V11" s="700" t="s">
        <v>14</v>
      </c>
      <c r="W11" s="701">
        <f t="shared" si="2"/>
        <v>100</v>
      </c>
      <c r="X11" s="702"/>
      <c r="Y11" s="364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4"/>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4"/>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7" t="s">
        <v>1691</v>
      </c>
      <c r="Q14" s="1351" t="str">
        <f t="shared" si="6"/>
        <v>交通便捷度</v>
      </c>
      <c r="R14" s="704" t="s">
        <v>14</v>
      </c>
      <c r="S14" s="705">
        <f t="shared" si="0"/>
        <v>100</v>
      </c>
      <c r="T14" s="704" t="s">
        <v>14</v>
      </c>
      <c r="U14" s="705">
        <f t="shared" si="1"/>
        <v>100</v>
      </c>
      <c r="V14" s="704" t="s">
        <v>14</v>
      </c>
      <c r="W14" s="705">
        <f t="shared" si="2"/>
        <v>100</v>
      </c>
      <c r="X14" s="1354"/>
      <c r="Y14" s="373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8"/>
      <c r="Q15" s="1351"/>
      <c r="R15" s="704"/>
      <c r="S15" s="705"/>
      <c r="T15" s="704"/>
      <c r="U15" s="705"/>
      <c r="V15" s="704"/>
      <c r="W15" s="705"/>
      <c r="X15" s="1354"/>
      <c r="Y15" s="373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8"/>
      <c r="Q16" s="1351" t="str">
        <f>B16</f>
        <v>公共配套设施</v>
      </c>
      <c r="R16" s="704" t="s">
        <v>14</v>
      </c>
      <c r="S16" s="705">
        <f>F16</f>
        <v>100</v>
      </c>
      <c r="T16" s="704" t="s">
        <v>14</v>
      </c>
      <c r="U16" s="705">
        <f>H16</f>
        <v>100</v>
      </c>
      <c r="V16" s="704" t="s">
        <v>14</v>
      </c>
      <c r="W16" s="705">
        <f>J16</f>
        <v>100</v>
      </c>
      <c r="X16" s="1354"/>
      <c r="Y16" s="373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8"/>
      <c r="Q17" s="1351"/>
      <c r="R17" s="704"/>
      <c r="S17" s="705"/>
      <c r="T17" s="704"/>
      <c r="U17" s="705"/>
      <c r="V17" s="704"/>
      <c r="W17" s="705"/>
      <c r="X17" s="1354"/>
      <c r="Y17" s="373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8"/>
      <c r="Q18" s="1351" t="str">
        <f>B18</f>
        <v>基础设施水平</v>
      </c>
      <c r="R18" s="704" t="s">
        <v>14</v>
      </c>
      <c r="S18" s="705">
        <f>F18</f>
        <v>100</v>
      </c>
      <c r="T18" s="704" t="s">
        <v>14</v>
      </c>
      <c r="U18" s="705">
        <f>H18</f>
        <v>100</v>
      </c>
      <c r="V18" s="704" t="s">
        <v>14</v>
      </c>
      <c r="W18" s="705">
        <f>J18</f>
        <v>100</v>
      </c>
      <c r="X18" s="1354"/>
      <c r="Y18" s="373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8"/>
      <c r="Q19" s="1351"/>
      <c r="R19" s="704"/>
      <c r="S19" s="705"/>
      <c r="T19" s="704"/>
      <c r="U19" s="705"/>
      <c r="V19" s="704"/>
      <c r="W19" s="705"/>
      <c r="X19" s="1354"/>
      <c r="Y19" s="373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8"/>
      <c r="Q20" s="1351" t="str">
        <f>B20</f>
        <v>自然及人文环境</v>
      </c>
      <c r="R20" s="704" t="s">
        <v>14</v>
      </c>
      <c r="S20" s="705">
        <f>F20</f>
        <v>100</v>
      </c>
      <c r="T20" s="704" t="s">
        <v>14</v>
      </c>
      <c r="U20" s="705">
        <f>H20</f>
        <v>100</v>
      </c>
      <c r="V20" s="704" t="s">
        <v>14</v>
      </c>
      <c r="W20" s="705">
        <f>J20</f>
        <v>100</v>
      </c>
      <c r="X20" s="1354"/>
      <c r="Y20" s="373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8"/>
      <c r="Q21" s="1351"/>
      <c r="R21" s="704"/>
      <c r="S21" s="705"/>
      <c r="T21" s="704"/>
      <c r="U21" s="705"/>
      <c r="V21" s="704"/>
      <c r="W21" s="705"/>
      <c r="X21" s="1354"/>
      <c r="Y21" s="373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8"/>
      <c r="Q22" s="1351" t="str">
        <f>B22</f>
        <v>楼层</v>
      </c>
      <c r="R22" s="704" t="s">
        <v>14</v>
      </c>
      <c r="S22" s="705">
        <f>F22</f>
        <v>100</v>
      </c>
      <c r="T22" s="704" t="s">
        <v>14</v>
      </c>
      <c r="U22" s="705">
        <f>H22</f>
        <v>100</v>
      </c>
      <c r="V22" s="704" t="s">
        <v>14</v>
      </c>
      <c r="W22" s="705">
        <f>J22</f>
        <v>100</v>
      </c>
      <c r="X22" s="1354"/>
      <c r="Y22" s="373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8"/>
      <c r="Q23" s="1351">
        <f>B23</f>
        <v>111</v>
      </c>
      <c r="R23" s="704" t="s">
        <v>14</v>
      </c>
      <c r="S23" s="705">
        <f>F23</f>
        <v>100</v>
      </c>
      <c r="T23" s="704" t="s">
        <v>14</v>
      </c>
      <c r="U23" s="705">
        <f>H23</f>
        <v>100</v>
      </c>
      <c r="V23" s="704" t="s">
        <v>14</v>
      </c>
      <c r="W23" s="705">
        <f>J23</f>
        <v>100</v>
      </c>
      <c r="X23" s="1354"/>
      <c r="Y23" s="373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8"/>
      <c r="Q24" s="1351">
        <f t="shared" ref="Q24:Q34" si="11">B24</f>
        <v>111</v>
      </c>
      <c r="R24" s="704" t="s">
        <v>14</v>
      </c>
      <c r="S24" s="705">
        <f>F24</f>
        <v>100</v>
      </c>
      <c r="T24" s="704" t="s">
        <v>14</v>
      </c>
      <c r="U24" s="705">
        <f>H24</f>
        <v>100</v>
      </c>
      <c r="V24" s="704" t="s">
        <v>14</v>
      </c>
      <c r="W24" s="705">
        <f>J24</f>
        <v>100</v>
      </c>
      <c r="X24" s="1354"/>
      <c r="Y24" s="373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8"/>
      <c r="Q25" s="1342">
        <f t="shared" si="11"/>
        <v>111</v>
      </c>
      <c r="R25" s="700" t="s">
        <v>14</v>
      </c>
      <c r="S25" s="701">
        <f>F25</f>
        <v>100</v>
      </c>
      <c r="T25" s="700" t="s">
        <v>14</v>
      </c>
      <c r="U25" s="701">
        <f>H25</f>
        <v>100</v>
      </c>
      <c r="V25" s="700" t="s">
        <v>14</v>
      </c>
      <c r="W25" s="701">
        <f>J25</f>
        <v>100</v>
      </c>
      <c r="X25" s="702"/>
      <c r="Y25" s="373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2"/>
      <c r="Q27" s="706" t="str">
        <f t="shared" si="11"/>
        <v>成新率</v>
      </c>
      <c r="R27" s="707" t="s">
        <v>14</v>
      </c>
      <c r="S27" s="708" t="e">
        <f t="shared" si="12"/>
        <v>#N/A</v>
      </c>
      <c r="T27" s="707" t="s">
        <v>14</v>
      </c>
      <c r="U27" s="708" t="e">
        <f t="shared" si="13"/>
        <v>#N/A</v>
      </c>
      <c r="V27" s="707" t="s">
        <v>14</v>
      </c>
      <c r="W27" s="708" t="e">
        <f t="shared" si="14"/>
        <v>#N/A</v>
      </c>
      <c r="X27" s="709"/>
      <c r="Y27" s="374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2"/>
      <c r="Q28" s="1351" t="str">
        <f t="shared" si="11"/>
        <v>物业等级</v>
      </c>
      <c r="R28" s="704" t="s">
        <v>14</v>
      </c>
      <c r="S28" s="705">
        <f t="shared" si="12"/>
        <v>100</v>
      </c>
      <c r="T28" s="704" t="s">
        <v>14</v>
      </c>
      <c r="U28" s="705">
        <f t="shared" si="13"/>
        <v>100</v>
      </c>
      <c r="V28" s="704" t="s">
        <v>14</v>
      </c>
      <c r="W28" s="705">
        <f t="shared" si="14"/>
        <v>100</v>
      </c>
      <c r="X28" s="1354"/>
      <c r="Y28" s="374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2"/>
      <c r="Q29" s="1351" t="str">
        <f t="shared" si="11"/>
        <v>有无电梯</v>
      </c>
      <c r="R29" s="704" t="s">
        <v>14</v>
      </c>
      <c r="S29" s="705">
        <f t="shared" si="12"/>
        <v>100</v>
      </c>
      <c r="T29" s="704" t="s">
        <v>14</v>
      </c>
      <c r="U29" s="705">
        <f t="shared" si="13"/>
        <v>100</v>
      </c>
      <c r="V29" s="704" t="s">
        <v>14</v>
      </c>
      <c r="W29" s="705">
        <f t="shared" si="14"/>
        <v>100</v>
      </c>
      <c r="X29" s="1354"/>
      <c r="Y29" s="374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2"/>
      <c r="Q30" s="1351" t="str">
        <f t="shared" si="11"/>
        <v>建筑面积</v>
      </c>
      <c r="R30" s="704" t="s">
        <v>14</v>
      </c>
      <c r="S30" s="705" t="e">
        <f t="shared" si="12"/>
        <v>#N/A</v>
      </c>
      <c r="T30" s="704" t="s">
        <v>14</v>
      </c>
      <c r="U30" s="705" t="e">
        <f t="shared" si="13"/>
        <v>#N/A</v>
      </c>
      <c r="V30" s="704" t="s">
        <v>14</v>
      </c>
      <c r="W30" s="705" t="e">
        <f t="shared" si="14"/>
        <v>#N/A</v>
      </c>
      <c r="X30" s="1354"/>
      <c r="Y30" s="374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2"/>
      <c r="Q31" s="1342" t="str">
        <f t="shared" si="11"/>
        <v>是否封闭</v>
      </c>
      <c r="R31" s="700" t="s">
        <v>14</v>
      </c>
      <c r="S31" s="701">
        <f t="shared" si="12"/>
        <v>100</v>
      </c>
      <c r="T31" s="700" t="s">
        <v>14</v>
      </c>
      <c r="U31" s="701">
        <f t="shared" si="13"/>
        <v>100</v>
      </c>
      <c r="V31" s="700" t="s">
        <v>14</v>
      </c>
      <c r="W31" s="701">
        <f t="shared" si="14"/>
        <v>100</v>
      </c>
      <c r="X31" s="702"/>
      <c r="Y31" s="374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2" t="s">
        <v>1696</v>
      </c>
      <c r="Q32" s="1351">
        <f t="shared" si="11"/>
        <v>111</v>
      </c>
      <c r="R32" s="704" t="s">
        <v>14</v>
      </c>
      <c r="S32" s="705">
        <f t="shared" si="12"/>
        <v>100</v>
      </c>
      <c r="T32" s="704" t="s">
        <v>14</v>
      </c>
      <c r="U32" s="705">
        <f t="shared" si="13"/>
        <v>100</v>
      </c>
      <c r="V32" s="704" t="s">
        <v>14</v>
      </c>
      <c r="W32" s="705">
        <f t="shared" si="14"/>
        <v>100</v>
      </c>
      <c r="X32" s="1354"/>
      <c r="Y32" s="374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2"/>
      <c r="Q33" s="1351">
        <f t="shared" si="11"/>
        <v>111</v>
      </c>
      <c r="R33" s="704" t="s">
        <v>14</v>
      </c>
      <c r="S33" s="705">
        <f t="shared" si="12"/>
        <v>100</v>
      </c>
      <c r="T33" s="704" t="s">
        <v>14</v>
      </c>
      <c r="U33" s="705">
        <f t="shared" si="13"/>
        <v>100</v>
      </c>
      <c r="V33" s="704" t="s">
        <v>14</v>
      </c>
      <c r="W33" s="705">
        <f t="shared" si="14"/>
        <v>100</v>
      </c>
      <c r="X33" s="1354"/>
      <c r="Y33" s="374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2"/>
      <c r="Q34" s="1351">
        <f t="shared" si="11"/>
        <v>111</v>
      </c>
      <c r="R34" s="704" t="s">
        <v>14</v>
      </c>
      <c r="S34" s="705">
        <f t="shared" si="12"/>
        <v>100</v>
      </c>
      <c r="T34" s="704" t="s">
        <v>14</v>
      </c>
      <c r="U34" s="705">
        <f t="shared" si="13"/>
        <v>100</v>
      </c>
      <c r="V34" s="704" t="s">
        <v>14</v>
      </c>
      <c r="W34" s="705">
        <f t="shared" si="14"/>
        <v>100</v>
      </c>
      <c r="X34" s="1354"/>
      <c r="Y34" s="374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44" t="str">
        <f>A35</f>
        <v>成交单价（元/平方米）</v>
      </c>
      <c r="Q35" s="3744"/>
      <c r="R35" s="3745">
        <f>E35</f>
        <v>0</v>
      </c>
      <c r="S35" s="3745"/>
      <c r="T35" s="3745">
        <f>G35</f>
        <v>0</v>
      </c>
      <c r="U35" s="3745"/>
      <c r="V35" s="3745">
        <f>I35</f>
        <v>0</v>
      </c>
      <c r="W35" s="374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78" t="str">
        <f>A37</f>
        <v>估价对象XX用房的比较价值（楼面单价，元/平方米）</v>
      </c>
      <c r="Q37" s="3779"/>
      <c r="R37" s="3782" t="e">
        <f>IF(F1="售价",ROUND(IF(D36="简单平均",AVERAGE(R36:W36),R36*F36+T36*H36+V36*J36),0),ROUND(IF(D36="简单平均",AVERAGE(R36:V36),R36*F36+T36*H36+V36*J36),1))</f>
        <v>#DIV/0!</v>
      </c>
      <c r="S37" s="3782"/>
      <c r="T37" s="3782"/>
      <c r="U37" s="3782"/>
      <c r="V37" s="3782"/>
      <c r="W37" s="378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9" t="s">
        <v>1770</v>
      </c>
      <c r="D4" s="3720"/>
      <c r="E4" s="3721" t="s">
        <v>1771</v>
      </c>
      <c r="F4" s="3722"/>
      <c r="G4" s="3719" t="s">
        <v>1772</v>
      </c>
      <c r="H4" s="3720"/>
      <c r="I4" s="3719" t="s">
        <v>1773</v>
      </c>
      <c r="J4" s="3720"/>
      <c r="K4" s="559" t="s">
        <v>1774</v>
      </c>
      <c r="L4" s="2713"/>
      <c r="M4" s="2714"/>
      <c r="N4" s="2714"/>
      <c r="O4" s="2714"/>
      <c r="P4" s="3774" t="s">
        <v>1775</v>
      </c>
      <c r="Q4" s="3775"/>
      <c r="R4" s="3771" t="s">
        <v>1771</v>
      </c>
      <c r="S4" s="3772"/>
      <c r="T4" s="3771" t="s">
        <v>1772</v>
      </c>
      <c r="U4" s="3772"/>
      <c r="V4" s="3732" t="s">
        <v>1773</v>
      </c>
      <c r="W4" s="3732"/>
      <c r="X4" s="1354"/>
      <c r="Y4" s="3771" t="s">
        <v>1775</v>
      </c>
      <c r="Z4" s="3772"/>
      <c r="AA4" s="3770" t="s">
        <v>1771</v>
      </c>
      <c r="AB4" s="3697" t="s">
        <v>1772</v>
      </c>
      <c r="AC4" s="3770" t="s">
        <v>1773</v>
      </c>
    </row>
    <row r="5" spans="1:30" ht="15">
      <c r="A5" s="358"/>
      <c r="B5" s="359"/>
      <c r="C5" s="3707" t="s">
        <v>1673</v>
      </c>
      <c r="D5" s="3708"/>
      <c r="E5" s="3773" t="s">
        <v>1674</v>
      </c>
      <c r="F5" s="3706"/>
      <c r="G5" s="3707" t="s">
        <v>1675</v>
      </c>
      <c r="H5" s="3708"/>
      <c r="I5" s="3707" t="s">
        <v>1676</v>
      </c>
      <c r="J5" s="3708"/>
      <c r="K5" s="559"/>
      <c r="L5" s="2713"/>
      <c r="M5" s="2714"/>
      <c r="N5" s="2714"/>
      <c r="O5" s="2714"/>
      <c r="P5" s="3776"/>
      <c r="Q5" s="3726"/>
      <c r="R5" s="3703"/>
      <c r="S5" s="3704"/>
      <c r="T5" s="3703"/>
      <c r="U5" s="3704"/>
      <c r="V5" s="3732"/>
      <c r="W5" s="3732"/>
      <c r="X5" s="1354"/>
      <c r="Y5" s="3703"/>
      <c r="Z5" s="3704"/>
      <c r="AA5" s="3697"/>
      <c r="AB5" s="3697"/>
      <c r="AC5" s="3697"/>
    </row>
    <row r="6" spans="1:30" ht="15.75" thickBot="1">
      <c r="A6" s="360"/>
      <c r="B6" s="361"/>
      <c r="C6" s="3709" t="s">
        <v>1677</v>
      </c>
      <c r="D6" s="3710"/>
      <c r="E6" s="3712" t="s">
        <v>1677</v>
      </c>
      <c r="F6" s="3713"/>
      <c r="G6" s="3709" t="s">
        <v>1677</v>
      </c>
      <c r="H6" s="3710"/>
      <c r="I6" s="3709" t="s">
        <v>1677</v>
      </c>
      <c r="J6" s="3710"/>
      <c r="K6" s="559" t="s">
        <v>1678</v>
      </c>
      <c r="L6" s="2713"/>
      <c r="M6" s="2714"/>
      <c r="N6" s="2714"/>
      <c r="O6" s="2714"/>
      <c r="P6" s="3777"/>
      <c r="Q6" s="3728"/>
      <c r="R6" s="3703"/>
      <c r="S6" s="3704"/>
      <c r="T6" s="3729"/>
      <c r="U6" s="3730"/>
      <c r="V6" s="3732"/>
      <c r="W6" s="3732"/>
      <c r="X6" s="1354"/>
      <c r="Y6" s="3729"/>
      <c r="Z6" s="3730"/>
      <c r="AA6" s="3698"/>
      <c r="AB6" s="3698"/>
      <c r="AC6" s="3698"/>
    </row>
    <row r="7" spans="1:30" s="108" customFormat="1" ht="15.75" thickBot="1">
      <c r="A7" s="362" t="s">
        <v>1679</v>
      </c>
      <c r="B7" s="363"/>
      <c r="C7" s="364">
        <f>'数据-取费表'!B2</f>
        <v>45958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9" t="s">
        <v>1680</v>
      </c>
      <c r="Q7" s="3734"/>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1683</v>
      </c>
      <c r="Q8" s="3700"/>
      <c r="R8" s="700" t="s">
        <v>14</v>
      </c>
      <c r="S8" s="701">
        <f t="shared" si="0"/>
        <v>0</v>
      </c>
      <c r="T8" s="700" t="s">
        <v>14</v>
      </c>
      <c r="U8" s="701">
        <f t="shared" si="1"/>
        <v>0</v>
      </c>
      <c r="V8" s="700" t="s">
        <v>14</v>
      </c>
      <c r="W8" s="701">
        <f t="shared" si="2"/>
        <v>0</v>
      </c>
      <c r="X8" s="702"/>
      <c r="Y8" s="3699" t="s">
        <v>1683</v>
      </c>
      <c r="Z8" s="370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4"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44"/>
      <c r="Q10" s="1342" t="str">
        <f t="shared" si="6"/>
        <v>土地使用年限（年）</v>
      </c>
      <c r="R10" s="700" t="s">
        <v>14</v>
      </c>
      <c r="S10" s="701">
        <f t="shared" si="0"/>
        <v>110</v>
      </c>
      <c r="T10" s="700" t="s">
        <v>14</v>
      </c>
      <c r="U10" s="701">
        <f t="shared" si="1"/>
        <v>110</v>
      </c>
      <c r="V10" s="700" t="s">
        <v>14</v>
      </c>
      <c r="W10" s="701">
        <f t="shared" si="2"/>
        <v>110</v>
      </c>
      <c r="X10" s="702"/>
      <c r="Y10" s="3645"/>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4"/>
      <c r="Q11" s="1342" t="str">
        <f t="shared" si="6"/>
        <v>容积率</v>
      </c>
      <c r="R11" s="700" t="s">
        <v>14</v>
      </c>
      <c r="S11" s="701" t="e">
        <f t="shared" si="0"/>
        <v>#N/A</v>
      </c>
      <c r="T11" s="700" t="s">
        <v>14</v>
      </c>
      <c r="U11" s="701" t="e">
        <f t="shared" si="1"/>
        <v>#N/A</v>
      </c>
      <c r="V11" s="700" t="s">
        <v>14</v>
      </c>
      <c r="W11" s="701" t="e">
        <f t="shared" si="2"/>
        <v>#N/A</v>
      </c>
      <c r="X11" s="702"/>
      <c r="Y11" s="364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4"/>
      <c r="Q12" s="1342" t="str">
        <f t="shared" si="6"/>
        <v>配建</v>
      </c>
      <c r="R12" s="700" t="s">
        <v>14</v>
      </c>
      <c r="S12" s="701">
        <f t="shared" si="0"/>
        <v>100</v>
      </c>
      <c r="T12" s="700" t="s">
        <v>14</v>
      </c>
      <c r="U12" s="701">
        <f t="shared" si="1"/>
        <v>100</v>
      </c>
      <c r="V12" s="700" t="s">
        <v>14</v>
      </c>
      <c r="W12" s="701">
        <f t="shared" si="2"/>
        <v>100</v>
      </c>
      <c r="X12" s="702"/>
      <c r="Y12" s="364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4"/>
      <c r="Q13" s="1342">
        <f t="shared" si="6"/>
        <v>111</v>
      </c>
      <c r="R13" s="700" t="s">
        <v>14</v>
      </c>
      <c r="S13" s="701">
        <f t="shared" si="0"/>
        <v>100</v>
      </c>
      <c r="T13" s="700" t="s">
        <v>14</v>
      </c>
      <c r="U13" s="701">
        <f t="shared" si="1"/>
        <v>100</v>
      </c>
      <c r="V13" s="700" t="s">
        <v>14</v>
      </c>
      <c r="W13" s="701">
        <f t="shared" si="2"/>
        <v>100</v>
      </c>
      <c r="X13" s="702"/>
      <c r="Y13" s="364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4"/>
      <c r="Q14" s="1342">
        <f t="shared" si="6"/>
        <v>111</v>
      </c>
      <c r="R14" s="700" t="s">
        <v>14</v>
      </c>
      <c r="S14" s="701">
        <f t="shared" si="0"/>
        <v>100</v>
      </c>
      <c r="T14" s="700" t="s">
        <v>14</v>
      </c>
      <c r="U14" s="701">
        <f t="shared" si="1"/>
        <v>100</v>
      </c>
      <c r="V14" s="700" t="s">
        <v>14</v>
      </c>
      <c r="W14" s="701">
        <f t="shared" si="2"/>
        <v>100</v>
      </c>
      <c r="X14" s="702"/>
      <c r="Y14" s="364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7" t="s">
        <v>1691</v>
      </c>
      <c r="Q15" s="1351" t="str">
        <f t="shared" si="6"/>
        <v>居住社区成熟度</v>
      </c>
      <c r="R15" s="704" t="s">
        <v>14</v>
      </c>
      <c r="S15" s="705">
        <f t="shared" si="0"/>
        <v>100</v>
      </c>
      <c r="T15" s="704" t="s">
        <v>14</v>
      </c>
      <c r="U15" s="705">
        <f t="shared" si="1"/>
        <v>100</v>
      </c>
      <c r="V15" s="704" t="s">
        <v>14</v>
      </c>
      <c r="W15" s="705">
        <f t="shared" si="2"/>
        <v>100</v>
      </c>
      <c r="X15" s="1354"/>
      <c r="Y15" s="373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38"/>
      <c r="Q16" s="1351"/>
      <c r="R16" s="704"/>
      <c r="S16" s="705"/>
      <c r="T16" s="704"/>
      <c r="U16" s="705"/>
      <c r="V16" s="704"/>
      <c r="W16" s="705"/>
      <c r="X16" s="1354"/>
      <c r="Y16" s="373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8"/>
      <c r="Q17" s="1351" t="str">
        <f>B17</f>
        <v>商业繁华度</v>
      </c>
      <c r="R17" s="704" t="s">
        <v>14</v>
      </c>
      <c r="S17" s="705">
        <f>F17</f>
        <v>100</v>
      </c>
      <c r="T17" s="704" t="s">
        <v>14</v>
      </c>
      <c r="U17" s="705">
        <f>H17</f>
        <v>100</v>
      </c>
      <c r="V17" s="704" t="s">
        <v>14</v>
      </c>
      <c r="W17" s="705">
        <f>J17</f>
        <v>100</v>
      </c>
      <c r="X17" s="1354"/>
      <c r="Y17" s="373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38"/>
      <c r="Q18" s="1351"/>
      <c r="R18" s="704"/>
      <c r="S18" s="705"/>
      <c r="T18" s="704"/>
      <c r="U18" s="705"/>
      <c r="V18" s="704"/>
      <c r="W18" s="705"/>
      <c r="X18" s="1354"/>
      <c r="Y18" s="373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8"/>
      <c r="Q19" s="1351" t="str">
        <f>B19</f>
        <v>办公集聚程度</v>
      </c>
      <c r="R19" s="704" t="s">
        <v>14</v>
      </c>
      <c r="S19" s="705">
        <f>F19</f>
        <v>100</v>
      </c>
      <c r="T19" s="704" t="s">
        <v>14</v>
      </c>
      <c r="U19" s="705">
        <f>H19</f>
        <v>100</v>
      </c>
      <c r="V19" s="704" t="s">
        <v>14</v>
      </c>
      <c r="W19" s="705">
        <f>J19</f>
        <v>100</v>
      </c>
      <c r="X19" s="1354"/>
      <c r="Y19" s="373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38"/>
      <c r="Q20" s="1351"/>
      <c r="R20" s="704"/>
      <c r="S20" s="705"/>
      <c r="T20" s="704"/>
      <c r="U20" s="705"/>
      <c r="V20" s="704"/>
      <c r="W20" s="705"/>
      <c r="X20" s="1354"/>
      <c r="Y20" s="373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8"/>
      <c r="Q21" s="1351" t="str">
        <f>B21</f>
        <v>交通便捷度</v>
      </c>
      <c r="R21" s="704" t="s">
        <v>14</v>
      </c>
      <c r="S21" s="705">
        <f>F21</f>
        <v>100</v>
      </c>
      <c r="T21" s="704" t="s">
        <v>14</v>
      </c>
      <c r="U21" s="705">
        <f>H21</f>
        <v>100</v>
      </c>
      <c r="V21" s="704" t="s">
        <v>14</v>
      </c>
      <c r="W21" s="705">
        <f>J21</f>
        <v>100</v>
      </c>
      <c r="X21" s="1354"/>
      <c r="Y21" s="373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38"/>
      <c r="Q22" s="1351"/>
      <c r="R22" s="704"/>
      <c r="S22" s="705"/>
      <c r="T22" s="704"/>
      <c r="U22" s="705"/>
      <c r="V22" s="704"/>
      <c r="W22" s="705"/>
      <c r="X22" s="1354"/>
      <c r="Y22" s="373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8"/>
      <c r="Q23" s="1351" t="str">
        <f t="shared" ref="Q23:Q37" si="8">B23</f>
        <v>区域土地利用方向</v>
      </c>
      <c r="R23" s="704" t="s">
        <v>14</v>
      </c>
      <c r="S23" s="705">
        <f>F23</f>
        <v>100</v>
      </c>
      <c r="T23" s="704" t="s">
        <v>14</v>
      </c>
      <c r="U23" s="705">
        <f>H23</f>
        <v>100</v>
      </c>
      <c r="V23" s="704" t="s">
        <v>14</v>
      </c>
      <c r="W23" s="705">
        <f>J23</f>
        <v>100</v>
      </c>
      <c r="X23" s="1354"/>
      <c r="Y23" s="373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8"/>
      <c r="Q24" s="1351"/>
      <c r="R24" s="704"/>
      <c r="S24" s="705"/>
      <c r="T24" s="704"/>
      <c r="U24" s="705"/>
      <c r="V24" s="704"/>
      <c r="W24" s="705"/>
      <c r="X24" s="1354"/>
      <c r="Y24" s="373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8"/>
      <c r="Q25" s="1351" t="str">
        <f t="shared" si="8"/>
        <v>自然及人文环境状况</v>
      </c>
      <c r="R25" s="704" t="s">
        <v>14</v>
      </c>
      <c r="S25" s="705">
        <f>F25</f>
        <v>100</v>
      </c>
      <c r="T25" s="704" t="s">
        <v>14</v>
      </c>
      <c r="U25" s="705">
        <f>H25</f>
        <v>100</v>
      </c>
      <c r="V25" s="704" t="s">
        <v>14</v>
      </c>
      <c r="W25" s="705">
        <f>J25</f>
        <v>100</v>
      </c>
      <c r="X25" s="1354"/>
      <c r="Y25" s="373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38"/>
      <c r="Q26" s="1351"/>
      <c r="R26" s="704"/>
      <c r="S26" s="705"/>
      <c r="T26" s="704"/>
      <c r="U26" s="705"/>
      <c r="V26" s="704"/>
      <c r="W26" s="705"/>
      <c r="X26" s="1354"/>
      <c r="Y26" s="3738"/>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8"/>
      <c r="Q27" s="1342" t="str">
        <f t="shared" si="8"/>
        <v>公共配套设施</v>
      </c>
      <c r="R27" s="700" t="s">
        <v>14</v>
      </c>
      <c r="S27" s="701">
        <f>F27</f>
        <v>100</v>
      </c>
      <c r="T27" s="700" t="s">
        <v>14</v>
      </c>
      <c r="U27" s="701">
        <f>H27</f>
        <v>100</v>
      </c>
      <c r="V27" s="700" t="s">
        <v>14</v>
      </c>
      <c r="W27" s="701">
        <f>J27</f>
        <v>100</v>
      </c>
      <c r="X27" s="702"/>
      <c r="Y27" s="373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38"/>
      <c r="Q28" s="1342"/>
      <c r="R28" s="700"/>
      <c r="S28" s="701"/>
      <c r="T28" s="700"/>
      <c r="U28" s="701"/>
      <c r="V28" s="700"/>
      <c r="W28" s="701"/>
      <c r="X28" s="702"/>
      <c r="Y28" s="3738"/>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8"/>
      <c r="Q29" s="1342" t="str">
        <f t="shared" ref="Q29" si="9">B29</f>
        <v>基础设施水平</v>
      </c>
      <c r="R29" s="700" t="s">
        <v>14</v>
      </c>
      <c r="S29" s="701">
        <f>F29</f>
        <v>100</v>
      </c>
      <c r="T29" s="700" t="s">
        <v>14</v>
      </c>
      <c r="U29" s="701">
        <f>H29</f>
        <v>100</v>
      </c>
      <c r="V29" s="700" t="s">
        <v>14</v>
      </c>
      <c r="W29" s="701">
        <f>J29</f>
        <v>100</v>
      </c>
      <c r="X29" s="702"/>
      <c r="Y29" s="373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38"/>
      <c r="Q30" s="1342"/>
      <c r="R30" s="700"/>
      <c r="S30" s="701"/>
      <c r="T30" s="700"/>
      <c r="U30" s="701"/>
      <c r="V30" s="700"/>
      <c r="W30" s="701"/>
      <c r="X30" s="702"/>
      <c r="Y30" s="373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8"/>
      <c r="Q32" s="1351" t="str">
        <f t="shared" si="8"/>
        <v>毗邻道路的类型与等级</v>
      </c>
      <c r="R32" s="704" t="s">
        <v>14</v>
      </c>
      <c r="S32" s="705">
        <f t="shared" si="10"/>
        <v>100</v>
      </c>
      <c r="T32" s="704" t="s">
        <v>14</v>
      </c>
      <c r="U32" s="705">
        <f t="shared" si="11"/>
        <v>100</v>
      </c>
      <c r="V32" s="704" t="s">
        <v>14</v>
      </c>
      <c r="W32" s="705">
        <f t="shared" si="12"/>
        <v>100</v>
      </c>
      <c r="X32" s="1354"/>
      <c r="Y32" s="373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8"/>
      <c r="Q33" s="1351"/>
      <c r="R33" s="704"/>
      <c r="S33" s="705"/>
      <c r="T33" s="704"/>
      <c r="U33" s="705"/>
      <c r="V33" s="704"/>
      <c r="W33" s="705"/>
      <c r="X33" s="1354"/>
      <c r="Y33" s="373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8"/>
      <c r="Q34" s="1351" t="str">
        <f t="shared" si="8"/>
        <v>土地级别</v>
      </c>
      <c r="R34" s="704" t="s">
        <v>14</v>
      </c>
      <c r="S34" s="705">
        <f t="shared" si="10"/>
        <v>100</v>
      </c>
      <c r="T34" s="704" t="s">
        <v>14</v>
      </c>
      <c r="U34" s="705">
        <f t="shared" si="11"/>
        <v>100</v>
      </c>
      <c r="V34" s="704" t="s">
        <v>14</v>
      </c>
      <c r="W34" s="705">
        <f t="shared" si="12"/>
        <v>100</v>
      </c>
      <c r="X34" s="1354"/>
      <c r="Y34" s="3738"/>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8"/>
      <c r="Q35" s="1351">
        <f t="shared" si="8"/>
        <v>111</v>
      </c>
      <c r="R35" s="704" t="s">
        <v>14</v>
      </c>
      <c r="S35" s="705">
        <f t="shared" si="10"/>
        <v>100</v>
      </c>
      <c r="T35" s="704" t="s">
        <v>14</v>
      </c>
      <c r="U35" s="705">
        <f t="shared" si="11"/>
        <v>100</v>
      </c>
      <c r="V35" s="704" t="s">
        <v>14</v>
      </c>
      <c r="W35" s="705">
        <f t="shared" si="12"/>
        <v>100</v>
      </c>
      <c r="X35" s="1354"/>
      <c r="Y35" s="3738"/>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1" t="s">
        <v>1696</v>
      </c>
      <c r="Q36" s="1351">
        <f t="shared" si="8"/>
        <v>111</v>
      </c>
      <c r="R36" s="704" t="s">
        <v>14</v>
      </c>
      <c r="S36" s="705">
        <f t="shared" si="10"/>
        <v>100</v>
      </c>
      <c r="T36" s="704" t="s">
        <v>14</v>
      </c>
      <c r="U36" s="705">
        <f t="shared" si="11"/>
        <v>100</v>
      </c>
      <c r="V36" s="704" t="s">
        <v>14</v>
      </c>
      <c r="W36" s="705">
        <f t="shared" si="12"/>
        <v>100</v>
      </c>
      <c r="X36" s="1354"/>
      <c r="Y36" s="3742"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2"/>
      <c r="Q37" s="1351">
        <f t="shared" si="8"/>
        <v>111</v>
      </c>
      <c r="R37" s="707" t="s">
        <v>14</v>
      </c>
      <c r="S37" s="708">
        <f t="shared" si="10"/>
        <v>100</v>
      </c>
      <c r="T37" s="707" t="s">
        <v>14</v>
      </c>
      <c r="U37" s="708">
        <f t="shared" si="11"/>
        <v>100</v>
      </c>
      <c r="V37" s="707" t="s">
        <v>14</v>
      </c>
      <c r="W37" s="708">
        <f t="shared" si="12"/>
        <v>100</v>
      </c>
      <c r="X37" s="709"/>
      <c r="Y37" s="3742"/>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42"/>
      <c r="Q38" s="1351" t="str">
        <f>B38</f>
        <v>宗地面积</v>
      </c>
      <c r="R38" s="704" t="s">
        <v>14</v>
      </c>
      <c r="S38" s="705" t="e">
        <f t="shared" si="10"/>
        <v>#N/A</v>
      </c>
      <c r="T38" s="704" t="s">
        <v>14</v>
      </c>
      <c r="U38" s="705" t="e">
        <f t="shared" si="11"/>
        <v>#N/A</v>
      </c>
      <c r="V38" s="704" t="s">
        <v>14</v>
      </c>
      <c r="W38" s="705" t="e">
        <f t="shared" si="12"/>
        <v>#N/A</v>
      </c>
      <c r="X38" s="1354"/>
      <c r="Y38" s="374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42"/>
      <c r="Q39" s="1351" t="str">
        <f t="shared" ref="Q39:Q45" si="14">B39</f>
        <v>宗地形状</v>
      </c>
      <c r="R39" s="704" t="s">
        <v>14</v>
      </c>
      <c r="S39" s="705">
        <f t="shared" si="10"/>
        <v>100</v>
      </c>
      <c r="T39" s="704" t="s">
        <v>14</v>
      </c>
      <c r="U39" s="705">
        <f t="shared" si="11"/>
        <v>100</v>
      </c>
      <c r="V39" s="704" t="s">
        <v>14</v>
      </c>
      <c r="W39" s="705">
        <f t="shared" si="12"/>
        <v>100</v>
      </c>
      <c r="X39" s="1354"/>
      <c r="Y39" s="374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42"/>
      <c r="Q40" s="1351" t="str">
        <f t="shared" si="14"/>
        <v>临街宽度及深度</v>
      </c>
      <c r="R40" s="704" t="s">
        <v>14</v>
      </c>
      <c r="S40" s="705">
        <f t="shared" si="10"/>
        <v>100</v>
      </c>
      <c r="T40" s="704" t="s">
        <v>14</v>
      </c>
      <c r="U40" s="705">
        <f t="shared" si="11"/>
        <v>100</v>
      </c>
      <c r="V40" s="704" t="s">
        <v>14</v>
      </c>
      <c r="W40" s="705">
        <f t="shared" si="12"/>
        <v>100</v>
      </c>
      <c r="X40" s="1354"/>
      <c r="Y40" s="374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42"/>
      <c r="Q41" s="1351" t="str">
        <f t="shared" si="14"/>
        <v>宗地开发程度</v>
      </c>
      <c r="R41" s="700" t="s">
        <v>14</v>
      </c>
      <c r="S41" s="701">
        <f t="shared" si="10"/>
        <v>100</v>
      </c>
      <c r="T41" s="700" t="s">
        <v>14</v>
      </c>
      <c r="U41" s="701">
        <f t="shared" si="11"/>
        <v>100</v>
      </c>
      <c r="V41" s="700" t="s">
        <v>14</v>
      </c>
      <c r="W41" s="701">
        <f t="shared" si="12"/>
        <v>100</v>
      </c>
      <c r="X41" s="702"/>
      <c r="Y41" s="374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42" t="s">
        <v>1696</v>
      </c>
      <c r="Q42" s="1351" t="str">
        <f t="shared" si="14"/>
        <v>工程地质条件</v>
      </c>
      <c r="R42" s="704" t="s">
        <v>14</v>
      </c>
      <c r="S42" s="705">
        <f t="shared" si="10"/>
        <v>100</v>
      </c>
      <c r="T42" s="704" t="s">
        <v>14</v>
      </c>
      <c r="U42" s="705">
        <f t="shared" si="11"/>
        <v>100</v>
      </c>
      <c r="V42" s="704" t="s">
        <v>14</v>
      </c>
      <c r="W42" s="705">
        <f t="shared" si="12"/>
        <v>100</v>
      </c>
      <c r="X42" s="1354"/>
      <c r="Y42" s="3742"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2"/>
      <c r="Q43" s="1351">
        <f t="shared" si="14"/>
        <v>111</v>
      </c>
      <c r="R43" s="704" t="s">
        <v>14</v>
      </c>
      <c r="S43" s="705">
        <f t="shared" si="10"/>
        <v>100</v>
      </c>
      <c r="T43" s="704" t="s">
        <v>14</v>
      </c>
      <c r="U43" s="705">
        <f t="shared" si="11"/>
        <v>100</v>
      </c>
      <c r="V43" s="704" t="s">
        <v>14</v>
      </c>
      <c r="W43" s="705">
        <f t="shared" si="12"/>
        <v>100</v>
      </c>
      <c r="X43" s="1354"/>
      <c r="Y43" s="3742"/>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2"/>
      <c r="Q44" s="1351">
        <f t="shared" si="14"/>
        <v>111</v>
      </c>
      <c r="R44" s="704" t="s">
        <v>14</v>
      </c>
      <c r="S44" s="705">
        <f t="shared" si="10"/>
        <v>100</v>
      </c>
      <c r="T44" s="704" t="s">
        <v>14</v>
      </c>
      <c r="U44" s="705">
        <f t="shared" si="11"/>
        <v>100</v>
      </c>
      <c r="V44" s="704" t="s">
        <v>14</v>
      </c>
      <c r="W44" s="705">
        <f t="shared" si="12"/>
        <v>100</v>
      </c>
      <c r="X44" s="1354"/>
      <c r="Y44" s="3742"/>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2"/>
      <c r="Q45" s="1351">
        <f t="shared" si="14"/>
        <v>111</v>
      </c>
      <c r="R45" s="707" t="s">
        <v>14</v>
      </c>
      <c r="S45" s="708">
        <f t="shared" si="10"/>
        <v>100</v>
      </c>
      <c r="T45" s="707" t="s">
        <v>14</v>
      </c>
      <c r="U45" s="708">
        <f t="shared" si="11"/>
        <v>100</v>
      </c>
      <c r="V45" s="707" t="s">
        <v>14</v>
      </c>
      <c r="W45" s="708">
        <f t="shared" si="12"/>
        <v>100</v>
      </c>
      <c r="X45" s="709"/>
      <c r="Y45" s="3742"/>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744" t="str">
        <f>A46</f>
        <v>成交单价</v>
      </c>
      <c r="Q46" s="3744"/>
      <c r="R46" s="3732">
        <f>E46</f>
        <v>0</v>
      </c>
      <c r="S46" s="3732"/>
      <c r="T46" s="3732">
        <f>G46</f>
        <v>0</v>
      </c>
      <c r="U46" s="3732"/>
      <c r="V46" s="3732">
        <f>I46</f>
        <v>0</v>
      </c>
      <c r="W46" s="3732"/>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44" t="str">
        <f>A47</f>
        <v>比较价值（元/平方米）</v>
      </c>
      <c r="Q47" s="3744"/>
      <c r="R47" s="3783" t="e">
        <f>ROUND(PRODUCT(R46,AA7:AA45),0)</f>
        <v>#DIV/0!</v>
      </c>
      <c r="S47" s="3783"/>
      <c r="T47" s="3783" t="e">
        <f>ROUND(PRODUCT(T46,AB7:AB45),0)</f>
        <v>#DIV/0!</v>
      </c>
      <c r="U47" s="3783"/>
      <c r="V47" s="3783" t="e">
        <f>ROUND(PRODUCT(V46,AC7:AC45),0)</f>
        <v>#DIV/0!</v>
      </c>
      <c r="W47" s="378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78" t="str">
        <f>A48</f>
        <v>估价对象XX用房的比较价值（楼面单价，元/平方米）</v>
      </c>
      <c r="Q48" s="3779"/>
      <c r="R48" s="3784" t="e">
        <f>ROUND(IF(D47="简单平均",AVERAGE(R47:W47),R47*F47+T47*H47+V47*J47),0)</f>
        <v>#DIV/0!</v>
      </c>
      <c r="S48" s="3784"/>
      <c r="T48" s="3784"/>
      <c r="U48" s="3784"/>
      <c r="V48" s="3784"/>
      <c r="W48" s="378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19" t="s">
        <v>1887</v>
      </c>
      <c r="H55" s="3785"/>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89.68</v>
      </c>
      <c r="F56" s="885" t="e">
        <f t="shared" ref="F56:F64" si="15">ROUND(B56*E56/10000,0)</f>
        <v>#DIV/0!</v>
      </c>
      <c r="G56" s="3715"/>
      <c r="H56" s="374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89.68</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13"/>
      <c r="M4" s="2714"/>
      <c r="N4" s="2714"/>
      <c r="O4" s="2714"/>
      <c r="P4" s="3774" t="s">
        <v>1775</v>
      </c>
      <c r="Q4" s="3775"/>
      <c r="R4" s="3771" t="s">
        <v>1771</v>
      </c>
      <c r="S4" s="3772"/>
      <c r="T4" s="3771" t="s">
        <v>1772</v>
      </c>
      <c r="U4" s="3772"/>
      <c r="V4" s="3732" t="s">
        <v>1773</v>
      </c>
      <c r="W4" s="3732"/>
      <c r="X4" s="1354"/>
      <c r="Y4" s="3771" t="s">
        <v>1775</v>
      </c>
      <c r="Z4" s="3772"/>
      <c r="AA4" s="3770" t="s">
        <v>1771</v>
      </c>
      <c r="AB4" s="3697" t="s">
        <v>1772</v>
      </c>
      <c r="AC4" s="3770" t="s">
        <v>1773</v>
      </c>
    </row>
    <row r="5" spans="1:29" ht="15">
      <c r="A5" s="358"/>
      <c r="B5" s="359"/>
      <c r="C5" s="3707" t="s">
        <v>1673</v>
      </c>
      <c r="D5" s="3708"/>
      <c r="E5" s="3773" t="s">
        <v>1674</v>
      </c>
      <c r="F5" s="3706"/>
      <c r="G5" s="3707" t="s">
        <v>1675</v>
      </c>
      <c r="H5" s="3708"/>
      <c r="I5" s="3707" t="s">
        <v>1676</v>
      </c>
      <c r="J5" s="3708"/>
      <c r="K5" s="559"/>
      <c r="L5" s="2713"/>
      <c r="M5" s="2714"/>
      <c r="N5" s="2714"/>
      <c r="O5" s="2714"/>
      <c r="P5" s="3776"/>
      <c r="Q5" s="3726"/>
      <c r="R5" s="3703"/>
      <c r="S5" s="3704"/>
      <c r="T5" s="3703"/>
      <c r="U5" s="3704"/>
      <c r="V5" s="3732"/>
      <c r="W5" s="3732"/>
      <c r="X5" s="1354"/>
      <c r="Y5" s="3703"/>
      <c r="Z5" s="3704"/>
      <c r="AA5" s="3697"/>
      <c r="AB5" s="3697"/>
      <c r="AC5" s="3697"/>
    </row>
    <row r="6" spans="1:29" ht="15.75" thickBot="1">
      <c r="A6" s="360"/>
      <c r="B6" s="361"/>
      <c r="C6" s="3786" t="s">
        <v>1919</v>
      </c>
      <c r="D6" s="3787"/>
      <c r="E6" s="3788" t="s">
        <v>1919</v>
      </c>
      <c r="F6" s="3789"/>
      <c r="G6" s="3786" t="s">
        <v>1919</v>
      </c>
      <c r="H6" s="3787"/>
      <c r="I6" s="3786" t="s">
        <v>1919</v>
      </c>
      <c r="J6" s="3787"/>
      <c r="K6" s="559" t="s">
        <v>1678</v>
      </c>
      <c r="L6" s="2713"/>
      <c r="M6" s="2714"/>
      <c r="N6" s="2714"/>
      <c r="O6" s="2714"/>
      <c r="P6" s="3777"/>
      <c r="Q6" s="3728"/>
      <c r="R6" s="3703"/>
      <c r="S6" s="3704"/>
      <c r="T6" s="3729"/>
      <c r="U6" s="3730"/>
      <c r="V6" s="3732"/>
      <c r="W6" s="3732"/>
      <c r="X6" s="1354"/>
      <c r="Y6" s="3729"/>
      <c r="Z6" s="3730"/>
      <c r="AA6" s="3698"/>
      <c r="AB6" s="3698"/>
      <c r="AC6" s="3698"/>
    </row>
    <row r="7" spans="1:29" s="108" customFormat="1" ht="15.75" thickBot="1">
      <c r="A7" s="362" t="s">
        <v>1679</v>
      </c>
      <c r="B7" s="363"/>
      <c r="C7" s="364">
        <f>'数据-取费表'!B2</f>
        <v>45958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9" t="s">
        <v>1680</v>
      </c>
      <c r="Q7" s="3734"/>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1683</v>
      </c>
      <c r="Q8" s="3700"/>
      <c r="R8" s="700" t="s">
        <v>14</v>
      </c>
      <c r="S8" s="701">
        <f t="shared" si="0"/>
        <v>0</v>
      </c>
      <c r="T8" s="700" t="s">
        <v>14</v>
      </c>
      <c r="U8" s="701">
        <f t="shared" si="1"/>
        <v>0</v>
      </c>
      <c r="V8" s="700" t="s">
        <v>14</v>
      </c>
      <c r="W8" s="701">
        <f t="shared" si="2"/>
        <v>0</v>
      </c>
      <c r="X8" s="702"/>
      <c r="Y8" s="3699" t="s">
        <v>1683</v>
      </c>
      <c r="Z8" s="370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4" t="s">
        <v>1686</v>
      </c>
      <c r="Q9" s="1342" t="str">
        <f t="shared" ref="Q9:Q15" si="6">B9</f>
        <v>用途</v>
      </c>
      <c r="R9" s="700" t="s">
        <v>14</v>
      </c>
      <c r="S9" s="701">
        <f t="shared" si="0"/>
        <v>100</v>
      </c>
      <c r="T9" s="700" t="s">
        <v>14</v>
      </c>
      <c r="U9" s="701">
        <f t="shared" si="1"/>
        <v>100</v>
      </c>
      <c r="V9" s="700" t="s">
        <v>14</v>
      </c>
      <c r="W9" s="701">
        <f t="shared" si="2"/>
        <v>100</v>
      </c>
      <c r="X9" s="702"/>
      <c r="Y9" s="364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44"/>
      <c r="Q10" s="1342" t="str">
        <f t="shared" si="6"/>
        <v>土地使用年限（年）</v>
      </c>
      <c r="R10" s="700" t="s">
        <v>14</v>
      </c>
      <c r="S10" s="701">
        <f t="shared" si="0"/>
        <v>110</v>
      </c>
      <c r="T10" s="700" t="s">
        <v>14</v>
      </c>
      <c r="U10" s="701">
        <f t="shared" si="1"/>
        <v>110</v>
      </c>
      <c r="V10" s="700" t="s">
        <v>14</v>
      </c>
      <c r="W10" s="701">
        <f t="shared" si="2"/>
        <v>110</v>
      </c>
      <c r="X10" s="702"/>
      <c r="Y10" s="3645"/>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4"/>
      <c r="Q11" s="1342" t="str">
        <f t="shared" si="6"/>
        <v>容积率</v>
      </c>
      <c r="R11" s="700" t="s">
        <v>14</v>
      </c>
      <c r="S11" s="701" t="e">
        <f t="shared" si="0"/>
        <v>#N/A</v>
      </c>
      <c r="T11" s="700" t="s">
        <v>14</v>
      </c>
      <c r="U11" s="701" t="e">
        <f t="shared" si="1"/>
        <v>#N/A</v>
      </c>
      <c r="V11" s="700" t="s">
        <v>14</v>
      </c>
      <c r="W11" s="701" t="e">
        <f t="shared" si="2"/>
        <v>#N/A</v>
      </c>
      <c r="X11" s="702"/>
      <c r="Y11" s="364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4"/>
      <c r="Q12" s="1342">
        <f t="shared" si="6"/>
        <v>111</v>
      </c>
      <c r="R12" s="700" t="s">
        <v>14</v>
      </c>
      <c r="S12" s="701">
        <f t="shared" si="0"/>
        <v>100</v>
      </c>
      <c r="T12" s="700" t="s">
        <v>14</v>
      </c>
      <c r="U12" s="701">
        <f t="shared" si="1"/>
        <v>100</v>
      </c>
      <c r="V12" s="700" t="s">
        <v>14</v>
      </c>
      <c r="W12" s="701">
        <f t="shared" si="2"/>
        <v>100</v>
      </c>
      <c r="X12" s="702"/>
      <c r="Y12" s="364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4"/>
      <c r="Q13" s="1342">
        <f t="shared" si="6"/>
        <v>111</v>
      </c>
      <c r="R13" s="700" t="s">
        <v>14</v>
      </c>
      <c r="S13" s="701">
        <f t="shared" si="0"/>
        <v>100</v>
      </c>
      <c r="T13" s="700" t="s">
        <v>14</v>
      </c>
      <c r="U13" s="701">
        <f t="shared" si="1"/>
        <v>100</v>
      </c>
      <c r="V13" s="700" t="s">
        <v>14</v>
      </c>
      <c r="W13" s="701">
        <f t="shared" si="2"/>
        <v>100</v>
      </c>
      <c r="X13" s="702"/>
      <c r="Y13" s="364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4"/>
      <c r="Q14" s="1342">
        <f t="shared" si="6"/>
        <v>111</v>
      </c>
      <c r="R14" s="700" t="s">
        <v>14</v>
      </c>
      <c r="S14" s="701">
        <f t="shared" si="0"/>
        <v>100</v>
      </c>
      <c r="T14" s="700" t="s">
        <v>14</v>
      </c>
      <c r="U14" s="701">
        <f t="shared" si="1"/>
        <v>100</v>
      </c>
      <c r="V14" s="700" t="s">
        <v>14</v>
      </c>
      <c r="W14" s="701">
        <f t="shared" si="2"/>
        <v>100</v>
      </c>
      <c r="X14" s="702"/>
      <c r="Y14" s="3645"/>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7" t="s">
        <v>1691</v>
      </c>
      <c r="Q15" s="1351" t="str">
        <f t="shared" si="6"/>
        <v>产业集聚程度</v>
      </c>
      <c r="R15" s="704" t="s">
        <v>14</v>
      </c>
      <c r="S15" s="705">
        <f t="shared" si="0"/>
        <v>100</v>
      </c>
      <c r="T15" s="704" t="s">
        <v>14</v>
      </c>
      <c r="U15" s="705">
        <f t="shared" si="1"/>
        <v>100</v>
      </c>
      <c r="V15" s="704" t="s">
        <v>14</v>
      </c>
      <c r="W15" s="705">
        <f t="shared" si="2"/>
        <v>100</v>
      </c>
      <c r="X15" s="1354"/>
      <c r="Y15" s="373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8"/>
      <c r="Q16" s="1351"/>
      <c r="R16" s="704"/>
      <c r="S16" s="705"/>
      <c r="T16" s="704"/>
      <c r="U16" s="705"/>
      <c r="V16" s="704"/>
      <c r="W16" s="705"/>
      <c r="X16" s="1354"/>
      <c r="Y16" s="373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8"/>
      <c r="Q17" s="1351" t="str">
        <f>B17</f>
        <v>交通便捷度</v>
      </c>
      <c r="R17" s="704" t="s">
        <v>14</v>
      </c>
      <c r="S17" s="705">
        <f>F17</f>
        <v>100</v>
      </c>
      <c r="T17" s="704" t="s">
        <v>14</v>
      </c>
      <c r="U17" s="705">
        <f>H17</f>
        <v>100</v>
      </c>
      <c r="V17" s="704" t="s">
        <v>14</v>
      </c>
      <c r="W17" s="705">
        <f>J17</f>
        <v>100</v>
      </c>
      <c r="X17" s="1354"/>
      <c r="Y17" s="373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8"/>
      <c r="Q18" s="1351"/>
      <c r="R18" s="704"/>
      <c r="S18" s="705"/>
      <c r="T18" s="704"/>
      <c r="U18" s="705"/>
      <c r="V18" s="704"/>
      <c r="W18" s="705"/>
      <c r="X18" s="1354"/>
      <c r="Y18" s="373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8"/>
      <c r="Q19" s="1351" t="str">
        <f t="shared" ref="Q19:Q33" si="8">B19</f>
        <v>区域土地利用方向</v>
      </c>
      <c r="R19" s="704" t="s">
        <v>14</v>
      </c>
      <c r="S19" s="705">
        <f>F19</f>
        <v>100</v>
      </c>
      <c r="T19" s="704" t="s">
        <v>14</v>
      </c>
      <c r="U19" s="705">
        <f>H19</f>
        <v>100</v>
      </c>
      <c r="V19" s="704" t="s">
        <v>14</v>
      </c>
      <c r="W19" s="705">
        <f>J19</f>
        <v>100</v>
      </c>
      <c r="X19" s="1354"/>
      <c r="Y19" s="373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38"/>
      <c r="Q20" s="1351"/>
      <c r="R20" s="704"/>
      <c r="S20" s="705"/>
      <c r="T20" s="704"/>
      <c r="U20" s="705"/>
      <c r="V20" s="704"/>
      <c r="W20" s="705"/>
      <c r="X20" s="1354"/>
      <c r="Y20" s="373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8"/>
      <c r="Q21" s="1351" t="str">
        <f t="shared" si="8"/>
        <v>环境状况</v>
      </c>
      <c r="R21" s="704" t="s">
        <v>14</v>
      </c>
      <c r="S21" s="705">
        <f>F21</f>
        <v>100</v>
      </c>
      <c r="T21" s="704" t="s">
        <v>14</v>
      </c>
      <c r="U21" s="705">
        <f>H21</f>
        <v>100</v>
      </c>
      <c r="V21" s="704" t="s">
        <v>14</v>
      </c>
      <c r="W21" s="705">
        <f>J21</f>
        <v>100</v>
      </c>
      <c r="X21" s="1354"/>
      <c r="Y21" s="373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8"/>
      <c r="Q22" s="1351"/>
      <c r="R22" s="704"/>
      <c r="S22" s="705"/>
      <c r="T22" s="704"/>
      <c r="U22" s="705"/>
      <c r="V22" s="704"/>
      <c r="W22" s="705"/>
      <c r="X22" s="1354"/>
      <c r="Y22" s="373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8"/>
      <c r="Q23" s="1342" t="str">
        <f t="shared" si="8"/>
        <v>公共配套设施</v>
      </c>
      <c r="R23" s="700" t="s">
        <v>14</v>
      </c>
      <c r="S23" s="701">
        <f>F23</f>
        <v>100</v>
      </c>
      <c r="T23" s="700" t="s">
        <v>14</v>
      </c>
      <c r="U23" s="701">
        <f>H23</f>
        <v>100</v>
      </c>
      <c r="V23" s="700" t="s">
        <v>14</v>
      </c>
      <c r="W23" s="701">
        <f>J23</f>
        <v>100</v>
      </c>
      <c r="X23" s="702"/>
      <c r="Y23" s="373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38"/>
      <c r="Q24" s="1342"/>
      <c r="R24" s="700"/>
      <c r="S24" s="701"/>
      <c r="T24" s="700"/>
      <c r="U24" s="701"/>
      <c r="V24" s="700"/>
      <c r="W24" s="701"/>
      <c r="X24" s="702"/>
      <c r="Y24" s="3738"/>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8"/>
      <c r="Q25" s="1342" t="str">
        <f t="shared" ref="Q25" si="9">B25</f>
        <v>基础设施水平</v>
      </c>
      <c r="R25" s="700" t="s">
        <v>14</v>
      </c>
      <c r="S25" s="701">
        <f>F25</f>
        <v>100</v>
      </c>
      <c r="T25" s="700" t="s">
        <v>14</v>
      </c>
      <c r="U25" s="701">
        <f>H25</f>
        <v>100</v>
      </c>
      <c r="V25" s="700" t="s">
        <v>14</v>
      </c>
      <c r="W25" s="701">
        <f>J25</f>
        <v>100</v>
      </c>
      <c r="X25" s="702"/>
      <c r="Y25" s="373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38"/>
      <c r="Q26" s="1342"/>
      <c r="R26" s="700"/>
      <c r="S26" s="701"/>
      <c r="T26" s="700"/>
      <c r="U26" s="701"/>
      <c r="V26" s="700"/>
      <c r="W26" s="701"/>
      <c r="X26" s="702"/>
      <c r="Y26" s="373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8"/>
      <c r="Q28" s="1351" t="str">
        <f t="shared" si="8"/>
        <v>毗邻道路的类型与等级</v>
      </c>
      <c r="R28" s="704" t="s">
        <v>14</v>
      </c>
      <c r="S28" s="705">
        <f t="shared" si="10"/>
        <v>100</v>
      </c>
      <c r="T28" s="704" t="s">
        <v>14</v>
      </c>
      <c r="U28" s="705">
        <f t="shared" si="11"/>
        <v>100</v>
      </c>
      <c r="V28" s="704" t="s">
        <v>14</v>
      </c>
      <c r="W28" s="705">
        <f t="shared" si="12"/>
        <v>100</v>
      </c>
      <c r="X28" s="1354"/>
      <c r="Y28" s="373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8"/>
      <c r="Q29" s="1351"/>
      <c r="R29" s="704"/>
      <c r="S29" s="705"/>
      <c r="T29" s="704"/>
      <c r="U29" s="705"/>
      <c r="V29" s="704"/>
      <c r="W29" s="705"/>
      <c r="X29" s="1354"/>
      <c r="Y29" s="3738"/>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8"/>
      <c r="Q30" s="1351" t="str">
        <f t="shared" si="8"/>
        <v>土地级别</v>
      </c>
      <c r="R30" s="704" t="s">
        <v>14</v>
      </c>
      <c r="S30" s="705">
        <f t="shared" si="10"/>
        <v>100</v>
      </c>
      <c r="T30" s="704" t="s">
        <v>14</v>
      </c>
      <c r="U30" s="705">
        <f t="shared" si="11"/>
        <v>100</v>
      </c>
      <c r="V30" s="704" t="s">
        <v>14</v>
      </c>
      <c r="W30" s="705">
        <f t="shared" si="12"/>
        <v>100</v>
      </c>
      <c r="X30" s="1354"/>
      <c r="Y30" s="373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8"/>
      <c r="Q31" s="1351">
        <f t="shared" si="8"/>
        <v>111</v>
      </c>
      <c r="R31" s="704" t="s">
        <v>14</v>
      </c>
      <c r="S31" s="705">
        <f t="shared" si="10"/>
        <v>100</v>
      </c>
      <c r="T31" s="704" t="s">
        <v>14</v>
      </c>
      <c r="U31" s="705">
        <f t="shared" si="11"/>
        <v>100</v>
      </c>
      <c r="V31" s="704" t="s">
        <v>14</v>
      </c>
      <c r="W31" s="705">
        <f t="shared" si="12"/>
        <v>100</v>
      </c>
      <c r="X31" s="1354"/>
      <c r="Y31" s="373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1" t="s">
        <v>1696</v>
      </c>
      <c r="Q32" s="1351">
        <f t="shared" si="8"/>
        <v>111</v>
      </c>
      <c r="R32" s="704" t="s">
        <v>14</v>
      </c>
      <c r="S32" s="705">
        <f t="shared" si="10"/>
        <v>100</v>
      </c>
      <c r="T32" s="704" t="s">
        <v>14</v>
      </c>
      <c r="U32" s="705">
        <f t="shared" si="11"/>
        <v>100</v>
      </c>
      <c r="V32" s="704" t="s">
        <v>14</v>
      </c>
      <c r="W32" s="705">
        <f t="shared" si="12"/>
        <v>100</v>
      </c>
      <c r="X32" s="1354"/>
      <c r="Y32" s="374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2"/>
      <c r="Q33" s="1351">
        <f t="shared" si="8"/>
        <v>111</v>
      </c>
      <c r="R33" s="707" t="s">
        <v>14</v>
      </c>
      <c r="S33" s="708">
        <f t="shared" si="10"/>
        <v>100</v>
      </c>
      <c r="T33" s="707" t="s">
        <v>14</v>
      </c>
      <c r="U33" s="708">
        <f t="shared" si="11"/>
        <v>100</v>
      </c>
      <c r="V33" s="707" t="s">
        <v>14</v>
      </c>
      <c r="W33" s="708">
        <f t="shared" si="12"/>
        <v>100</v>
      </c>
      <c r="X33" s="709"/>
      <c r="Y33" s="3742"/>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2"/>
      <c r="Q34" s="1351" t="str">
        <f>B34</f>
        <v>宗地面积</v>
      </c>
      <c r="R34" s="704" t="s">
        <v>14</v>
      </c>
      <c r="S34" s="705" t="e">
        <f t="shared" si="10"/>
        <v>#N/A</v>
      </c>
      <c r="T34" s="704" t="s">
        <v>14</v>
      </c>
      <c r="U34" s="705" t="e">
        <f t="shared" si="11"/>
        <v>#N/A</v>
      </c>
      <c r="V34" s="704" t="s">
        <v>14</v>
      </c>
      <c r="W34" s="705" t="e">
        <f t="shared" si="12"/>
        <v>#N/A</v>
      </c>
      <c r="X34" s="1354"/>
      <c r="Y34" s="374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2"/>
      <c r="Q35" s="1351" t="str">
        <f t="shared" ref="Q35:Q40" si="14">B35</f>
        <v>宗地形状</v>
      </c>
      <c r="R35" s="704" t="s">
        <v>14</v>
      </c>
      <c r="S35" s="705">
        <f t="shared" si="10"/>
        <v>100</v>
      </c>
      <c r="T35" s="704" t="s">
        <v>14</v>
      </c>
      <c r="U35" s="705">
        <f t="shared" si="11"/>
        <v>100</v>
      </c>
      <c r="V35" s="704" t="s">
        <v>14</v>
      </c>
      <c r="W35" s="705">
        <f t="shared" si="12"/>
        <v>100</v>
      </c>
      <c r="X35" s="1354"/>
      <c r="Y35" s="374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2"/>
      <c r="Q36" s="1351" t="str">
        <f t="shared" si="14"/>
        <v>宗地开发程度</v>
      </c>
      <c r="R36" s="700" t="s">
        <v>14</v>
      </c>
      <c r="S36" s="701">
        <f t="shared" si="10"/>
        <v>100</v>
      </c>
      <c r="T36" s="700" t="s">
        <v>14</v>
      </c>
      <c r="U36" s="701">
        <f t="shared" si="11"/>
        <v>100</v>
      </c>
      <c r="V36" s="700" t="s">
        <v>14</v>
      </c>
      <c r="W36" s="701">
        <f t="shared" si="12"/>
        <v>100</v>
      </c>
      <c r="X36" s="702"/>
      <c r="Y36" s="374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2" t="s">
        <v>1696</v>
      </c>
      <c r="Q37" s="1351" t="str">
        <f t="shared" si="14"/>
        <v>工程地质条件</v>
      </c>
      <c r="R37" s="704" t="s">
        <v>14</v>
      </c>
      <c r="S37" s="705">
        <f t="shared" si="10"/>
        <v>100</v>
      </c>
      <c r="T37" s="704" t="s">
        <v>14</v>
      </c>
      <c r="U37" s="705">
        <f t="shared" si="11"/>
        <v>100</v>
      </c>
      <c r="V37" s="704" t="s">
        <v>14</v>
      </c>
      <c r="W37" s="705">
        <f t="shared" si="12"/>
        <v>100</v>
      </c>
      <c r="X37" s="1354"/>
      <c r="Y37" s="3742"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2"/>
      <c r="Q38" s="1351">
        <f t="shared" si="14"/>
        <v>111</v>
      </c>
      <c r="R38" s="704" t="s">
        <v>14</v>
      </c>
      <c r="S38" s="705">
        <f t="shared" si="10"/>
        <v>100</v>
      </c>
      <c r="T38" s="704" t="s">
        <v>14</v>
      </c>
      <c r="U38" s="705">
        <f t="shared" si="11"/>
        <v>100</v>
      </c>
      <c r="V38" s="704" t="s">
        <v>14</v>
      </c>
      <c r="W38" s="705">
        <f t="shared" si="12"/>
        <v>100</v>
      </c>
      <c r="X38" s="1354"/>
      <c r="Y38" s="3742"/>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2"/>
      <c r="Q39" s="1351">
        <f t="shared" si="14"/>
        <v>111</v>
      </c>
      <c r="R39" s="704" t="s">
        <v>14</v>
      </c>
      <c r="S39" s="705">
        <f t="shared" si="10"/>
        <v>100</v>
      </c>
      <c r="T39" s="704" t="s">
        <v>14</v>
      </c>
      <c r="U39" s="705">
        <f t="shared" si="11"/>
        <v>100</v>
      </c>
      <c r="V39" s="704" t="s">
        <v>14</v>
      </c>
      <c r="W39" s="705">
        <f t="shared" si="12"/>
        <v>100</v>
      </c>
      <c r="X39" s="1354"/>
      <c r="Y39" s="3742"/>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2"/>
      <c r="Q40" s="1351">
        <f t="shared" si="14"/>
        <v>111</v>
      </c>
      <c r="R40" s="707" t="s">
        <v>14</v>
      </c>
      <c r="S40" s="708">
        <f t="shared" si="10"/>
        <v>100</v>
      </c>
      <c r="T40" s="707" t="s">
        <v>14</v>
      </c>
      <c r="U40" s="708">
        <f t="shared" si="11"/>
        <v>100</v>
      </c>
      <c r="V40" s="707" t="s">
        <v>14</v>
      </c>
      <c r="W40" s="708">
        <f t="shared" si="12"/>
        <v>100</v>
      </c>
      <c r="X40" s="709"/>
      <c r="Y40" s="3742"/>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744" t="str">
        <f>A41</f>
        <v>成交单价</v>
      </c>
      <c r="Q41" s="3744"/>
      <c r="R41" s="3732">
        <f>E41</f>
        <v>0</v>
      </c>
      <c r="S41" s="3732"/>
      <c r="T41" s="3732">
        <f>G41</f>
        <v>0</v>
      </c>
      <c r="U41" s="3732"/>
      <c r="V41" s="3732">
        <f>I41</f>
        <v>0</v>
      </c>
      <c r="W41" s="3732"/>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44" t="str">
        <f>A42</f>
        <v>比较价值（元/平方米）</v>
      </c>
      <c r="Q42" s="3744"/>
      <c r="R42" s="3783" t="e">
        <f>ROUND(PRODUCT(R41,AA7:AA40),0)</f>
        <v>#DIV/0!</v>
      </c>
      <c r="S42" s="3783"/>
      <c r="T42" s="3783" t="e">
        <f>ROUND(PRODUCT(T41,AB7:AB40),0)</f>
        <v>#DIV/0!</v>
      </c>
      <c r="U42" s="3783"/>
      <c r="V42" s="3783" t="e">
        <f>ROUND(PRODUCT(V41,AC7:AC40),0)</f>
        <v>#DIV/0!</v>
      </c>
      <c r="W42" s="378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78" t="str">
        <f>A43</f>
        <v>估价对象XX用房的比较价值（楼面单价，元/平方米）</v>
      </c>
      <c r="Q43" s="3779"/>
      <c r="R43" s="3784" t="e">
        <f>ROUND(IF(D42="简单平均",AVERAGE(R42:W42),R42*F42+T42*H42+V42*J42),0)</f>
        <v>#DIV/0!</v>
      </c>
      <c r="S43" s="3784"/>
      <c r="T43" s="3784"/>
      <c r="U43" s="3784"/>
      <c r="V43" s="3784"/>
      <c r="W43" s="378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19" t="s">
        <v>1887</v>
      </c>
      <c r="H50" s="3785"/>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89.68</v>
      </c>
      <c r="F51" s="639" t="e">
        <f t="shared" ref="F51:F60" si="15">ROUND(B51*E51/10000,0)</f>
        <v>#DIV/0!</v>
      </c>
      <c r="G51" s="3715"/>
      <c r="H51" s="374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3" t="s">
        <v>2084</v>
      </c>
      <c r="D1" s="3794"/>
      <c r="E1" s="3794"/>
      <c r="F1" s="3794"/>
      <c r="G1" s="3794"/>
      <c r="H1" s="3794"/>
      <c r="I1" s="3794"/>
      <c r="J1" s="3794"/>
      <c r="K1" s="3794"/>
      <c r="L1" s="3794"/>
      <c r="M1" s="3794"/>
      <c r="N1" s="3794"/>
      <c r="O1" s="3794"/>
      <c r="P1" s="3794"/>
      <c r="Q1" s="3794"/>
      <c r="R1" s="3794"/>
      <c r="S1" s="3795"/>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90" t="s">
        <v>27</v>
      </c>
      <c r="D22" s="3791"/>
      <c r="E22" s="3791"/>
      <c r="F22" s="3791"/>
      <c r="G22" s="3791"/>
      <c r="H22" s="3791"/>
      <c r="I22" s="3791"/>
      <c r="J22" s="3791"/>
      <c r="K22" s="3791"/>
      <c r="L22" s="3791"/>
      <c r="M22" s="3791"/>
      <c r="N22" s="3791"/>
      <c r="O22" s="3791"/>
      <c r="P22" s="3791"/>
      <c r="Q22" s="3792"/>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6"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12703</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7"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7"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7"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7"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7"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7"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7"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7"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7"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7"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7"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7"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7"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7"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7"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7"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7"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66</v>
      </c>
      <c r="C2" s="2144" t="s">
        <v>2074</v>
      </c>
      <c r="D2" s="2144" t="s">
        <v>2075</v>
      </c>
      <c r="E2" s="2611">
        <f ca="1">SUMIF(E6:E13,"&lt;&gt;#ref!",E6:E13)</f>
        <v>89.68</v>
      </c>
      <c r="F2" s="2791"/>
      <c r="G2" s="2791"/>
      <c r="H2" s="2791"/>
      <c r="I2" s="2791"/>
      <c r="J2" s="2791"/>
      <c r="K2" s="2791"/>
      <c r="L2" s="2791"/>
      <c r="M2" s="2791"/>
      <c r="N2" s="2791"/>
      <c r="O2" s="2791"/>
      <c r="P2" s="2791"/>
    </row>
    <row r="3" spans="1:16" ht="15.75">
      <c r="A3" s="2144" t="s">
        <v>2076</v>
      </c>
      <c r="B3" s="2601">
        <f ca="1">ROUND(B2*10000/E2,0)</f>
        <v>7360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66</v>
      </c>
      <c r="C6" s="2144" t="s">
        <v>2074</v>
      </c>
      <c r="D6" s="2791"/>
      <c r="E6" s="2611">
        <f ca="1">SUMIF(INDIRECT("'"&amp;A6&amp;"'"&amp;"!C:C"),"建筑面积",INDIRECT("'"&amp;A6&amp;"'"&amp;"!D:D"))</f>
        <v>89.68</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6" t="s">
        <v>2606</v>
      </c>
      <c r="B20" s="3796" t="s">
        <v>2627</v>
      </c>
      <c r="C20" s="3475" t="s">
        <v>2438</v>
      </c>
      <c r="D20" s="3475"/>
      <c r="E20" s="3103">
        <v>1</v>
      </c>
      <c r="F20" s="3104" t="s">
        <v>2439</v>
      </c>
      <c r="G20" s="3104"/>
    </row>
    <row r="21" spans="1:13" ht="19.5" customHeight="1">
      <c r="A21" s="3807"/>
      <c r="B21" s="3797"/>
      <c r="C21" s="3465" t="s">
        <v>2440</v>
      </c>
      <c r="D21" s="3465"/>
      <c r="E21" s="3107">
        <v>1</v>
      </c>
      <c r="F21" s="3104" t="s">
        <v>2441</v>
      </c>
      <c r="G21" s="3104"/>
    </row>
    <row r="22" spans="1:13" ht="19.5" customHeight="1">
      <c r="A22" s="3807"/>
      <c r="B22" s="3797"/>
      <c r="C22" s="3465" t="s">
        <v>2442</v>
      </c>
      <c r="D22" s="3465"/>
      <c r="E22" s="3107">
        <v>0.9</v>
      </c>
      <c r="F22" s="3104" t="s">
        <v>2443</v>
      </c>
      <c r="G22" s="3104"/>
    </row>
    <row r="23" spans="1:13" ht="19.5" customHeight="1">
      <c r="A23" s="3807"/>
      <c r="B23" s="3797"/>
      <c r="C23" s="3465" t="s">
        <v>2444</v>
      </c>
      <c r="D23" s="3465"/>
      <c r="E23" s="3107">
        <v>0.9</v>
      </c>
      <c r="F23" s="3104" t="s">
        <v>2445</v>
      </c>
      <c r="G23" s="3104"/>
    </row>
    <row r="24" spans="1:13" ht="19.5" customHeight="1">
      <c r="A24" s="3807"/>
      <c r="B24" s="3797"/>
      <c r="C24" s="3465" t="s">
        <v>2446</v>
      </c>
      <c r="D24" s="3465"/>
      <c r="E24" s="3107">
        <v>0.8</v>
      </c>
      <c r="F24" s="3104" t="s">
        <v>2447</v>
      </c>
      <c r="G24" s="3104"/>
    </row>
    <row r="25" spans="1:13" ht="19.5" customHeight="1">
      <c r="A25" s="3807"/>
      <c r="B25" s="3797"/>
      <c r="C25" s="3465" t="s">
        <v>2448</v>
      </c>
      <c r="D25" s="3465"/>
      <c r="E25" s="3107">
        <v>0.8</v>
      </c>
      <c r="F25" s="3104"/>
      <c r="G25" s="3104"/>
    </row>
    <row r="26" spans="1:13" ht="19.5" customHeight="1">
      <c r="A26" s="3807"/>
      <c r="B26" s="3797"/>
      <c r="C26" s="3468" t="s">
        <v>3406</v>
      </c>
      <c r="D26" s="3468"/>
      <c r="E26" s="3469">
        <v>0.43</v>
      </c>
      <c r="F26" s="3104"/>
      <c r="G26" s="3104"/>
    </row>
    <row r="27" spans="1:13" ht="19.5" customHeight="1" thickBot="1">
      <c r="A27" s="3808"/>
      <c r="B27" s="3798"/>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799" t="s">
        <v>2630</v>
      </c>
      <c r="B29" s="3802" t="s">
        <v>2611</v>
      </c>
      <c r="C29" s="3101" t="s">
        <v>2451</v>
      </c>
      <c r="D29" s="3102"/>
      <c r="E29" s="3103">
        <v>1</v>
      </c>
      <c r="F29" s="3104" t="s">
        <v>2452</v>
      </c>
      <c r="G29" s="3104"/>
    </row>
    <row r="30" spans="1:13" ht="19.5" customHeight="1">
      <c r="A30" s="3800"/>
      <c r="B30" s="3803"/>
      <c r="C30" s="3105" t="s">
        <v>2453</v>
      </c>
      <c r="D30" s="3106"/>
      <c r="E30" s="3107">
        <v>1</v>
      </c>
      <c r="F30" s="3104" t="s">
        <v>2454</v>
      </c>
      <c r="G30" s="3104"/>
    </row>
    <row r="31" spans="1:13" ht="19.5" customHeight="1">
      <c r="A31" s="3800"/>
      <c r="B31" s="3803"/>
      <c r="C31" s="3105" t="s">
        <v>2455</v>
      </c>
      <c r="D31" s="3106"/>
      <c r="E31" s="3107">
        <v>0.8</v>
      </c>
      <c r="F31" s="3104" t="s">
        <v>2456</v>
      </c>
      <c r="G31" s="3104"/>
    </row>
    <row r="32" spans="1:13" ht="19.5" customHeight="1">
      <c r="A32" s="3800"/>
      <c r="B32" s="3803"/>
      <c r="C32" s="3105" t="s">
        <v>2457</v>
      </c>
      <c r="D32" s="3106"/>
      <c r="E32" s="3107">
        <v>0.8</v>
      </c>
      <c r="F32" s="3104" t="s">
        <v>2458</v>
      </c>
      <c r="G32" s="3104"/>
    </row>
    <row r="33" spans="1:7" ht="19.5" customHeight="1">
      <c r="A33" s="3800"/>
      <c r="B33" s="3803"/>
      <c r="C33" s="3105" t="s">
        <v>2459</v>
      </c>
      <c r="D33" s="3106"/>
      <c r="E33" s="3107">
        <v>0.8</v>
      </c>
      <c r="F33" s="3104" t="s">
        <v>2460</v>
      </c>
      <c r="G33" s="3104"/>
    </row>
    <row r="34" spans="1:7" ht="19.5" customHeight="1">
      <c r="A34" s="3800"/>
      <c r="B34" s="3803"/>
      <c r="C34" s="3105" t="s">
        <v>2461</v>
      </c>
      <c r="D34" s="3106"/>
      <c r="E34" s="3107">
        <v>0.7</v>
      </c>
      <c r="F34" s="3104" t="s">
        <v>2462</v>
      </c>
      <c r="G34" s="3104"/>
    </row>
    <row r="35" spans="1:7" ht="19.5" customHeight="1">
      <c r="A35" s="3800"/>
      <c r="B35" s="3803"/>
      <c r="C35" s="3105" t="s">
        <v>2463</v>
      </c>
      <c r="D35" s="3106"/>
      <c r="E35" s="3107">
        <v>0.8</v>
      </c>
      <c r="F35" s="3104" t="s">
        <v>2464</v>
      </c>
      <c r="G35" s="3104"/>
    </row>
    <row r="36" spans="1:7" ht="19.5" customHeight="1">
      <c r="A36" s="3800"/>
      <c r="B36" s="3803"/>
      <c r="C36" s="3105" t="s">
        <v>2465</v>
      </c>
      <c r="D36" s="3106"/>
      <c r="E36" s="3107">
        <v>0.6</v>
      </c>
      <c r="F36" s="3104" t="s">
        <v>2466</v>
      </c>
      <c r="G36" s="3104"/>
    </row>
    <row r="37" spans="1:7" ht="19.5" customHeight="1">
      <c r="A37" s="3800"/>
      <c r="B37" s="3803"/>
      <c r="C37" s="3105" t="s">
        <v>2467</v>
      </c>
      <c r="D37" s="3106"/>
      <c r="E37" s="3107">
        <v>0.2</v>
      </c>
      <c r="F37" s="3104" t="s">
        <v>2468</v>
      </c>
      <c r="G37" s="3104"/>
    </row>
    <row r="38" spans="1:7" ht="19.5" customHeight="1">
      <c r="A38" s="3800"/>
      <c r="B38" s="3803"/>
      <c r="C38" s="3105" t="s">
        <v>2469</v>
      </c>
      <c r="D38" s="3106"/>
      <c r="E38" s="3107">
        <v>0.2</v>
      </c>
      <c r="F38" s="3104" t="s">
        <v>2470</v>
      </c>
      <c r="G38" s="3104"/>
    </row>
    <row r="39" spans="1:7" ht="19.5" customHeight="1">
      <c r="A39" s="3800"/>
      <c r="B39" s="3804" t="s">
        <v>2631</v>
      </c>
      <c r="C39" s="3105" t="s">
        <v>2471</v>
      </c>
      <c r="D39" s="3106"/>
      <c r="E39" s="3107">
        <v>0.6</v>
      </c>
      <c r="F39" s="3104" t="s">
        <v>2472</v>
      </c>
      <c r="G39" s="3104"/>
    </row>
    <row r="40" spans="1:7" ht="19.5" customHeight="1">
      <c r="A40" s="3800"/>
      <c r="B40" s="3803"/>
      <c r="C40" s="3105" t="s">
        <v>2473</v>
      </c>
      <c r="D40" s="3106"/>
      <c r="E40" s="3107">
        <v>0.6</v>
      </c>
      <c r="F40" s="3104" t="s">
        <v>2474</v>
      </c>
      <c r="G40" s="3104"/>
    </row>
    <row r="41" spans="1:7" ht="19.5" customHeight="1" thickBot="1">
      <c r="A41" s="3801"/>
      <c r="B41" s="3805"/>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6" t="s">
        <v>2609</v>
      </c>
      <c r="B43" s="3802" t="s">
        <v>2633</v>
      </c>
      <c r="C43" s="3101" t="s">
        <v>2478</v>
      </c>
      <c r="D43" s="3102"/>
      <c r="E43" s="3103">
        <v>1</v>
      </c>
      <c r="F43" s="3104" t="s">
        <v>2479</v>
      </c>
      <c r="G43" s="3104"/>
    </row>
    <row r="44" spans="1:7" ht="19.5" customHeight="1">
      <c r="A44" s="3807"/>
      <c r="B44" s="3803"/>
      <c r="C44" s="3105" t="s">
        <v>2480</v>
      </c>
      <c r="D44" s="3106"/>
      <c r="E44" s="3107">
        <v>1</v>
      </c>
      <c r="F44" s="3104" t="s">
        <v>2481</v>
      </c>
      <c r="G44" s="3104"/>
    </row>
    <row r="45" spans="1:7" ht="19.5" customHeight="1">
      <c r="A45" s="3807"/>
      <c r="B45" s="3809"/>
      <c r="C45" s="3105" t="s">
        <v>2482</v>
      </c>
      <c r="D45" s="3106"/>
      <c r="E45" s="3107">
        <v>1.5</v>
      </c>
      <c r="F45" s="3104" t="s">
        <v>2483</v>
      </c>
      <c r="G45" s="3104"/>
    </row>
    <row r="46" spans="1:7" ht="19.5" customHeight="1">
      <c r="A46" s="3807"/>
      <c r="B46" s="3116" t="s">
        <v>2634</v>
      </c>
      <c r="C46" s="3105" t="s">
        <v>2635</v>
      </c>
      <c r="D46" s="3106"/>
      <c r="E46" s="3107">
        <v>2</v>
      </c>
      <c r="F46" s="3104" t="s">
        <v>2484</v>
      </c>
      <c r="G46" s="3104"/>
    </row>
    <row r="47" spans="1:7" ht="19.5" customHeight="1">
      <c r="A47" s="3807"/>
      <c r="B47" s="3804" t="s">
        <v>2636</v>
      </c>
      <c r="C47" s="3105" t="s">
        <v>2485</v>
      </c>
      <c r="D47" s="3106"/>
      <c r="E47" s="3107">
        <v>1</v>
      </c>
      <c r="F47" s="3104" t="s">
        <v>2486</v>
      </c>
      <c r="G47" s="3104"/>
    </row>
    <row r="48" spans="1:7" ht="19.5" customHeight="1">
      <c r="A48" s="3807"/>
      <c r="B48" s="3803"/>
      <c r="C48" s="3105" t="s">
        <v>2487</v>
      </c>
      <c r="D48" s="3106"/>
      <c r="E48" s="3107">
        <v>1</v>
      </c>
      <c r="F48" s="3104" t="s">
        <v>2488</v>
      </c>
      <c r="G48" s="3104"/>
    </row>
    <row r="49" spans="1:7" ht="19.5" customHeight="1">
      <c r="A49" s="3807"/>
      <c r="B49" s="3803"/>
      <c r="C49" s="3105" t="s">
        <v>2489</v>
      </c>
      <c r="D49" s="3106"/>
      <c r="E49" s="3107">
        <v>1</v>
      </c>
      <c r="F49" s="3104" t="s">
        <v>2490</v>
      </c>
      <c r="G49" s="3104"/>
    </row>
    <row r="50" spans="1:7" ht="19.5" customHeight="1">
      <c r="A50" s="3807"/>
      <c r="B50" s="3803"/>
      <c r="C50" s="3105" t="s">
        <v>2491</v>
      </c>
      <c r="D50" s="3106"/>
      <c r="E50" s="3107">
        <v>1</v>
      </c>
      <c r="F50" s="3104" t="s">
        <v>2492</v>
      </c>
      <c r="G50" s="3104"/>
    </row>
    <row r="51" spans="1:7" ht="19.5" customHeight="1">
      <c r="A51" s="3807"/>
      <c r="B51" s="3803"/>
      <c r="C51" s="3105" t="s">
        <v>2493</v>
      </c>
      <c r="D51" s="3106"/>
      <c r="E51" s="3107">
        <v>1</v>
      </c>
      <c r="F51" s="3104" t="s">
        <v>2494</v>
      </c>
      <c r="G51" s="3104"/>
    </row>
    <row r="52" spans="1:7" ht="19.5" customHeight="1">
      <c r="A52" s="3807"/>
      <c r="B52" s="3803"/>
      <c r="C52" s="3105" t="s">
        <v>2495</v>
      </c>
      <c r="D52" s="3106"/>
      <c r="E52" s="3107">
        <v>1</v>
      </c>
      <c r="F52" s="3104" t="s">
        <v>2496</v>
      </c>
      <c r="G52" s="3104"/>
    </row>
    <row r="53" spans="1:7" ht="19.5" customHeight="1" thickBot="1">
      <c r="A53" s="3808"/>
      <c r="B53" s="3805"/>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804" t="s">
        <v>2650</v>
      </c>
      <c r="C75" s="3090" t="s">
        <v>2651</v>
      </c>
      <c r="D75" s="3090" t="s">
        <v>2652</v>
      </c>
      <c r="E75" s="3116">
        <v>0.2</v>
      </c>
      <c r="F75" s="3116">
        <v>25</v>
      </c>
    </row>
    <row r="76" spans="1:7" ht="24">
      <c r="A76" s="3116">
        <v>2</v>
      </c>
      <c r="B76" s="3803"/>
      <c r="C76" s="3090" t="s">
        <v>2653</v>
      </c>
      <c r="D76" s="3090" t="s">
        <v>2654</v>
      </c>
      <c r="E76" s="3116">
        <v>0.2</v>
      </c>
      <c r="F76" s="3116">
        <v>25</v>
      </c>
    </row>
    <row r="77" spans="1:7" ht="24">
      <c r="A77" s="3116">
        <v>3</v>
      </c>
      <c r="B77" s="3803"/>
      <c r="C77" s="3090" t="s">
        <v>2655</v>
      </c>
      <c r="D77" s="3090" t="s">
        <v>2656</v>
      </c>
      <c r="E77" s="3116">
        <v>0.2</v>
      </c>
      <c r="F77" s="3116">
        <v>25</v>
      </c>
    </row>
    <row r="78" spans="1:7" ht="13.5">
      <c r="A78" s="3116">
        <v>4</v>
      </c>
      <c r="B78" s="3803"/>
      <c r="C78" s="3090" t="s">
        <v>2657</v>
      </c>
      <c r="D78" s="3090" t="s">
        <v>2658</v>
      </c>
      <c r="E78" s="3116">
        <v>0.15</v>
      </c>
      <c r="F78" s="3116">
        <v>20</v>
      </c>
    </row>
    <row r="79" spans="1:7" ht="24">
      <c r="A79" s="3116">
        <v>5</v>
      </c>
      <c r="B79" s="3803"/>
      <c r="C79" s="3090" t="s">
        <v>2659</v>
      </c>
      <c r="D79" s="3090" t="s">
        <v>2660</v>
      </c>
      <c r="E79" s="3116">
        <v>0.15</v>
      </c>
      <c r="F79" s="3116">
        <v>20</v>
      </c>
    </row>
    <row r="80" spans="1:7" ht="24">
      <c r="A80" s="3116">
        <v>6</v>
      </c>
      <c r="B80" s="3803"/>
      <c r="C80" s="3090" t="s">
        <v>2661</v>
      </c>
      <c r="D80" s="3090" t="s">
        <v>2662</v>
      </c>
      <c r="E80" s="3116">
        <v>0.15</v>
      </c>
      <c r="F80" s="3116">
        <v>20</v>
      </c>
    </row>
    <row r="81" spans="1:6" ht="24">
      <c r="A81" s="3116">
        <v>7</v>
      </c>
      <c r="B81" s="3803"/>
      <c r="C81" s="3090" t="s">
        <v>2663</v>
      </c>
      <c r="D81" s="3090" t="s">
        <v>2664</v>
      </c>
      <c r="E81" s="3116">
        <v>0.15</v>
      </c>
      <c r="F81" s="3116">
        <v>20</v>
      </c>
    </row>
    <row r="82" spans="1:6" ht="24">
      <c r="A82" s="3116">
        <v>8</v>
      </c>
      <c r="B82" s="3803"/>
      <c r="C82" s="3090" t="s">
        <v>2665</v>
      </c>
      <c r="D82" s="3090" t="s">
        <v>2666</v>
      </c>
      <c r="E82" s="3116">
        <v>0.1</v>
      </c>
      <c r="F82" s="3116">
        <v>15</v>
      </c>
    </row>
    <row r="83" spans="1:6" ht="24">
      <c r="A83" s="3116">
        <v>9</v>
      </c>
      <c r="B83" s="3803"/>
      <c r="C83" s="3090" t="s">
        <v>2667</v>
      </c>
      <c r="D83" s="3090" t="s">
        <v>2668</v>
      </c>
      <c r="E83" s="3116">
        <v>0.1</v>
      </c>
      <c r="F83" s="3116">
        <v>15</v>
      </c>
    </row>
    <row r="84" spans="1:6" ht="24">
      <c r="A84" s="3116">
        <v>10</v>
      </c>
      <c r="B84" s="3803"/>
      <c r="C84" s="3090" t="s">
        <v>2669</v>
      </c>
      <c r="D84" s="3090" t="s">
        <v>2670</v>
      </c>
      <c r="E84" s="3116">
        <v>0.1</v>
      </c>
      <c r="F84" s="3116">
        <v>15</v>
      </c>
    </row>
    <row r="85" spans="1:6" ht="24">
      <c r="A85" s="3116">
        <v>11</v>
      </c>
      <c r="B85" s="3803"/>
      <c r="C85" s="3090" t="s">
        <v>2671</v>
      </c>
      <c r="D85" s="3090" t="s">
        <v>2672</v>
      </c>
      <c r="E85" s="3116">
        <v>0.1</v>
      </c>
      <c r="F85" s="3116">
        <v>15</v>
      </c>
    </row>
    <row r="86" spans="1:6" ht="24">
      <c r="A86" s="3116">
        <v>12</v>
      </c>
      <c r="B86" s="3803"/>
      <c r="C86" s="3090" t="s">
        <v>2673</v>
      </c>
      <c r="D86" s="3090" t="s">
        <v>2674</v>
      </c>
      <c r="E86" s="3116">
        <v>0.1</v>
      </c>
      <c r="F86" s="3116">
        <v>15</v>
      </c>
    </row>
    <row r="87" spans="1:6" ht="13.5">
      <c r="A87" s="3116">
        <v>13</v>
      </c>
      <c r="B87" s="3803"/>
      <c r="C87" s="3090" t="s">
        <v>2675</v>
      </c>
      <c r="D87" s="3090" t="s">
        <v>2676</v>
      </c>
      <c r="E87" s="3116">
        <v>0.1</v>
      </c>
      <c r="F87" s="3116">
        <v>15</v>
      </c>
    </row>
    <row r="88" spans="1:6" ht="13.5">
      <c r="A88" s="3116">
        <v>14</v>
      </c>
      <c r="B88" s="3803"/>
      <c r="C88" s="3090" t="s">
        <v>2677</v>
      </c>
      <c r="D88" s="3090" t="s">
        <v>2678</v>
      </c>
      <c r="E88" s="3116">
        <v>0.1</v>
      </c>
      <c r="F88" s="3116">
        <v>15</v>
      </c>
    </row>
    <row r="89" spans="1:6" ht="13.5">
      <c r="A89" s="3116">
        <v>15</v>
      </c>
      <c r="B89" s="3803"/>
      <c r="C89" s="3090" t="s">
        <v>2679</v>
      </c>
      <c r="D89" s="3090" t="s">
        <v>2680</v>
      </c>
      <c r="E89" s="3116">
        <v>0.1</v>
      </c>
      <c r="F89" s="3116">
        <v>15</v>
      </c>
    </row>
    <row r="90" spans="1:6" ht="24">
      <c r="A90" s="3116">
        <v>16</v>
      </c>
      <c r="B90" s="3803"/>
      <c r="C90" s="3090" t="s">
        <v>2681</v>
      </c>
      <c r="D90" s="3090" t="s">
        <v>2682</v>
      </c>
      <c r="E90" s="3116">
        <v>0.1</v>
      </c>
      <c r="F90" s="3116">
        <v>15</v>
      </c>
    </row>
    <row r="91" spans="1:6" ht="24">
      <c r="A91" s="3116">
        <v>17</v>
      </c>
      <c r="B91" s="3809"/>
      <c r="C91" s="3090" t="s">
        <v>2683</v>
      </c>
      <c r="D91" s="3090" t="s">
        <v>2684</v>
      </c>
      <c r="E91" s="3116">
        <v>0.1</v>
      </c>
      <c r="F91" s="3116">
        <v>15</v>
      </c>
    </row>
    <row r="92" spans="1:6" ht="13.5">
      <c r="A92" s="3116">
        <v>18</v>
      </c>
      <c r="B92" s="3804" t="s">
        <v>2685</v>
      </c>
      <c r="C92" s="3090" t="s">
        <v>2686</v>
      </c>
      <c r="D92" s="3090" t="s">
        <v>2687</v>
      </c>
      <c r="E92" s="3116">
        <v>0.2</v>
      </c>
      <c r="F92" s="3116">
        <v>25</v>
      </c>
    </row>
    <row r="93" spans="1:6" ht="24">
      <c r="A93" s="3116">
        <v>19</v>
      </c>
      <c r="B93" s="3803"/>
      <c r="C93" s="3090" t="s">
        <v>2688</v>
      </c>
      <c r="D93" s="3090" t="s">
        <v>2689</v>
      </c>
      <c r="E93" s="3116">
        <v>0.2</v>
      </c>
      <c r="F93" s="3116">
        <v>25</v>
      </c>
    </row>
    <row r="94" spans="1:6" ht="13.5">
      <c r="A94" s="3116">
        <v>20</v>
      </c>
      <c r="B94" s="3803"/>
      <c r="C94" s="3090" t="s">
        <v>2690</v>
      </c>
      <c r="D94" s="3090" t="s">
        <v>2691</v>
      </c>
      <c r="E94" s="3116">
        <v>0.15</v>
      </c>
      <c r="F94" s="3116">
        <v>20</v>
      </c>
    </row>
    <row r="95" spans="1:6" ht="13.5">
      <c r="A95" s="3116">
        <v>21</v>
      </c>
      <c r="B95" s="3803"/>
      <c r="C95" s="3090" t="s">
        <v>2692</v>
      </c>
      <c r="D95" s="3090" t="s">
        <v>2693</v>
      </c>
      <c r="E95" s="3116">
        <v>0.15</v>
      </c>
      <c r="F95" s="3116">
        <v>20</v>
      </c>
    </row>
    <row r="96" spans="1:6" ht="13.5">
      <c r="A96" s="3116">
        <v>22</v>
      </c>
      <c r="B96" s="3803"/>
      <c r="C96" s="3090" t="s">
        <v>2694</v>
      </c>
      <c r="D96" s="3090" t="s">
        <v>2695</v>
      </c>
      <c r="E96" s="3116">
        <v>0.15</v>
      </c>
      <c r="F96" s="3116">
        <v>20</v>
      </c>
    </row>
    <row r="97" spans="1:6" ht="36">
      <c r="A97" s="3116">
        <v>23</v>
      </c>
      <c r="B97" s="3803"/>
      <c r="C97" s="3090" t="s">
        <v>2696</v>
      </c>
      <c r="D97" s="3090" t="s">
        <v>2697</v>
      </c>
      <c r="E97" s="3116">
        <v>0.15</v>
      </c>
      <c r="F97" s="3116">
        <v>20</v>
      </c>
    </row>
    <row r="98" spans="1:6" ht="13.5">
      <c r="A98" s="3116">
        <v>24</v>
      </c>
      <c r="B98" s="3803"/>
      <c r="C98" s="3090" t="s">
        <v>2698</v>
      </c>
      <c r="D98" s="3090" t="s">
        <v>2699</v>
      </c>
      <c r="E98" s="3116">
        <v>0.1</v>
      </c>
      <c r="F98" s="3116">
        <v>15</v>
      </c>
    </row>
    <row r="99" spans="1:6" ht="13.5">
      <c r="A99" s="3116">
        <v>25</v>
      </c>
      <c r="B99" s="3803"/>
      <c r="C99" s="3090" t="s">
        <v>2700</v>
      </c>
      <c r="D99" s="3090" t="s">
        <v>2701</v>
      </c>
      <c r="E99" s="3116">
        <v>0.1</v>
      </c>
      <c r="F99" s="3116">
        <v>15</v>
      </c>
    </row>
    <row r="100" spans="1:6" ht="24">
      <c r="A100" s="3116">
        <v>26</v>
      </c>
      <c r="B100" s="3803"/>
      <c r="C100" s="3090" t="s">
        <v>2702</v>
      </c>
      <c r="D100" s="3090" t="s">
        <v>2703</v>
      </c>
      <c r="E100" s="3116">
        <v>0.1</v>
      </c>
      <c r="F100" s="3116">
        <v>15</v>
      </c>
    </row>
    <row r="101" spans="1:6" ht="24">
      <c r="A101" s="3116">
        <v>27</v>
      </c>
      <c r="B101" s="3803"/>
      <c r="C101" s="3090" t="s">
        <v>2704</v>
      </c>
      <c r="D101" s="3090" t="s">
        <v>2705</v>
      </c>
      <c r="E101" s="3116">
        <v>0.1</v>
      </c>
      <c r="F101" s="3116">
        <v>15</v>
      </c>
    </row>
    <row r="102" spans="1:6" ht="13.5">
      <c r="A102" s="3116">
        <v>28</v>
      </c>
      <c r="B102" s="3803"/>
      <c r="C102" s="3090" t="s">
        <v>2706</v>
      </c>
      <c r="D102" s="3090" t="s">
        <v>2707</v>
      </c>
      <c r="E102" s="3116">
        <v>0.1</v>
      </c>
      <c r="F102" s="3116">
        <v>15</v>
      </c>
    </row>
    <row r="103" spans="1:6" ht="13.5">
      <c r="A103" s="3116">
        <v>29</v>
      </c>
      <c r="B103" s="3803"/>
      <c r="C103" s="3090" t="s">
        <v>2708</v>
      </c>
      <c r="D103" s="3090" t="s">
        <v>2709</v>
      </c>
      <c r="E103" s="3116">
        <v>0.1</v>
      </c>
      <c r="F103" s="3116">
        <v>15</v>
      </c>
    </row>
    <row r="104" spans="1:6" ht="13.5">
      <c r="A104" s="3116">
        <v>30</v>
      </c>
      <c r="B104" s="3803"/>
      <c r="C104" s="3090" t="s">
        <v>2710</v>
      </c>
      <c r="D104" s="3090" t="s">
        <v>2711</v>
      </c>
      <c r="E104" s="3116">
        <v>0.1</v>
      </c>
      <c r="F104" s="3116">
        <v>15</v>
      </c>
    </row>
    <row r="105" spans="1:6" ht="24">
      <c r="A105" s="3116">
        <v>31</v>
      </c>
      <c r="B105" s="3803"/>
      <c r="C105" s="3090" t="s">
        <v>2712</v>
      </c>
      <c r="D105" s="3090" t="s">
        <v>2713</v>
      </c>
      <c r="E105" s="3116">
        <v>0.1</v>
      </c>
      <c r="F105" s="3116">
        <v>15</v>
      </c>
    </row>
    <row r="106" spans="1:6" ht="24">
      <c r="A106" s="3116">
        <v>32</v>
      </c>
      <c r="B106" s="3803"/>
      <c r="C106" s="3090" t="s">
        <v>2714</v>
      </c>
      <c r="D106" s="3090" t="s">
        <v>2715</v>
      </c>
      <c r="E106" s="3116">
        <v>0.1</v>
      </c>
      <c r="F106" s="3116">
        <v>15</v>
      </c>
    </row>
    <row r="107" spans="1:6" ht="24">
      <c r="A107" s="3116">
        <v>33</v>
      </c>
      <c r="B107" s="3803"/>
      <c r="C107" s="3090" t="s">
        <v>2716</v>
      </c>
      <c r="D107" s="3090" t="s">
        <v>2717</v>
      </c>
      <c r="E107" s="3116">
        <v>0.1</v>
      </c>
      <c r="F107" s="3116">
        <v>15</v>
      </c>
    </row>
    <row r="108" spans="1:6" ht="24">
      <c r="A108" s="3116">
        <v>34</v>
      </c>
      <c r="B108" s="3809"/>
      <c r="C108" s="3090" t="s">
        <v>2718</v>
      </c>
      <c r="D108" s="3090" t="s">
        <v>2719</v>
      </c>
      <c r="E108" s="3116">
        <v>0.1</v>
      </c>
      <c r="F108" s="3116">
        <v>15</v>
      </c>
    </row>
    <row r="109" spans="1:6" ht="24">
      <c r="A109" s="3116">
        <v>35</v>
      </c>
      <c r="B109" s="3804" t="s">
        <v>2720</v>
      </c>
      <c r="C109" s="3116" t="s">
        <v>2721</v>
      </c>
      <c r="D109" s="3090" t="s">
        <v>2722</v>
      </c>
      <c r="E109" s="3116">
        <v>0.15</v>
      </c>
      <c r="F109" s="3116">
        <v>20</v>
      </c>
    </row>
    <row r="110" spans="1:6" ht="13.5">
      <c r="A110" s="3116">
        <v>36</v>
      </c>
      <c r="B110" s="3803"/>
      <c r="C110" s="3116" t="s">
        <v>2723</v>
      </c>
      <c r="D110" s="3090" t="s">
        <v>2724</v>
      </c>
      <c r="E110" s="3116">
        <v>0.15</v>
      </c>
      <c r="F110" s="3116">
        <v>20</v>
      </c>
    </row>
    <row r="111" spans="1:6" ht="13.5">
      <c r="A111" s="3116">
        <v>37</v>
      </c>
      <c r="B111" s="3803"/>
      <c r="C111" s="3116" t="s">
        <v>2725</v>
      </c>
      <c r="D111" s="3090" t="s">
        <v>2726</v>
      </c>
      <c r="E111" s="3116">
        <v>0.15</v>
      </c>
      <c r="F111" s="3116">
        <v>20</v>
      </c>
    </row>
    <row r="112" spans="1:6" ht="13.5">
      <c r="A112" s="3116">
        <v>38</v>
      </c>
      <c r="B112" s="3803"/>
      <c r="C112" s="3116" t="s">
        <v>2727</v>
      </c>
      <c r="D112" s="3090" t="s">
        <v>2728</v>
      </c>
      <c r="E112" s="3116">
        <v>0.1</v>
      </c>
      <c r="F112" s="3116">
        <v>15</v>
      </c>
    </row>
    <row r="113" spans="1:6" ht="24">
      <c r="A113" s="3116">
        <v>39</v>
      </c>
      <c r="B113" s="3803"/>
      <c r="C113" s="3116" t="s">
        <v>2729</v>
      </c>
      <c r="D113" s="3090" t="s">
        <v>2730</v>
      </c>
      <c r="E113" s="3116">
        <v>0.1</v>
      </c>
      <c r="F113" s="3116">
        <v>15</v>
      </c>
    </row>
    <row r="114" spans="1:6" ht="24">
      <c r="A114" s="3116">
        <v>40</v>
      </c>
      <c r="B114" s="3809"/>
      <c r="C114" s="3116" t="s">
        <v>2731</v>
      </c>
      <c r="D114" s="3090" t="s">
        <v>2732</v>
      </c>
      <c r="E114" s="3116">
        <v>0.1</v>
      </c>
      <c r="F114" s="3116">
        <v>15</v>
      </c>
    </row>
    <row r="115" spans="1:6" ht="13.5">
      <c r="A115" s="3116">
        <v>41</v>
      </c>
      <c r="B115" s="3797" t="s">
        <v>2733</v>
      </c>
      <c r="C115" s="3116" t="s">
        <v>2734</v>
      </c>
      <c r="D115" s="3090" t="s">
        <v>2735</v>
      </c>
      <c r="E115" s="3116">
        <v>0.1</v>
      </c>
      <c r="F115" s="3116">
        <v>15</v>
      </c>
    </row>
    <row r="116" spans="1:6" ht="13.5">
      <c r="A116" s="3116">
        <v>42</v>
      </c>
      <c r="B116" s="3797"/>
      <c r="C116" s="3116" t="s">
        <v>2736</v>
      </c>
      <c r="D116" s="3090" t="s">
        <v>2737</v>
      </c>
      <c r="E116" s="3116">
        <v>0.1</v>
      </c>
      <c r="F116" s="3116">
        <v>15</v>
      </c>
    </row>
    <row r="117" spans="1:6" ht="24">
      <c r="A117" s="3116">
        <v>43</v>
      </c>
      <c r="B117" s="3797"/>
      <c r="C117" s="3116" t="s">
        <v>2738</v>
      </c>
      <c r="D117" s="3090" t="s">
        <v>2739</v>
      </c>
      <c r="E117" s="3116">
        <v>0.1</v>
      </c>
      <c r="F117" s="3116">
        <v>15</v>
      </c>
    </row>
    <row r="118" spans="1:6" ht="13.5">
      <c r="A118" s="3116">
        <v>44</v>
      </c>
      <c r="B118" s="3804" t="s">
        <v>2740</v>
      </c>
      <c r="C118" s="3116" t="s">
        <v>2741</v>
      </c>
      <c r="D118" s="3090" t="s">
        <v>2742</v>
      </c>
      <c r="E118" s="3116">
        <v>0.1</v>
      </c>
      <c r="F118" s="3116">
        <v>15</v>
      </c>
    </row>
    <row r="119" spans="1:6" ht="24">
      <c r="A119" s="3116">
        <v>45</v>
      </c>
      <c r="B119" s="3809"/>
      <c r="C119" s="3090" t="s">
        <v>2743</v>
      </c>
      <c r="D119" s="3090" t="s">
        <v>2744</v>
      </c>
      <c r="E119" s="3116">
        <v>0.1</v>
      </c>
      <c r="F119" s="3116">
        <v>15</v>
      </c>
    </row>
    <row r="120" spans="1:6" ht="24">
      <c r="A120" s="3116">
        <v>46</v>
      </c>
      <c r="B120" s="3804" t="s">
        <v>2745</v>
      </c>
      <c r="C120" s="3116" t="s">
        <v>2746</v>
      </c>
      <c r="D120" s="3090" t="s">
        <v>2747</v>
      </c>
      <c r="E120" s="3116">
        <v>0.1</v>
      </c>
      <c r="F120" s="3116">
        <v>15</v>
      </c>
    </row>
    <row r="121" spans="1:6" ht="24">
      <c r="A121" s="3116">
        <v>47</v>
      </c>
      <c r="B121" s="3809"/>
      <c r="C121" s="3116" t="s">
        <v>2748</v>
      </c>
      <c r="D121" s="3090" t="s">
        <v>2749</v>
      </c>
      <c r="E121" s="3116">
        <v>0.1</v>
      </c>
      <c r="F121" s="3116">
        <v>15</v>
      </c>
    </row>
    <row r="122" spans="1:6" ht="13.5">
      <c r="A122" s="3116">
        <v>48</v>
      </c>
      <c r="B122" s="3804" t="s">
        <v>2750</v>
      </c>
      <c r="C122" s="3116" t="s">
        <v>2751</v>
      </c>
      <c r="D122" s="3090" t="s">
        <v>2752</v>
      </c>
      <c r="E122" s="3116">
        <v>0.1</v>
      </c>
      <c r="F122" s="3116">
        <v>15</v>
      </c>
    </row>
    <row r="123" spans="1:6" ht="13.5">
      <c r="A123" s="3116">
        <v>49</v>
      </c>
      <c r="B123" s="3809"/>
      <c r="C123" s="3116" t="s">
        <v>2753</v>
      </c>
      <c r="D123" s="3090" t="s">
        <v>2754</v>
      </c>
      <c r="E123" s="3116">
        <v>0.1</v>
      </c>
      <c r="F123" s="3116">
        <v>15</v>
      </c>
    </row>
    <row r="124" spans="1:6" ht="24">
      <c r="A124" s="3116">
        <v>50</v>
      </c>
      <c r="B124" s="3797" t="s">
        <v>2755</v>
      </c>
      <c r="C124" s="3116" t="s">
        <v>2756</v>
      </c>
      <c r="D124" s="3090" t="s">
        <v>2757</v>
      </c>
      <c r="E124" s="3116">
        <v>0.1</v>
      </c>
      <c r="F124" s="3116">
        <v>15</v>
      </c>
    </row>
    <row r="125" spans="1:6" ht="24">
      <c r="A125" s="3116">
        <v>51</v>
      </c>
      <c r="B125" s="3797"/>
      <c r="C125" s="3116" t="s">
        <v>2758</v>
      </c>
      <c r="D125" s="3090" t="s">
        <v>2759</v>
      </c>
      <c r="E125" s="3116">
        <v>0.1</v>
      </c>
      <c r="F125" s="3116">
        <v>15</v>
      </c>
    </row>
    <row r="126" spans="1:6" ht="24">
      <c r="A126" s="3116">
        <v>52</v>
      </c>
      <c r="B126" s="3797" t="s">
        <v>2760</v>
      </c>
      <c r="C126" s="3116" t="s">
        <v>2761</v>
      </c>
      <c r="D126" s="3090" t="s">
        <v>2762</v>
      </c>
      <c r="E126" s="3116">
        <v>0.1</v>
      </c>
      <c r="F126" s="3116">
        <v>15</v>
      </c>
    </row>
    <row r="127" spans="1:6" ht="24">
      <c r="A127" s="3116">
        <v>53</v>
      </c>
      <c r="B127" s="3797"/>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7" t="s">
        <v>2768</v>
      </c>
      <c r="C129" s="3116" t="s">
        <v>2769</v>
      </c>
      <c r="D129" s="3090" t="s">
        <v>2770</v>
      </c>
      <c r="E129" s="3116">
        <v>0.1</v>
      </c>
      <c r="F129" s="3116">
        <v>15</v>
      </c>
    </row>
    <row r="130" spans="1:6" ht="13.5">
      <c r="A130" s="3116">
        <v>56</v>
      </c>
      <c r="B130" s="3797"/>
      <c r="C130" s="3116" t="s">
        <v>2771</v>
      </c>
      <c r="D130" s="3090" t="s">
        <v>2772</v>
      </c>
      <c r="E130" s="3116">
        <v>0.1</v>
      </c>
      <c r="F130" s="3116">
        <v>15</v>
      </c>
    </row>
    <row r="131" spans="1:6" ht="24">
      <c r="A131" s="3116">
        <v>57</v>
      </c>
      <c r="B131" s="3797"/>
      <c r="C131" s="3116" t="s">
        <v>2773</v>
      </c>
      <c r="D131" s="3090" t="s">
        <v>2774</v>
      </c>
      <c r="E131" s="3116">
        <v>0.1</v>
      </c>
      <c r="F131" s="3116">
        <v>15</v>
      </c>
    </row>
    <row r="132" spans="1:6" ht="24">
      <c r="A132" s="3116">
        <v>58</v>
      </c>
      <c r="B132" s="3797" t="s">
        <v>2775</v>
      </c>
      <c r="C132" s="3116" t="s">
        <v>2776</v>
      </c>
      <c r="D132" s="3090" t="s">
        <v>2777</v>
      </c>
      <c r="E132" s="3116">
        <v>0.1</v>
      </c>
      <c r="F132" s="3116">
        <v>15</v>
      </c>
    </row>
    <row r="133" spans="1:6" ht="13.5">
      <c r="A133" s="3116">
        <v>59</v>
      </c>
      <c r="B133" s="3797"/>
      <c r="C133" s="3116" t="s">
        <v>2778</v>
      </c>
      <c r="D133" s="3090" t="s">
        <v>2779</v>
      </c>
      <c r="E133" s="3116">
        <v>0.1</v>
      </c>
      <c r="F133" s="3116">
        <v>15</v>
      </c>
    </row>
    <row r="134" spans="1:6" ht="13.5">
      <c r="A134" s="3116">
        <v>60</v>
      </c>
      <c r="B134" s="3804" t="s">
        <v>2780</v>
      </c>
      <c r="C134" s="3116" t="s">
        <v>2781</v>
      </c>
      <c r="D134" s="3090" t="s">
        <v>2782</v>
      </c>
      <c r="E134" s="3116">
        <v>0.1</v>
      </c>
      <c r="F134" s="3116">
        <v>15</v>
      </c>
    </row>
    <row r="135" spans="1:6" ht="13.5">
      <c r="A135" s="3116">
        <v>61</v>
      </c>
      <c r="B135" s="3809"/>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7" t="s">
        <v>2788</v>
      </c>
      <c r="C137" s="3116" t="s">
        <v>2789</v>
      </c>
      <c r="D137" s="3090" t="s">
        <v>2790</v>
      </c>
      <c r="E137" s="3116">
        <v>0.1</v>
      </c>
      <c r="F137" s="3116">
        <v>15</v>
      </c>
    </row>
    <row r="138" spans="1:6" ht="13.5">
      <c r="A138" s="3116">
        <v>64</v>
      </c>
      <c r="B138" s="3797"/>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27903</v>
      </c>
      <c r="C2" s="2" t="s">
        <v>106</v>
      </c>
      <c r="D2" s="199"/>
      <c r="E2" s="199"/>
      <c r="F2" s="199"/>
      <c r="G2" s="199"/>
    </row>
    <row r="3" spans="1:7" s="200" customFormat="1" ht="18" customHeight="1" thickBot="1">
      <c r="A3" s="203" t="s">
        <v>58</v>
      </c>
      <c r="B3" s="204">
        <f ca="1">ROUND(B2*10000/'数据-汇总表'!E3,0)</f>
        <v>3111396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89.68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89.68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89.68</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69" t="s">
        <v>94</v>
      </c>
    </row>
    <row r="43" spans="1:7" ht="13.5" customHeight="1">
      <c r="A43" s="779" t="s">
        <v>347</v>
      </c>
      <c r="B43" s="215" t="s">
        <v>426</v>
      </c>
      <c r="C43" s="238">
        <f ca="1">ROUND(IF('数据-取费表'!B22&lt;=1,C39*F22*'数据-取费表'!B21/2,C39*(POWER((1+F22),'数据-取费表'!B21/2)-1)),0)</f>
        <v>0</v>
      </c>
      <c r="D43" s="238"/>
      <c r="E43" s="238"/>
      <c r="F43" s="239"/>
      <c r="G43" s="3670"/>
    </row>
    <row r="44" spans="1:7" ht="13.5" customHeight="1">
      <c r="A44" s="779" t="s">
        <v>348</v>
      </c>
      <c r="B44" s="215" t="s">
        <v>428</v>
      </c>
      <c r="C44" s="238">
        <f ca="1">ROUND(IF('数据-取费表'!B22&lt;=1,C40*F22*'数据-取费表'!B21/2,C40*(POWER((1+F22),'数据-取费表'!B21/2)-1)),4)</f>
        <v>5.9999999999999995E-4</v>
      </c>
      <c r="D44" s="238"/>
      <c r="E44" s="238"/>
      <c r="F44" s="239"/>
      <c r="G44" s="3671"/>
    </row>
    <row r="45" spans="1:7" s="214" customFormat="1" ht="13.5" customHeight="1">
      <c r="A45" s="776" t="s">
        <v>341</v>
      </c>
      <c r="B45" s="244" t="s">
        <v>85</v>
      </c>
      <c r="C45" s="245">
        <f>C46</f>
        <v>6</v>
      </c>
      <c r="D45" s="235">
        <f>C47</f>
        <v>3.0000000000000001E-3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53</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42</v>
      </c>
      <c r="D51" s="232"/>
      <c r="E51" s="232"/>
      <c r="F51" s="264"/>
      <c r="G51" s="234" t="s">
        <v>37</v>
      </c>
    </row>
    <row r="52" spans="1:7" s="208" customFormat="1" ht="16.5" thickBot="1">
      <c r="A52" s="265" t="s">
        <v>38</v>
      </c>
      <c r="B52" s="266"/>
      <c r="C52" s="267">
        <f ca="1">C31+C51</f>
        <v>27903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v>
      </c>
      <c r="B3" s="3492"/>
      <c r="C3" s="3492"/>
      <c r="D3" s="3492"/>
      <c r="E3" s="3492"/>
    </row>
    <row r="4" spans="1:5" ht="19.5" thickBot="1">
      <c r="A4" s="1492"/>
      <c r="B4" s="3490" t="s">
        <v>917</v>
      </c>
      <c r="C4" s="3490"/>
      <c r="D4" s="3490"/>
      <c r="E4" s="1492"/>
    </row>
    <row r="5" spans="1:5" ht="16.5" thickTop="1">
      <c r="A5" s="1490"/>
      <c r="B5" s="3488" t="s">
        <v>909</v>
      </c>
      <c r="C5" s="1493" t="s">
        <v>910</v>
      </c>
      <c r="D5" s="849">
        <f ca="1">结果表!H101</f>
        <v>114</v>
      </c>
      <c r="E5" s="1490"/>
    </row>
    <row r="6" spans="1:5" ht="15.75">
      <c r="A6" s="1490"/>
      <c r="B6" s="3488"/>
      <c r="C6" s="1493" t="s">
        <v>911</v>
      </c>
      <c r="D6" s="849" t="str">
        <f ca="1">NUMBERSTRING(INT(D5*10000),2)&amp;"元整"</f>
        <v>壹佰壹拾肆万元整</v>
      </c>
      <c r="E6" s="1490"/>
    </row>
    <row r="7" spans="1:5" ht="15.75">
      <c r="A7" s="1490"/>
      <c r="B7" s="3493"/>
      <c r="C7" s="1494" t="s">
        <v>912</v>
      </c>
      <c r="D7" s="850">
        <f ca="1">结果表!H102</f>
        <v>12703</v>
      </c>
      <c r="E7" s="1490"/>
    </row>
    <row r="8" spans="1:5" ht="15.75">
      <c r="A8" s="1490"/>
      <c r="B8" s="3494" t="str">
        <f>结果表!E103</f>
        <v>2.估价师知悉的法定优先受偿款</v>
      </c>
      <c r="C8" s="1495" t="s">
        <v>913</v>
      </c>
      <c r="D8" s="850">
        <f>结果表!H103</f>
        <v>0</v>
      </c>
      <c r="E8" s="1490"/>
    </row>
    <row r="9" spans="1:5" ht="15.75">
      <c r="A9" s="1490"/>
      <c r="B9" s="349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7" t="str">
        <f>结果表!E107</f>
        <v>3.房地产抵押价值</v>
      </c>
      <c r="C13" s="1498" t="s">
        <v>910</v>
      </c>
      <c r="D13" s="852">
        <f ca="1">结果表!H107</f>
        <v>114</v>
      </c>
      <c r="E13" s="1490"/>
    </row>
    <row r="14" spans="1:5" ht="15.75">
      <c r="A14" s="1490"/>
      <c r="B14" s="3488"/>
      <c r="C14" s="1493" t="s">
        <v>911</v>
      </c>
      <c r="D14" s="849" t="str">
        <f ca="1">NUMBERSTRING(INT(D13*10000),2)&amp;"元整"</f>
        <v>壹佰壹拾肆万元整</v>
      </c>
      <c r="E14" s="1490"/>
    </row>
    <row r="15" spans="1:5" ht="15">
      <c r="A15" s="1490"/>
      <c r="B15" s="3493"/>
      <c r="C15" s="1494" t="s">
        <v>921</v>
      </c>
      <c r="D15" s="858">
        <f ca="1">结果表!H108</f>
        <v>12703</v>
      </c>
      <c r="E15" s="1490"/>
    </row>
    <row r="16" spans="1:5" ht="15">
      <c r="A16" s="1490"/>
      <c r="B16" s="3494" t="str">
        <f>结果表!E109</f>
        <v>——</v>
      </c>
      <c r="C16" s="1498" t="s">
        <v>922</v>
      </c>
      <c r="D16" s="1499" t="str">
        <f>结果表!H109</f>
        <v>——</v>
      </c>
      <c r="E16" s="1490"/>
    </row>
    <row r="17" spans="1:5" ht="15.75">
      <c r="A17" s="1490"/>
      <c r="B17" s="3495"/>
      <c r="C17" s="1493" t="s">
        <v>923</v>
      </c>
      <c r="D17" s="849" t="e">
        <f>NUMBERSTRING(INT(D16*10000),2)&amp;"元整"</f>
        <v>#VALUE!</v>
      </c>
      <c r="E17" s="1490"/>
    </row>
    <row r="18" spans="1:5" ht="15">
      <c r="A18" s="1490"/>
      <c r="B18" s="3496"/>
      <c r="C18" s="1494" t="s">
        <v>912</v>
      </c>
      <c r="D18" s="858" t="str">
        <f>结果表!H110</f>
        <v>——</v>
      </c>
      <c r="E18" s="1490"/>
    </row>
    <row r="19" spans="1:5" ht="15.75">
      <c r="A19" s="1490"/>
      <c r="B19" s="3487" t="str">
        <f>结果表!E111</f>
        <v>——</v>
      </c>
      <c r="C19" s="1498" t="s">
        <v>910</v>
      </c>
      <c r="D19" s="850" t="str">
        <f>结果表!H111</f>
        <v>——</v>
      </c>
      <c r="E19" s="1490"/>
    </row>
    <row r="20" spans="1:5" ht="15.75">
      <c r="A20" s="1490"/>
      <c r="B20" s="3488"/>
      <c r="C20" s="1493" t="s">
        <v>923</v>
      </c>
      <c r="D20" s="849" t="e">
        <f>NUMBERSTRING(INT(D19*10000),2)&amp;"元整"</f>
        <v>#VALUE!</v>
      </c>
      <c r="E20" s="1490"/>
    </row>
    <row r="21" spans="1:5" ht="15.75" thickBot="1">
      <c r="A21" s="1490"/>
      <c r="B21" s="348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3180</v>
      </c>
      <c r="B1" s="3810"/>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1" t="s">
        <v>3231</v>
      </c>
      <c r="B1" s="3811"/>
      <c r="C1" s="3811"/>
      <c r="D1" s="3811"/>
      <c r="E1" s="3811"/>
      <c r="F1" s="3812"/>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45958</v>
      </c>
      <c r="B1" s="3208" t="s">
        <v>3375</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3" t="s">
        <v>2826</v>
      </c>
      <c r="S29" s="3814"/>
      <c r="T29" s="3814"/>
      <c r="U29" s="3814"/>
      <c r="V29" s="3814"/>
      <c r="W29" s="3814"/>
      <c r="X29" s="3163"/>
      <c r="Y29" s="3813" t="s">
        <v>2827</v>
      </c>
      <c r="Z29" s="3814"/>
      <c r="AA29" s="3814"/>
      <c r="AB29" s="3814"/>
      <c r="AC29" s="3814"/>
      <c r="AD29" s="3814"/>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8" t="s">
        <v>2838</v>
      </c>
      <c r="B1" s="3828"/>
      <c r="C1" s="3828"/>
      <c r="D1" s="3828"/>
      <c r="E1" s="3828"/>
      <c r="F1" s="3828"/>
      <c r="G1" s="3829"/>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6"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7"/>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45958</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9"/>
      <c r="B3" s="3499"/>
      <c r="C3" s="3499"/>
      <c r="D3" s="853" t="s">
        <v>925</v>
      </c>
      <c r="E3" s="853" t="s">
        <v>931</v>
      </c>
      <c r="F3" s="853" t="s">
        <v>925</v>
      </c>
      <c r="G3" s="853" t="s">
        <v>926</v>
      </c>
      <c r="H3" s="853" t="s">
        <v>925</v>
      </c>
      <c r="I3" s="853" t="s">
        <v>926</v>
      </c>
    </row>
    <row r="4" spans="1:9" ht="30">
      <c r="A4" s="1504" t="str">
        <f>项目基本情况!S2</f>
        <v>北京市通州区兴贸三街19号院1号楼4层507办公用房房地产</v>
      </c>
      <c r="B4" s="853">
        <f>项目基本情况!C17</f>
        <v>89.68</v>
      </c>
      <c r="C4" s="853">
        <f>项目基本情况!C18</f>
        <v>0</v>
      </c>
      <c r="D4" s="853">
        <f ca="1">结果表!D118</f>
        <v>53</v>
      </c>
      <c r="E4" s="853">
        <f ca="1">结果表!E118</f>
        <v>5881</v>
      </c>
      <c r="F4" s="853">
        <f ca="1">结果表!F118</f>
        <v>61</v>
      </c>
      <c r="G4" s="853">
        <f ca="1">结果表!G118</f>
        <v>6822</v>
      </c>
      <c r="H4" s="853">
        <f ca="1">结果表!H118</f>
        <v>114</v>
      </c>
      <c r="I4" s="853">
        <f ca="1">结果表!I118</f>
        <v>12703</v>
      </c>
    </row>
    <row r="5" spans="1:9" ht="30" customHeight="1">
      <c r="A5" s="3499" t="s">
        <v>927</v>
      </c>
      <c r="B5" s="3499"/>
      <c r="C5" s="3499"/>
      <c r="D5" s="3499" t="str">
        <f ca="1">结果表!D119</f>
        <v>伍拾叁万元整</v>
      </c>
      <c r="E5" s="3499"/>
      <c r="F5" s="3499" t="str">
        <f ca="1">结果表!F119</f>
        <v>陆拾壹万元整</v>
      </c>
      <c r="G5" s="3499"/>
      <c r="H5" s="3499" t="str">
        <f ca="1">结果表!H119</f>
        <v>壹佰壹拾肆万元整</v>
      </c>
      <c r="I5" s="3499"/>
    </row>
    <row r="6" spans="1:9" ht="15.75">
      <c r="A6" s="3500" t="str">
        <f>结果表!A120</f>
        <v>估价师知悉的法定优先受偿款</v>
      </c>
      <c r="B6" s="3500"/>
      <c r="C6" s="3500"/>
      <c r="D6" s="3500">
        <f>结果表!D120</f>
        <v>0</v>
      </c>
      <c r="E6" s="3500"/>
      <c r="F6" s="3500"/>
      <c r="G6" s="3500"/>
      <c r="H6" s="3500"/>
      <c r="I6" s="3500"/>
    </row>
    <row r="7" spans="1:9" ht="15">
      <c r="A7" s="3499" t="s">
        <v>927</v>
      </c>
      <c r="B7" s="3499"/>
      <c r="C7" s="3499"/>
      <c r="D7" s="3501" t="str">
        <f>结果表!D121</f>
        <v>零元整</v>
      </c>
      <c r="E7" s="3502"/>
      <c r="F7" s="3502"/>
      <c r="G7" s="3502"/>
      <c r="H7" s="3502"/>
      <c r="I7" s="3503"/>
    </row>
    <row r="8" spans="1:9" ht="15.75">
      <c r="A8" s="3500" t="str">
        <f>结果表!A122</f>
        <v>房地产抵押价值</v>
      </c>
      <c r="B8" s="3500"/>
      <c r="C8" s="3500"/>
      <c r="D8" s="3500">
        <f ca="1">结果表!D122</f>
        <v>114</v>
      </c>
      <c r="E8" s="3500"/>
      <c r="F8" s="3500"/>
      <c r="G8" s="3500"/>
      <c r="H8" s="3500"/>
      <c r="I8" s="3500"/>
    </row>
    <row r="9" spans="1:9" ht="15">
      <c r="A9" s="3499" t="s">
        <v>927</v>
      </c>
      <c r="B9" s="3499"/>
      <c r="C9" s="3499"/>
      <c r="D9" s="3499" t="str">
        <f ca="1">结果表!D123</f>
        <v>壹佰壹拾肆万元整</v>
      </c>
      <c r="E9" s="3499"/>
      <c r="F9" s="3499"/>
      <c r="G9" s="3499"/>
      <c r="H9" s="3499"/>
      <c r="I9" s="3499"/>
    </row>
    <row r="10" spans="1:9" ht="15.75">
      <c r="A10" s="3500" t="str">
        <f>结果表!A124</f>
        <v/>
      </c>
      <c r="B10" s="3500"/>
      <c r="C10" s="3500"/>
      <c r="D10" s="3500" t="str">
        <f>结果表!D124</f>
        <v>——</v>
      </c>
      <c r="E10" s="3500"/>
      <c r="F10" s="3500"/>
      <c r="G10" s="3500"/>
      <c r="H10" s="3500"/>
      <c r="I10" s="3500"/>
    </row>
    <row r="11" spans="1:9" ht="15">
      <c r="A11" s="3499" t="s">
        <v>927</v>
      </c>
      <c r="B11" s="3499"/>
      <c r="C11" s="3499"/>
      <c r="D11" s="3499" t="e">
        <f>结果表!D125</f>
        <v>#VALUE!</v>
      </c>
      <c r="E11" s="3499"/>
      <c r="F11" s="3499"/>
      <c r="G11" s="3499"/>
      <c r="H11" s="3499"/>
      <c r="I11" s="3499"/>
    </row>
    <row r="12" spans="1:9" ht="15.75">
      <c r="A12" s="3500" t="str">
        <f>结果表!A126</f>
        <v/>
      </c>
      <c r="B12" s="3500"/>
      <c r="C12" s="3500"/>
      <c r="D12" s="3500" t="str">
        <f>结果表!D126</f>
        <v>——</v>
      </c>
      <c r="E12" s="3500"/>
      <c r="F12" s="3500"/>
      <c r="G12" s="3500"/>
      <c r="H12" s="3500"/>
      <c r="I12" s="3500"/>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6" t="s">
        <v>949</v>
      </c>
      <c r="B1" s="3506"/>
      <c r="C1" s="3506"/>
      <c r="D1" s="3506"/>
    </row>
    <row r="2" spans="1:4" ht="18">
      <c r="A2" s="3507" t="s">
        <v>933</v>
      </c>
      <c r="B2" s="3507"/>
      <c r="C2" s="3507"/>
      <c r="D2" s="350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7" t="s">
        <v>939</v>
      </c>
      <c r="B6" s="3507"/>
      <c r="C6" s="3507"/>
      <c r="D6" s="350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8"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9" t="str">
        <f>IF(项目基本情况!B8="抵押","4.本次评估估价师所知悉的法定优先受偿款情况说明如下：","——")</f>
        <v>4.本次评估估价师所知悉的法定优先受偿款情况说明如下：</v>
      </c>
      <c r="B14" s="3510"/>
      <c r="C14" s="3510"/>
      <c r="D14" s="3510"/>
    </row>
    <row r="15" spans="1:4" ht="42" customHeight="1">
      <c r="A15" s="35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2" t="s">
        <v>943</v>
      </c>
      <c r="B16" s="3512"/>
      <c r="C16" s="3512"/>
      <c r="D16" s="3512"/>
    </row>
    <row r="17" spans="1:4" ht="144" customHeight="1">
      <c r="A17" s="3512" t="s">
        <v>944</v>
      </c>
      <c r="B17" s="3512"/>
      <c r="C17" s="3512"/>
      <c r="D17" s="3512"/>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945</v>
      </c>
      <c r="B22" s="3514"/>
      <c r="C22" s="3514"/>
      <c r="D22" s="351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1">
        <v>42551</v>
      </c>
      <c r="D31" s="35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0" t="s">
        <v>956</v>
      </c>
      <c r="B15" s="3515" t="s">
        <v>109</v>
      </c>
      <c r="C15" s="3516"/>
    </row>
    <row r="16" spans="1:7" ht="13.5">
      <c r="A16" s="3521"/>
      <c r="B16" s="3515" t="s">
        <v>42</v>
      </c>
      <c r="C16" s="3516"/>
    </row>
    <row r="17" spans="1:3" ht="13.5">
      <c r="A17" s="3521"/>
      <c r="B17" s="3518" t="s">
        <v>957</v>
      </c>
      <c r="C17" s="1531" t="s">
        <v>956</v>
      </c>
    </row>
    <row r="18" spans="1:3" ht="13.5">
      <c r="A18" s="3521"/>
      <c r="B18" s="3518"/>
      <c r="C18" s="1531" t="s">
        <v>958</v>
      </c>
    </row>
    <row r="19" spans="1:3" ht="13.5">
      <c r="A19" s="3521"/>
      <c r="B19" s="3518"/>
      <c r="C19" s="1531" t="s">
        <v>959</v>
      </c>
    </row>
    <row r="20" spans="1:3" ht="13.5">
      <c r="A20" s="3522"/>
      <c r="B20" s="3517" t="s">
        <v>960</v>
      </c>
      <c r="C20" s="3516"/>
    </row>
    <row r="21" spans="1:3" ht="13.5">
      <c r="A21" s="1532" t="s">
        <v>961</v>
      </c>
      <c r="B21" s="1533"/>
      <c r="C21" s="1534"/>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1" t="s">
        <v>967</v>
      </c>
    </row>
    <row r="26" spans="1:3" ht="13.5">
      <c r="A26" s="3519"/>
      <c r="B26" s="3518"/>
      <c r="C26" s="1531" t="s">
        <v>968</v>
      </c>
    </row>
    <row r="27" spans="1:3" ht="13.5">
      <c r="A27" s="3519"/>
      <c r="B27" s="3518"/>
      <c r="C27" s="1531" t="s">
        <v>969</v>
      </c>
    </row>
    <row r="28" spans="1:3" ht="13.5">
      <c r="A28" s="3519"/>
      <c r="B28" s="3518"/>
      <c r="C28" s="1531" t="s">
        <v>970</v>
      </c>
    </row>
    <row r="29" spans="1:3" ht="13.5">
      <c r="A29" s="3519"/>
      <c r="B29" s="3518"/>
      <c r="C29" s="1531" t="s">
        <v>971</v>
      </c>
    </row>
    <row r="30" spans="1:3" ht="13.5">
      <c r="A30" s="3519"/>
      <c r="B30" s="3518"/>
      <c r="C30" s="1531" t="s">
        <v>972</v>
      </c>
    </row>
    <row r="31" spans="1:3" ht="13.5">
      <c r="A31" s="3519"/>
      <c r="B31" s="3518"/>
      <c r="C31" s="1531" t="s">
        <v>973</v>
      </c>
    </row>
    <row r="32" spans="1:3" ht="13.5">
      <c r="A32" s="3519"/>
      <c r="B32" s="3518"/>
      <c r="C32" s="1531" t="s">
        <v>974</v>
      </c>
    </row>
    <row r="33" spans="1:3" ht="13.5">
      <c r="A33" s="3519"/>
      <c r="B33" s="351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3" t="s">
        <v>2159</v>
      </c>
      <c r="B17" s="3523"/>
      <c r="C17" s="3523"/>
      <c r="D17" s="3523"/>
      <c r="E17" s="3523"/>
      <c r="F17" s="3523"/>
      <c r="G17" s="3523"/>
      <c r="H17" s="3523"/>
    </row>
    <row r="18" spans="1:8" ht="24" customHeight="1">
      <c r="A18" s="3524" t="s">
        <v>2160</v>
      </c>
      <c r="B18" s="3524"/>
      <c r="C18" s="3524"/>
      <c r="D18" s="2342"/>
      <c r="E18" s="3525" t="s">
        <v>2161</v>
      </c>
      <c r="F18" s="3524"/>
      <c r="G18" s="352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2025-10-29T05:45:24Z</dcterms:modified>
</cp:coreProperties>
</file>